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hk.sharepoint.com/sites/KonjunkturumfrageJahresbeginn2020/Shared Documents/General/2026-Herbst/Daten/"/>
    </mc:Choice>
  </mc:AlternateContent>
  <xr:revisionPtr revIDLastSave="153" documentId="8_{A11484CB-5452-4814-9388-57A6A89592C9}" xr6:coauthVersionLast="47" xr6:coauthVersionMax="47" xr10:uidLastSave="{FDBBC45F-A45D-4621-9EE0-9D54634B33BE}"/>
  <bookViews>
    <workbookView xWindow="-120" yWindow="-120" windowWidth="30960" windowHeight="16800" xr2:uid="{00000000-000D-0000-FFFF-FFFF00000000}"/>
  </bookViews>
  <sheets>
    <sheet name="Auf einen Blick" sheetId="2" r:id="rId1"/>
    <sheet name="Dashboard" sheetId="3" r:id="rId2"/>
    <sheet name="Branchenvergleich" sheetId="5" r:id="rId3"/>
    <sheet name="Daten_Salden" sheetId="16" r:id="rId4"/>
    <sheet name="Daten_Anteile" sheetId="17" r:id="rId5"/>
    <sheet name="Daten_Risiken" sheetId="18" r:id="rId6"/>
    <sheet name="Daten_Motive" sheetId="19" r:id="rId7"/>
    <sheet name="Daten_Risikoindikator" sheetId="20" r:id="rId8"/>
    <sheet name="Methodik" sheetId="27" r:id="rId9"/>
    <sheet name="Branchen und WZ 2025" sheetId="26" r:id="rId10"/>
    <sheet name="Ansprechpartner" sheetId="28" r:id="rId11"/>
    <sheet name="Listen" sheetId="21" state="hidden" r:id="rId12"/>
    <sheet name="Berechnung" sheetId="23" state="hidden" r:id="rId13"/>
    <sheet name="Berechnung_Tabs" sheetId="25" state="hidden" r:id="rId14"/>
  </sheets>
  <definedNames>
    <definedName name="_xlnm._FilterDatabase" localSheetId="2" hidden="1">Branchenvergleich!$A$8:$BJ$74</definedName>
    <definedName name="_xlnm._FilterDatabase" localSheetId="4" hidden="1">Daten_Anteile!$A$1:$H$2971</definedName>
    <definedName name="_xlnm._FilterDatabase" localSheetId="6" hidden="1">Daten_Motive!$A$1:$BD$331</definedName>
    <definedName name="_xlnm._FilterDatabase" localSheetId="5" hidden="1">Daten_Risiken!$A$1:$BC$529</definedName>
    <definedName name="_xlnm._FilterDatabase" localSheetId="7" hidden="1">Daten_Risikoindikator!$A$1:$BA$67</definedName>
    <definedName name="_xlnm._FilterDatabase" localSheetId="3" hidden="1">Daten_Salden!$A$1:$BV$331</definedName>
    <definedName name="_xlnm.Print_Area" localSheetId="0">'Auf einen Blick'!$A$1:$Z$43</definedName>
    <definedName name="_xlnm.Print_Area" localSheetId="1">Dashboard!$A$1:$P$80</definedName>
    <definedName name="_xlnm.Print_Titles" localSheetId="2">Branchenvergleich!$6:$8</definedName>
    <definedName name="zr_dash_1" localSheetId="12">INDEX(Berechnung!$B$91:$B$160,Berechnung!$E$2):INDEX(Berechnung!$B$91:$B$160,Berechnung!$E$3)</definedName>
    <definedName name="zr_dash_10" localSheetId="12">INDEX(Berechnung!$I$91:$I$160,Berechnung!$E$2):INDEX(Berechnung!$I$91:$I$160,Berechnung!$E$3)</definedName>
    <definedName name="zr_dash_11" localSheetId="12">INDEX(Berechnung!$J$91:$J$160,Berechnung!$E$2):INDEX(Berechnung!$J$91:$J$160,Berechnung!$E$3)</definedName>
    <definedName name="zr_dash_12" localSheetId="12">INDEX(Berechnung!$K$91:$K$160,Berechnung!$E$2):INDEX(Berechnung!$K$91:$K$160,Berechnung!$E$3)</definedName>
    <definedName name="zr_dash_13" localSheetId="12">INDEX(Berechnung!$B$91:$B$160,Berechnung!$E$2):INDEX(Berechnung!$B$91:$B$160,Berechnung!$E$3)</definedName>
    <definedName name="zr_dash_14" localSheetId="12">INDEX(Berechnung!$L$91:$L$160,Berechnung!$E$2):INDEX(Berechnung!$L$91:$L$160,Berechnung!$E$3)</definedName>
    <definedName name="zr_dash_15" localSheetId="12">INDEX(Berechnung!$M$91:$M$160,Berechnung!$E$2):INDEX(Berechnung!$M$91:$M$160,Berechnung!$E$3)</definedName>
    <definedName name="zr_dash_16" localSheetId="12">INDEX(Berechnung!$N$91:$N$160,Berechnung!$E$2):INDEX(Berechnung!$N$91:$N$160,Berechnung!$E$3)</definedName>
    <definedName name="zr_dash_17" localSheetId="12">INDEX(Berechnung!$B$91:$B$160,Berechnung!$E$2):INDEX(Berechnung!$B$91:$B$160,Berechnung!$E$3)</definedName>
    <definedName name="zr_dash_18" localSheetId="12">INDEX(Berechnung!$O$91:$O$160,Berechnung!$E$2):INDEX(Berechnung!$O$91:$O$160,Berechnung!$E$3)</definedName>
    <definedName name="zr_dash_19" localSheetId="12">INDEX(Berechnung!$P$91:$P$160,Berechnung!$E$2):INDEX(Berechnung!$P$91:$P$160,Berechnung!$E$3)</definedName>
    <definedName name="zr_dash_2" localSheetId="12">INDEX(Berechnung!$C$91:$C$160,Berechnung!$E$2):INDEX(Berechnung!$C$91:$C$160,Berechnung!$E$3)</definedName>
    <definedName name="zr_dash_20" localSheetId="12">INDEX(Berechnung!$Q$91:$Q$160,Berechnung!$E$2):INDEX(Berechnung!$Q$91:$Q$160,Berechnung!$E$3)</definedName>
    <definedName name="zr_dash_3" localSheetId="12">INDEX(Berechnung!$D$91:$D$160,Berechnung!$E$2):INDEX(Berechnung!$D$91:$D$160,Berechnung!$E$3)</definedName>
    <definedName name="zr_dash_4" localSheetId="12">INDEX(Berechnung!$E$91:$E$160,Berechnung!$E$2):INDEX(Berechnung!$E$91:$E$160,Berechnung!$E$3)</definedName>
    <definedName name="zr_dash_5" localSheetId="12">INDEX(Berechnung!$B$91:$B$160,Berechnung!$E$2):INDEX(Berechnung!$B$91:$B$160,Berechnung!$E$3)</definedName>
    <definedName name="zr_dash_6" localSheetId="12">INDEX(Berechnung!$F$91:$F$160,Berechnung!$E$2):INDEX(Berechnung!$F$91:$F$160,Berechnung!$E$3)</definedName>
    <definedName name="zr_dash_7" localSheetId="12">INDEX(Berechnung!$G$91:$G$160,Berechnung!$E$2):INDEX(Berechnung!$G$91:$G$160,Berechnung!$E$3)</definedName>
    <definedName name="zr_dash_8" localSheetId="12">INDEX(Berechnung!$H$91:$H$160,Berechnung!$E$2):INDEX(Berechnung!$H$91:$H$160,Berechnung!$E$3)</definedName>
    <definedName name="zr_dash_9" localSheetId="12">INDEX(Berechnung!$B$91:$B$160,Berechnung!$E$2):INDEX(Berechnung!$B$91:$B$160,Berechnung!$E$3)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3" l="1"/>
  <c r="B15" i="23"/>
  <c r="C16" i="3" s="1"/>
  <c r="B14" i="23"/>
  <c r="C13" i="3" s="1"/>
  <c r="B13" i="23"/>
  <c r="C24" i="23" s="1"/>
  <c r="M104" i="23" s="1"/>
  <c r="B12" i="23"/>
  <c r="D56" i="23" s="1"/>
  <c r="B8" i="23"/>
  <c r="B4" i="23"/>
  <c r="E3" i="23"/>
  <c r="B3" i="23"/>
  <c r="E2" i="23"/>
  <c r="B2" i="23"/>
  <c r="B10" i="23" s="1"/>
  <c r="D74" i="5"/>
  <c r="B74" i="5"/>
  <c r="E73" i="5"/>
  <c r="D73" i="5"/>
  <c r="B73" i="5"/>
  <c r="D72" i="5"/>
  <c r="B72" i="5"/>
  <c r="D71" i="5"/>
  <c r="B71" i="5"/>
  <c r="D70" i="5"/>
  <c r="B70" i="5"/>
  <c r="D69" i="5"/>
  <c r="B69" i="5"/>
  <c r="E68" i="5"/>
  <c r="D68" i="5"/>
  <c r="B68" i="5"/>
  <c r="D67" i="5"/>
  <c r="B67" i="5"/>
  <c r="D66" i="5"/>
  <c r="B66" i="5"/>
  <c r="E65" i="5"/>
  <c r="D65" i="5"/>
  <c r="B65" i="5"/>
  <c r="D64" i="5"/>
  <c r="B64" i="5"/>
  <c r="D63" i="5"/>
  <c r="B63" i="5"/>
  <c r="D62" i="5"/>
  <c r="B62" i="5"/>
  <c r="D61" i="5"/>
  <c r="B61" i="5"/>
  <c r="D60" i="5"/>
  <c r="B60" i="5"/>
  <c r="D59" i="5"/>
  <c r="B59" i="5"/>
  <c r="D58" i="5"/>
  <c r="B58" i="5"/>
  <c r="E57" i="5"/>
  <c r="D57" i="5"/>
  <c r="B57" i="5"/>
  <c r="D56" i="5"/>
  <c r="B56" i="5"/>
  <c r="D55" i="5"/>
  <c r="B55" i="5"/>
  <c r="E54" i="5"/>
  <c r="D54" i="5"/>
  <c r="B54" i="5"/>
  <c r="D53" i="5"/>
  <c r="B53" i="5"/>
  <c r="D52" i="5"/>
  <c r="B52" i="5"/>
  <c r="D51" i="5"/>
  <c r="B51" i="5"/>
  <c r="E50" i="5"/>
  <c r="D50" i="5"/>
  <c r="B50" i="5"/>
  <c r="D49" i="5"/>
  <c r="B49" i="5"/>
  <c r="BE48" i="5"/>
  <c r="E48" i="5"/>
  <c r="D48" i="5"/>
  <c r="B48" i="5"/>
  <c r="AD47" i="5"/>
  <c r="E47" i="5"/>
  <c r="D47" i="5"/>
  <c r="B47" i="5"/>
  <c r="D46" i="5"/>
  <c r="B46" i="5"/>
  <c r="E45" i="5"/>
  <c r="D45" i="5"/>
  <c r="B45" i="5"/>
  <c r="E44" i="5"/>
  <c r="D44" i="5"/>
  <c r="B44" i="5"/>
  <c r="L43" i="5"/>
  <c r="D43" i="5"/>
  <c r="B43" i="5"/>
  <c r="D42" i="5"/>
  <c r="B42" i="5"/>
  <c r="AP41" i="5"/>
  <c r="D41" i="5"/>
  <c r="B41" i="5"/>
  <c r="E41" i="5" s="1"/>
  <c r="D40" i="5"/>
  <c r="B40" i="5"/>
  <c r="AP39" i="5"/>
  <c r="D39" i="5"/>
  <c r="B39" i="5"/>
  <c r="BH38" i="5"/>
  <c r="BJ38" i="5" s="1"/>
  <c r="D38" i="5"/>
  <c r="B38" i="5"/>
  <c r="AY37" i="5"/>
  <c r="D37" i="5"/>
  <c r="B37" i="5"/>
  <c r="AJ36" i="5"/>
  <c r="AL36" i="5" s="1"/>
  <c r="E36" i="5"/>
  <c r="D36" i="5"/>
  <c r="B36" i="5"/>
  <c r="AA35" i="5"/>
  <c r="D35" i="5"/>
  <c r="B35" i="5"/>
  <c r="E35" i="5" s="1"/>
  <c r="BE34" i="5"/>
  <c r="X34" i="5"/>
  <c r="D34" i="5"/>
  <c r="B34" i="5"/>
  <c r="AD34" i="5" s="1"/>
  <c r="BH33" i="5"/>
  <c r="AD33" i="5"/>
  <c r="AA33" i="5"/>
  <c r="E33" i="5"/>
  <c r="D33" i="5"/>
  <c r="B33" i="5"/>
  <c r="AG32" i="5"/>
  <c r="D32" i="5"/>
  <c r="B32" i="5"/>
  <c r="AS31" i="5"/>
  <c r="AJ31" i="5"/>
  <c r="D31" i="5"/>
  <c r="B31" i="5"/>
  <c r="AY30" i="5"/>
  <c r="AS30" i="5"/>
  <c r="R30" i="5"/>
  <c r="E30" i="5"/>
  <c r="D30" i="5"/>
  <c r="B30" i="5"/>
  <c r="BB29" i="5"/>
  <c r="BD29" i="5" s="1"/>
  <c r="AJ29" i="5"/>
  <c r="E29" i="5"/>
  <c r="D29" i="5"/>
  <c r="B29" i="5"/>
  <c r="AS28" i="5"/>
  <c r="AJ28" i="5"/>
  <c r="AG28" i="5"/>
  <c r="I28" i="5"/>
  <c r="E28" i="5"/>
  <c r="D28" i="5"/>
  <c r="B28" i="5"/>
  <c r="AJ27" i="5"/>
  <c r="AG27" i="5"/>
  <c r="E27" i="5"/>
  <c r="D27" i="5"/>
  <c r="B27" i="5"/>
  <c r="AS26" i="5"/>
  <c r="AJ26" i="5"/>
  <c r="AG26" i="5"/>
  <c r="E26" i="5"/>
  <c r="D26" i="5"/>
  <c r="B26" i="5"/>
  <c r="AJ25" i="5"/>
  <c r="AG25" i="5"/>
  <c r="E25" i="5"/>
  <c r="D25" i="5"/>
  <c r="B25" i="5"/>
  <c r="AS24" i="5"/>
  <c r="AJ24" i="5"/>
  <c r="AG24" i="5"/>
  <c r="E24" i="5"/>
  <c r="D24" i="5"/>
  <c r="B24" i="5"/>
  <c r="AJ23" i="5"/>
  <c r="AG23" i="5"/>
  <c r="E23" i="5"/>
  <c r="D23" i="5"/>
  <c r="B23" i="5"/>
  <c r="AS22" i="5"/>
  <c r="E22" i="5"/>
  <c r="D22" i="5"/>
  <c r="B22" i="5"/>
  <c r="BH21" i="5"/>
  <c r="AJ21" i="5"/>
  <c r="AG21" i="5"/>
  <c r="AD21" i="5"/>
  <c r="E21" i="5"/>
  <c r="D21" i="5"/>
  <c r="B21" i="5"/>
  <c r="BE20" i="5"/>
  <c r="BA20" i="5"/>
  <c r="AV20" i="5"/>
  <c r="AX20" i="5" s="1"/>
  <c r="AS20" i="5"/>
  <c r="AP20" i="5"/>
  <c r="AJ20" i="5"/>
  <c r="AL20" i="5" s="1"/>
  <c r="E20" i="5"/>
  <c r="D20" i="5"/>
  <c r="B20" i="5"/>
  <c r="AY20" i="5" s="1"/>
  <c r="BH19" i="5"/>
  <c r="BE19" i="5"/>
  <c r="BB19" i="5"/>
  <c r="AP19" i="5"/>
  <c r="AG19" i="5"/>
  <c r="X19" i="5"/>
  <c r="Y19" i="5" s="1"/>
  <c r="R19" i="5"/>
  <c r="E19" i="5"/>
  <c r="D19" i="5"/>
  <c r="B19" i="5"/>
  <c r="BH18" i="5"/>
  <c r="BE18" i="5"/>
  <c r="BG18" i="5" s="1"/>
  <c r="AJ18" i="5"/>
  <c r="AG18" i="5"/>
  <c r="AD18" i="5"/>
  <c r="AF18" i="5" s="1"/>
  <c r="E18" i="5"/>
  <c r="D18" i="5"/>
  <c r="B18" i="5"/>
  <c r="BE17" i="5"/>
  <c r="BA17" i="5"/>
  <c r="AV17" i="5"/>
  <c r="AS17" i="5"/>
  <c r="AP17" i="5"/>
  <c r="AJ17" i="5"/>
  <c r="AL17" i="5" s="1"/>
  <c r="AG17" i="5"/>
  <c r="E17" i="5"/>
  <c r="D17" i="5"/>
  <c r="B17" i="5"/>
  <c r="AY17" i="5" s="1"/>
  <c r="BH16" i="5"/>
  <c r="BE16" i="5"/>
  <c r="BB16" i="5"/>
  <c r="AP16" i="5"/>
  <c r="AG16" i="5"/>
  <c r="AH16" i="5" s="1"/>
  <c r="X16" i="5"/>
  <c r="E16" i="5"/>
  <c r="D16" i="5"/>
  <c r="B16" i="5"/>
  <c r="BH15" i="5"/>
  <c r="BJ15" i="5" s="1"/>
  <c r="BE15" i="5"/>
  <c r="BG15" i="5" s="1"/>
  <c r="AJ15" i="5"/>
  <c r="AG15" i="5"/>
  <c r="AD15" i="5"/>
  <c r="E15" i="5"/>
  <c r="D15" i="5"/>
  <c r="B15" i="5"/>
  <c r="BE14" i="5"/>
  <c r="AX14" i="5"/>
  <c r="AV14" i="5"/>
  <c r="AS14" i="5"/>
  <c r="AP14" i="5"/>
  <c r="AD14" i="5"/>
  <c r="E14" i="5"/>
  <c r="D14" i="5"/>
  <c r="B14" i="5"/>
  <c r="BB13" i="5"/>
  <c r="AP13" i="5"/>
  <c r="AD13" i="5"/>
  <c r="E13" i="5"/>
  <c r="D13" i="5"/>
  <c r="B13" i="5"/>
  <c r="AY13" i="5" s="1"/>
  <c r="AZ13" i="5" s="1"/>
  <c r="BB12" i="5"/>
  <c r="AP12" i="5"/>
  <c r="AD12" i="5"/>
  <c r="E12" i="5"/>
  <c r="D12" i="5"/>
  <c r="B12" i="5"/>
  <c r="AY12" i="5" s="1"/>
  <c r="BB11" i="5"/>
  <c r="AP11" i="5"/>
  <c r="AD11" i="5"/>
  <c r="E11" i="5"/>
  <c r="D11" i="5"/>
  <c r="B11" i="5"/>
  <c r="AY11" i="5" s="1"/>
  <c r="AZ11" i="5" s="1"/>
  <c r="BB10" i="5"/>
  <c r="AP10" i="5"/>
  <c r="AD10" i="5"/>
  <c r="E10" i="5"/>
  <c r="D10" i="5"/>
  <c r="B10" i="5"/>
  <c r="AY10" i="5" s="1"/>
  <c r="AZ10" i="5" s="1"/>
  <c r="BK9" i="5"/>
  <c r="BB9" i="5"/>
  <c r="BD9" i="5" s="1"/>
  <c r="AD9" i="5"/>
  <c r="AF9" i="5" s="1"/>
  <c r="D9" i="5"/>
  <c r="B9" i="5"/>
  <c r="AV9" i="5" s="1"/>
  <c r="BK8" i="5"/>
  <c r="BI21" i="5" s="1"/>
  <c r="BK7" i="5"/>
  <c r="BE38" i="5" s="1"/>
  <c r="BK6" i="5"/>
  <c r="BK5" i="5"/>
  <c r="AQ16" i="5" s="1"/>
  <c r="BK4" i="5"/>
  <c r="AA39" i="5" s="1"/>
  <c r="BK3" i="5"/>
  <c r="BK2" i="5"/>
  <c r="BK1" i="5"/>
  <c r="U38" i="5" s="1"/>
  <c r="A1" i="5"/>
  <c r="J10" i="3"/>
  <c r="D9" i="3"/>
  <c r="H6" i="3"/>
  <c r="H5" i="3"/>
  <c r="B2" i="3"/>
  <c r="E19" i="3" l="1"/>
  <c r="B58" i="23"/>
  <c r="C26" i="3"/>
  <c r="F11" i="3"/>
  <c r="E15" i="3"/>
  <c r="F13" i="3"/>
  <c r="E17" i="3"/>
  <c r="H31" i="23"/>
  <c r="C73" i="23"/>
  <c r="G11" i="3"/>
  <c r="F15" i="3"/>
  <c r="F17" i="3"/>
  <c r="D73" i="23"/>
  <c r="H13" i="3"/>
  <c r="G15" i="3"/>
  <c r="D11" i="3"/>
  <c r="D13" i="3"/>
  <c r="C15" i="3"/>
  <c r="C17" i="3"/>
  <c r="C19" i="3"/>
  <c r="P19" i="3"/>
  <c r="B22" i="23"/>
  <c r="D61" i="23"/>
  <c r="E11" i="3"/>
  <c r="E13" i="3"/>
  <c r="D15" i="3"/>
  <c r="D17" i="3"/>
  <c r="D19" i="3"/>
  <c r="C21" i="3"/>
  <c r="B25" i="23"/>
  <c r="O19" i="3" s="1"/>
  <c r="B67" i="23"/>
  <c r="G13" i="3"/>
  <c r="F19" i="3"/>
  <c r="G17" i="3"/>
  <c r="D79" i="23"/>
  <c r="I11" i="3"/>
  <c r="I13" i="3"/>
  <c r="H17" i="3"/>
  <c r="H19" i="3"/>
  <c r="P11" i="3"/>
  <c r="I90" i="23" s="1"/>
  <c r="I15" i="3"/>
  <c r="I17" i="3"/>
  <c r="I19" i="3"/>
  <c r="H11" i="3"/>
  <c r="G19" i="3"/>
  <c r="H15" i="3"/>
  <c r="C11" i="3"/>
  <c r="P13" i="3"/>
  <c r="P15" i="3"/>
  <c r="P17" i="3"/>
  <c r="P16" i="3"/>
  <c r="H20" i="3"/>
  <c r="F18" i="3"/>
  <c r="G20" i="3"/>
  <c r="D12" i="3"/>
  <c r="E12" i="3"/>
  <c r="G16" i="3"/>
  <c r="D18" i="3"/>
  <c r="I16" i="3"/>
  <c r="E18" i="3"/>
  <c r="P20" i="3"/>
  <c r="H12" i="3"/>
  <c r="I12" i="3"/>
  <c r="C14" i="3"/>
  <c r="G18" i="3"/>
  <c r="C22" i="3"/>
  <c r="C21" i="23"/>
  <c r="C12" i="3"/>
  <c r="E16" i="3"/>
  <c r="F16" i="3"/>
  <c r="I20" i="3"/>
  <c r="H16" i="3"/>
  <c r="G12" i="3"/>
  <c r="H18" i="3"/>
  <c r="P12" i="3"/>
  <c r="E14" i="3"/>
  <c r="I18" i="3"/>
  <c r="C20" i="3"/>
  <c r="G26" i="3"/>
  <c r="C18" i="3"/>
  <c r="F12" i="3"/>
  <c r="D14" i="3"/>
  <c r="F14" i="3"/>
  <c r="O18" i="3"/>
  <c r="D20" i="3"/>
  <c r="C25" i="23"/>
  <c r="O20" i="3" s="1"/>
  <c r="I14" i="3"/>
  <c r="G14" i="3"/>
  <c r="E20" i="3"/>
  <c r="P14" i="3"/>
  <c r="P18" i="3"/>
  <c r="H14" i="3"/>
  <c r="D16" i="3"/>
  <c r="F20" i="3"/>
  <c r="AW9" i="5"/>
  <c r="AX9" i="5"/>
  <c r="V38" i="5"/>
  <c r="W38" i="5"/>
  <c r="AF14" i="5"/>
  <c r="AR13" i="5"/>
  <c r="AF13" i="5"/>
  <c r="AR12" i="5"/>
  <c r="AF12" i="5"/>
  <c r="AR11" i="5"/>
  <c r="AF11" i="5"/>
  <c r="AI19" i="5"/>
  <c r="AI16" i="5"/>
  <c r="BC16" i="5"/>
  <c r="AR19" i="5"/>
  <c r="I20" i="5"/>
  <c r="AU22" i="5"/>
  <c r="AH23" i="5"/>
  <c r="AI24" i="5"/>
  <c r="AI25" i="5"/>
  <c r="AL26" i="5"/>
  <c r="AL27" i="5"/>
  <c r="AK27" i="5"/>
  <c r="AU28" i="5"/>
  <c r="O42" i="5"/>
  <c r="BF48" i="5"/>
  <c r="BF38" i="5"/>
  <c r="BG38" i="5"/>
  <c r="BA10" i="5"/>
  <c r="AZ12" i="5"/>
  <c r="BA12" i="5"/>
  <c r="BF15" i="5"/>
  <c r="Y16" i="5"/>
  <c r="BD16" i="5"/>
  <c r="BF17" i="5"/>
  <c r="AI18" i="5"/>
  <c r="AH18" i="5"/>
  <c r="AQ19" i="5"/>
  <c r="L20" i="5"/>
  <c r="AE21" i="5"/>
  <c r="AT22" i="5"/>
  <c r="AI23" i="5"/>
  <c r="AL24" i="5"/>
  <c r="AL25" i="5"/>
  <c r="AK25" i="5"/>
  <c r="AU26" i="5"/>
  <c r="AT28" i="5"/>
  <c r="AC33" i="5"/>
  <c r="AB33" i="5"/>
  <c r="BA37" i="5"/>
  <c r="AZ37" i="5"/>
  <c r="BG48" i="5"/>
  <c r="X9" i="5"/>
  <c r="AE10" i="5"/>
  <c r="AF10" i="5"/>
  <c r="BC10" i="5"/>
  <c r="AQ11" i="5"/>
  <c r="AE12" i="5"/>
  <c r="BC12" i="5"/>
  <c r="AQ13" i="5"/>
  <c r="AE14" i="5"/>
  <c r="BF14" i="5"/>
  <c r="Z16" i="5"/>
  <c r="BG16" i="5"/>
  <c r="BF16" i="5"/>
  <c r="AL18" i="5"/>
  <c r="AK18" i="5"/>
  <c r="AF21" i="5"/>
  <c r="AL23" i="5"/>
  <c r="AK23" i="5"/>
  <c r="AU24" i="5"/>
  <c r="AT26" i="5"/>
  <c r="AK31" i="5"/>
  <c r="AL31" i="5"/>
  <c r="AE33" i="5"/>
  <c r="AF33" i="5"/>
  <c r="AC35" i="5"/>
  <c r="AB35" i="5"/>
  <c r="E9" i="5"/>
  <c r="BE9" i="5"/>
  <c r="AS9" i="5"/>
  <c r="AG9" i="5"/>
  <c r="U9" i="5"/>
  <c r="I9" i="5"/>
  <c r="AE15" i="5"/>
  <c r="BI15" i="5"/>
  <c r="BJ16" i="5"/>
  <c r="BI16" i="5"/>
  <c r="AI17" i="5"/>
  <c r="L19" i="5"/>
  <c r="BC19" i="5"/>
  <c r="BF20" i="5"/>
  <c r="AI21" i="5"/>
  <c r="AH21" i="5"/>
  <c r="AT24" i="5"/>
  <c r="AA9" i="5"/>
  <c r="AY9" i="5"/>
  <c r="AF15" i="5"/>
  <c r="AH17" i="5"/>
  <c r="BD19" i="5"/>
  <c r="AL21" i="5"/>
  <c r="AK21" i="5"/>
  <c r="L22" i="5"/>
  <c r="AA32" i="5"/>
  <c r="AM32" i="5"/>
  <c r="X32" i="5"/>
  <c r="I32" i="5"/>
  <c r="AD32" i="5"/>
  <c r="L32" i="5"/>
  <c r="R32" i="5"/>
  <c r="BB32" i="5"/>
  <c r="AS32" i="5"/>
  <c r="O32" i="5"/>
  <c r="AP32" i="5"/>
  <c r="AJ32" i="5"/>
  <c r="E32" i="5"/>
  <c r="BH32" i="5"/>
  <c r="BE32" i="5"/>
  <c r="AY32" i="5"/>
  <c r="AV32" i="5"/>
  <c r="U32" i="5"/>
  <c r="BJ33" i="5"/>
  <c r="BI33" i="5"/>
  <c r="T19" i="5"/>
  <c r="S19" i="5"/>
  <c r="BG19" i="5"/>
  <c r="BF19" i="5"/>
  <c r="S30" i="5"/>
  <c r="T30" i="5"/>
  <c r="AE34" i="5"/>
  <c r="AF34" i="5"/>
  <c r="N43" i="5"/>
  <c r="M43" i="5"/>
  <c r="AE9" i="5"/>
  <c r="BC9" i="5"/>
  <c r="AL15" i="5"/>
  <c r="AK15" i="5"/>
  <c r="AK17" i="5"/>
  <c r="BJ19" i="5"/>
  <c r="BI19" i="5"/>
  <c r="K28" i="5"/>
  <c r="R74" i="5"/>
  <c r="L74" i="5"/>
  <c r="L65" i="5"/>
  <c r="L70" i="5"/>
  <c r="U70" i="5"/>
  <c r="R70" i="5"/>
  <c r="O70" i="5"/>
  <c r="U59" i="5"/>
  <c r="O67" i="5"/>
  <c r="U65" i="5"/>
  <c r="I64" i="5"/>
  <c r="I62" i="5"/>
  <c r="R65" i="5"/>
  <c r="U63" i="5"/>
  <c r="I60" i="5"/>
  <c r="I67" i="5"/>
  <c r="O65" i="5"/>
  <c r="R64" i="5"/>
  <c r="U62" i="5"/>
  <c r="R62" i="5"/>
  <c r="O63" i="5"/>
  <c r="U61" i="5"/>
  <c r="O71" i="5"/>
  <c r="I70" i="5"/>
  <c r="L64" i="5"/>
  <c r="L63" i="5"/>
  <c r="O62" i="5"/>
  <c r="U68" i="5"/>
  <c r="O61" i="5"/>
  <c r="I59" i="5"/>
  <c r="I61" i="5"/>
  <c r="L60" i="5"/>
  <c r="L59" i="5"/>
  <c r="I50" i="5"/>
  <c r="R47" i="5"/>
  <c r="R45" i="5"/>
  <c r="I44" i="5"/>
  <c r="R41" i="5"/>
  <c r="R35" i="5"/>
  <c r="R72" i="5"/>
  <c r="L62" i="5"/>
  <c r="O36" i="5"/>
  <c r="R54" i="5"/>
  <c r="O49" i="5"/>
  <c r="L67" i="5"/>
  <c r="R57" i="5"/>
  <c r="L47" i="5"/>
  <c r="I45" i="5"/>
  <c r="R44" i="5"/>
  <c r="L41" i="5"/>
  <c r="I36" i="5"/>
  <c r="L35" i="5"/>
  <c r="L51" i="5"/>
  <c r="O50" i="5"/>
  <c r="O60" i="5"/>
  <c r="I51" i="5"/>
  <c r="L50" i="5"/>
  <c r="U47" i="5"/>
  <c r="U45" i="5"/>
  <c r="L44" i="5"/>
  <c r="U41" i="5"/>
  <c r="I49" i="5"/>
  <c r="L45" i="5"/>
  <c r="R36" i="5"/>
  <c r="L71" i="5"/>
  <c r="O56" i="5"/>
  <c r="I41" i="5"/>
  <c r="O40" i="5"/>
  <c r="O47" i="5"/>
  <c r="L40" i="5"/>
  <c r="R29" i="5"/>
  <c r="R28" i="5"/>
  <c r="R27" i="5"/>
  <c r="R26" i="5"/>
  <c r="R25" i="5"/>
  <c r="R24" i="5"/>
  <c r="R23" i="5"/>
  <c r="R22" i="5"/>
  <c r="O54" i="5"/>
  <c r="L49" i="5"/>
  <c r="I35" i="5"/>
  <c r="I29" i="5"/>
  <c r="I27" i="5"/>
  <c r="I25" i="5"/>
  <c r="I23" i="5"/>
  <c r="U22" i="5"/>
  <c r="U44" i="5"/>
  <c r="L36" i="5"/>
  <c r="I21" i="5"/>
  <c r="I18" i="5"/>
  <c r="I15" i="5"/>
  <c r="R14" i="5"/>
  <c r="R13" i="5"/>
  <c r="R12" i="5"/>
  <c r="R11" i="5"/>
  <c r="O44" i="5"/>
  <c r="O43" i="5"/>
  <c r="U30" i="5"/>
  <c r="L28" i="5"/>
  <c r="F28" i="5" s="1"/>
  <c r="L26" i="5"/>
  <c r="L24" i="5"/>
  <c r="U21" i="5"/>
  <c r="U18" i="5"/>
  <c r="U15" i="5"/>
  <c r="U46" i="5"/>
  <c r="U29" i="5"/>
  <c r="U27" i="5"/>
  <c r="U25" i="5"/>
  <c r="U23" i="5"/>
  <c r="L55" i="5"/>
  <c r="O46" i="5"/>
  <c r="O30" i="5"/>
  <c r="U20" i="5"/>
  <c r="U17" i="5"/>
  <c r="L14" i="5"/>
  <c r="L13" i="5"/>
  <c r="L12" i="5"/>
  <c r="L11" i="5"/>
  <c r="L10" i="5"/>
  <c r="U52" i="5"/>
  <c r="L42" i="5"/>
  <c r="O38" i="5"/>
  <c r="U35" i="5"/>
  <c r="L29" i="5"/>
  <c r="L27" i="5"/>
  <c r="L25" i="5"/>
  <c r="L23" i="5"/>
  <c r="I22" i="5"/>
  <c r="I19" i="5"/>
  <c r="I42" i="5"/>
  <c r="O41" i="5"/>
  <c r="O35" i="5"/>
  <c r="R33" i="5"/>
  <c r="U28" i="5"/>
  <c r="U26" i="5"/>
  <c r="U24" i="5"/>
  <c r="L21" i="5"/>
  <c r="R20" i="5"/>
  <c r="L18" i="5"/>
  <c r="R17" i="5"/>
  <c r="L15" i="5"/>
  <c r="U14" i="5"/>
  <c r="I14" i="5"/>
  <c r="U13" i="5"/>
  <c r="I13" i="5"/>
  <c r="U12" i="5"/>
  <c r="I12" i="5"/>
  <c r="U11" i="5"/>
  <c r="I11" i="5"/>
  <c r="U10" i="5"/>
  <c r="I10" i="5"/>
  <c r="O48" i="5"/>
  <c r="U36" i="5"/>
  <c r="U19" i="5"/>
  <c r="U16" i="5"/>
  <c r="BA11" i="5"/>
  <c r="BA13" i="5"/>
  <c r="AR14" i="5"/>
  <c r="AQ14" i="5"/>
  <c r="AR17" i="5"/>
  <c r="AQ17" i="5"/>
  <c r="Z19" i="5"/>
  <c r="I26" i="5"/>
  <c r="J28" i="5"/>
  <c r="AT30" i="5"/>
  <c r="AU30" i="5"/>
  <c r="AH32" i="5"/>
  <c r="AI32" i="5"/>
  <c r="Z34" i="5"/>
  <c r="AK36" i="5"/>
  <c r="BI38" i="5"/>
  <c r="AE47" i="5"/>
  <c r="I16" i="5"/>
  <c r="L9" i="5"/>
  <c r="AJ9" i="5"/>
  <c r="BH9" i="5"/>
  <c r="R10" i="5"/>
  <c r="AQ10" i="5"/>
  <c r="AE11" i="5"/>
  <c r="BC11" i="5"/>
  <c r="AQ12" i="5"/>
  <c r="AE13" i="5"/>
  <c r="BC13" i="5"/>
  <c r="AT14" i="5"/>
  <c r="AR16" i="5"/>
  <c r="AU17" i="5"/>
  <c r="R18" i="5"/>
  <c r="BF18" i="5"/>
  <c r="AK20" i="5"/>
  <c r="I24" i="5"/>
  <c r="BA30" i="5"/>
  <c r="Y34" i="5"/>
  <c r="AF47" i="5"/>
  <c r="U50" i="5"/>
  <c r="AI15" i="5"/>
  <c r="AH15" i="5"/>
  <c r="AU14" i="5"/>
  <c r="L16" i="5"/>
  <c r="I17" i="5"/>
  <c r="AW17" i="5"/>
  <c r="BJ18" i="5"/>
  <c r="AR20" i="5"/>
  <c r="AQ20" i="5"/>
  <c r="BF34" i="5"/>
  <c r="AQ41" i="5"/>
  <c r="AR41" i="5"/>
  <c r="AC39" i="5"/>
  <c r="AB39" i="5"/>
  <c r="O9" i="5"/>
  <c r="AM9" i="5"/>
  <c r="BD13" i="5"/>
  <c r="BD12" i="5"/>
  <c r="BD11" i="5"/>
  <c r="BD10" i="5"/>
  <c r="BG20" i="5"/>
  <c r="BG17" i="5"/>
  <c r="BG14" i="5"/>
  <c r="AW14" i="5"/>
  <c r="L17" i="5"/>
  <c r="AX17" i="5"/>
  <c r="BI18" i="5"/>
  <c r="AH19" i="5"/>
  <c r="AU20" i="5"/>
  <c r="R21" i="5"/>
  <c r="BJ21" i="5"/>
  <c r="AH27" i="5"/>
  <c r="AI28" i="5"/>
  <c r="AL29" i="5"/>
  <c r="AK29" i="5"/>
  <c r="BG34" i="5"/>
  <c r="AQ39" i="5"/>
  <c r="AR39" i="5"/>
  <c r="R9" i="5"/>
  <c r="AP9" i="5"/>
  <c r="R15" i="5"/>
  <c r="R16" i="5"/>
  <c r="AE18" i="5"/>
  <c r="AW20" i="5"/>
  <c r="AH25" i="5"/>
  <c r="AI26" i="5"/>
  <c r="AI27" i="5"/>
  <c r="AL28" i="5"/>
  <c r="BC29" i="5"/>
  <c r="R37" i="5"/>
  <c r="AZ17" i="5"/>
  <c r="AZ20" i="5"/>
  <c r="AG30" i="5"/>
  <c r="BB30" i="5"/>
  <c r="L34" i="5"/>
  <c r="AP38" i="5"/>
  <c r="AR10" i="5"/>
  <c r="AS65" i="5"/>
  <c r="AD65" i="5"/>
  <c r="AJ67" i="5"/>
  <c r="AP74" i="5"/>
  <c r="AA65" i="5"/>
  <c r="AJ74" i="5"/>
  <c r="X65" i="5"/>
  <c r="AM73" i="5"/>
  <c r="AP63" i="5"/>
  <c r="AD74" i="5"/>
  <c r="AD63" i="5"/>
  <c r="AD62" i="5"/>
  <c r="AJ70" i="5"/>
  <c r="AJ60" i="5"/>
  <c r="AS59" i="5"/>
  <c r="X54" i="5"/>
  <c r="AD73" i="5"/>
  <c r="X70" i="5"/>
  <c r="AP67" i="5"/>
  <c r="AS64" i="5"/>
  <c r="AA72" i="5"/>
  <c r="AD68" i="5"/>
  <c r="AM64" i="5"/>
  <c r="AS62" i="5"/>
  <c r="AJ65" i="5"/>
  <c r="AM61" i="5"/>
  <c r="AS60" i="5"/>
  <c r="AG65" i="5"/>
  <c r="AG64" i="5"/>
  <c r="AG63" i="5"/>
  <c r="AG62" i="5"/>
  <c r="AD59" i="5"/>
  <c r="AP60" i="5"/>
  <c r="AP70" i="5"/>
  <c r="AA62" i="5"/>
  <c r="AA58" i="5"/>
  <c r="AD54" i="5"/>
  <c r="AA44" i="5"/>
  <c r="AM57" i="5"/>
  <c r="AA54" i="5"/>
  <c r="AS50" i="5"/>
  <c r="AJ47" i="5"/>
  <c r="AJ45" i="5"/>
  <c r="AP44" i="5"/>
  <c r="AG41" i="5"/>
  <c r="AS36" i="5"/>
  <c r="AD36" i="5"/>
  <c r="AG35" i="5"/>
  <c r="AA63" i="5"/>
  <c r="AA50" i="5"/>
  <c r="AJ57" i="5"/>
  <c r="AG47" i="5"/>
  <c r="AG45" i="5"/>
  <c r="X44" i="5"/>
  <c r="AM65" i="5"/>
  <c r="AP50" i="5"/>
  <c r="X50" i="5"/>
  <c r="AS61" i="5"/>
  <c r="AJ59" i="5"/>
  <c r="AM54" i="5"/>
  <c r="AJ51" i="5"/>
  <c r="AM50" i="5"/>
  <c r="AA49" i="5"/>
  <c r="AS47" i="5"/>
  <c r="AS45" i="5"/>
  <c r="AJ44" i="5"/>
  <c r="X36" i="5"/>
  <c r="AA73" i="5"/>
  <c r="AJ61" i="5"/>
  <c r="AA60" i="5"/>
  <c r="AP58" i="5"/>
  <c r="AP62" i="5"/>
  <c r="AG59" i="5"/>
  <c r="AJ54" i="5"/>
  <c r="AG51" i="5"/>
  <c r="AP47" i="5"/>
  <c r="X45" i="5"/>
  <c r="AG44" i="5"/>
  <c r="AM70" i="5"/>
  <c r="AA68" i="5"/>
  <c r="AJ62" i="5"/>
  <c r="AA59" i="5"/>
  <c r="AJ63" i="5"/>
  <c r="AD58" i="5"/>
  <c r="AD51" i="5"/>
  <c r="AD50" i="5"/>
  <c r="AM49" i="5"/>
  <c r="AM42" i="5"/>
  <c r="X42" i="5"/>
  <c r="AJ41" i="5"/>
  <c r="AA57" i="5"/>
  <c r="AA41" i="5"/>
  <c r="AS71" i="5"/>
  <c r="AS49" i="5"/>
  <c r="AP49" i="5"/>
  <c r="AA53" i="5"/>
  <c r="X49" i="5"/>
  <c r="AA47" i="5"/>
  <c r="AA45" i="5"/>
  <c r="AM41" i="5"/>
  <c r="AM35" i="5"/>
  <c r="AP29" i="5"/>
  <c r="AD29" i="5"/>
  <c r="AP28" i="5"/>
  <c r="AD28" i="5"/>
  <c r="AP27" i="5"/>
  <c r="AD27" i="5"/>
  <c r="AP26" i="5"/>
  <c r="AD26" i="5"/>
  <c r="AP25" i="5"/>
  <c r="AD25" i="5"/>
  <c r="AP24" i="5"/>
  <c r="AD24" i="5"/>
  <c r="AP23" i="5"/>
  <c r="AD23" i="5"/>
  <c r="AP22" i="5"/>
  <c r="AD22" i="5"/>
  <c r="AM44" i="5"/>
  <c r="AA42" i="5"/>
  <c r="AG10" i="5"/>
  <c r="AS10" i="5"/>
  <c r="BE10" i="5"/>
  <c r="AG11" i="5"/>
  <c r="AS11" i="5"/>
  <c r="BE11" i="5"/>
  <c r="AG12" i="5"/>
  <c r="AS12" i="5"/>
  <c r="BE12" i="5"/>
  <c r="AG13" i="5"/>
  <c r="AS13" i="5"/>
  <c r="BE13" i="5"/>
  <c r="AG14" i="5"/>
  <c r="BH14" i="5"/>
  <c r="AP15" i="5"/>
  <c r="AJ16" i="5"/>
  <c r="AT17" i="5"/>
  <c r="BH17" i="5"/>
  <c r="AP18" i="5"/>
  <c r="AJ19" i="5"/>
  <c r="AT20" i="5"/>
  <c r="BH20" i="5"/>
  <c r="AP21" i="5"/>
  <c r="BE22" i="5"/>
  <c r="AY24" i="5"/>
  <c r="AK24" i="5"/>
  <c r="BE24" i="5"/>
  <c r="AY26" i="5"/>
  <c r="AK26" i="5"/>
  <c r="BE26" i="5"/>
  <c r="AY28" i="5"/>
  <c r="AK28" i="5"/>
  <c r="BE28" i="5"/>
  <c r="BH30" i="5"/>
  <c r="X31" i="5"/>
  <c r="AS33" i="5"/>
  <c r="AP34" i="5"/>
  <c r="AY35" i="5"/>
  <c r="AS40" i="5"/>
  <c r="AV42" i="5"/>
  <c r="AV45" i="5"/>
  <c r="AY47" i="5"/>
  <c r="AG20" i="5"/>
  <c r="BE21" i="5"/>
  <c r="X22" i="5"/>
  <c r="AV23" i="5"/>
  <c r="AV25" i="5"/>
  <c r="AV27" i="5"/>
  <c r="AJ30" i="5"/>
  <c r="O31" i="5"/>
  <c r="AA31" i="5"/>
  <c r="BB31" i="5"/>
  <c r="L31" i="5"/>
  <c r="AY31" i="5"/>
  <c r="AG31" i="5"/>
  <c r="AM31" i="5"/>
  <c r="U31" i="5"/>
  <c r="BE31" i="5"/>
  <c r="R31" i="5"/>
  <c r="O34" i="5"/>
  <c r="AA36" i="5"/>
  <c r="O37" i="5"/>
  <c r="BE37" i="5"/>
  <c r="AP37" i="5"/>
  <c r="AA37" i="5"/>
  <c r="BB37" i="5"/>
  <c r="L37" i="5"/>
  <c r="AJ37" i="5"/>
  <c r="U37" i="5"/>
  <c r="BH37" i="5"/>
  <c r="AG37" i="5"/>
  <c r="E37" i="5"/>
  <c r="AM37" i="5"/>
  <c r="AS37" i="5"/>
  <c r="BB44" i="5"/>
  <c r="AG29" i="5"/>
  <c r="BH31" i="5"/>
  <c r="X33" i="5"/>
  <c r="BB33" i="5"/>
  <c r="BE35" i="5"/>
  <c r="AG36" i="5"/>
  <c r="X41" i="5"/>
  <c r="AA43" i="5"/>
  <c r="X48" i="5"/>
  <c r="AY70" i="5"/>
  <c r="BH65" i="5"/>
  <c r="BE65" i="5"/>
  <c r="BE70" i="5"/>
  <c r="AY67" i="5"/>
  <c r="AV73" i="5"/>
  <c r="BB70" i="5"/>
  <c r="AY65" i="5"/>
  <c r="AV67" i="5"/>
  <c r="AV62" i="5"/>
  <c r="BH74" i="5"/>
  <c r="AV59" i="5"/>
  <c r="BB67" i="5"/>
  <c r="BB65" i="5"/>
  <c r="AY64" i="5"/>
  <c r="AV64" i="5"/>
  <c r="AV63" i="5"/>
  <c r="BH60" i="5"/>
  <c r="BE60" i="5"/>
  <c r="BB74" i="5"/>
  <c r="BH64" i="5"/>
  <c r="AV70" i="5"/>
  <c r="AY59" i="5"/>
  <c r="BE68" i="5"/>
  <c r="BB64" i="5"/>
  <c r="AV72" i="5"/>
  <c r="BB47" i="5"/>
  <c r="BH36" i="5"/>
  <c r="AV35" i="5"/>
  <c r="BB54" i="5"/>
  <c r="AY49" i="5"/>
  <c r="BE44" i="5"/>
  <c r="BB60" i="5"/>
  <c r="BH42" i="5"/>
  <c r="BE41" i="5"/>
  <c r="BB35" i="5"/>
  <c r="BB68" i="5"/>
  <c r="BB51" i="5"/>
  <c r="BB50" i="5"/>
  <c r="BH47" i="5"/>
  <c r="BH45" i="5"/>
  <c r="BE64" i="5"/>
  <c r="AV57" i="5"/>
  <c r="AY51" i="5"/>
  <c r="BE47" i="5"/>
  <c r="BB45" i="5"/>
  <c r="AV44" i="5"/>
  <c r="BB42" i="5"/>
  <c r="AY41" i="5"/>
  <c r="BE42" i="5"/>
  <c r="AV47" i="5"/>
  <c r="BH61" i="5"/>
  <c r="BB58" i="5"/>
  <c r="AY54" i="5"/>
  <c r="AY36" i="5"/>
  <c r="BE29" i="5"/>
  <c r="BE50" i="5"/>
  <c r="BH49" i="5"/>
  <c r="AY44" i="5"/>
  <c r="BH51" i="5"/>
  <c r="BE49" i="5"/>
  <c r="BB28" i="5"/>
  <c r="BB27" i="5"/>
  <c r="BB26" i="5"/>
  <c r="BB25" i="5"/>
  <c r="BB24" i="5"/>
  <c r="BB23" i="5"/>
  <c r="BB22" i="5"/>
  <c r="AY60" i="5"/>
  <c r="BH41" i="5"/>
  <c r="X10" i="5"/>
  <c r="AJ10" i="5"/>
  <c r="AV10" i="5"/>
  <c r="BH10" i="5"/>
  <c r="X11" i="5"/>
  <c r="AJ11" i="5"/>
  <c r="AV11" i="5"/>
  <c r="BH11" i="5"/>
  <c r="X12" i="5"/>
  <c r="AJ12" i="5"/>
  <c r="AV12" i="5"/>
  <c r="BH12" i="5"/>
  <c r="X13" i="5"/>
  <c r="AJ13" i="5"/>
  <c r="AV13" i="5"/>
  <c r="BH13" i="5"/>
  <c r="X14" i="5"/>
  <c r="AJ14" i="5"/>
  <c r="AY15" i="5"/>
  <c r="AS15" i="5"/>
  <c r="AY18" i="5"/>
  <c r="AS18" i="5"/>
  <c r="AY21" i="5"/>
  <c r="AS21" i="5"/>
  <c r="BH22" i="5"/>
  <c r="X24" i="5"/>
  <c r="BH24" i="5"/>
  <c r="X26" i="5"/>
  <c r="BH26" i="5"/>
  <c r="X28" i="5"/>
  <c r="BH28" i="5"/>
  <c r="AY29" i="5"/>
  <c r="E31" i="5"/>
  <c r="AD31" i="5"/>
  <c r="BE33" i="5"/>
  <c r="BB34" i="5"/>
  <c r="X35" i="5"/>
  <c r="BE36" i="5"/>
  <c r="I37" i="5"/>
  <c r="AV37" i="5"/>
  <c r="AG39" i="5"/>
  <c r="BB40" i="5"/>
  <c r="AY45" i="5"/>
  <c r="O10" i="5"/>
  <c r="AA10" i="5"/>
  <c r="AM10" i="5"/>
  <c r="O11" i="5"/>
  <c r="AA11" i="5"/>
  <c r="AM11" i="5"/>
  <c r="O12" i="5"/>
  <c r="AA12" i="5"/>
  <c r="AM12" i="5"/>
  <c r="O13" i="5"/>
  <c r="AA13" i="5"/>
  <c r="AM13" i="5"/>
  <c r="AY14" i="5"/>
  <c r="AM14" i="5"/>
  <c r="O14" i="5"/>
  <c r="AA14" i="5"/>
  <c r="BB14" i="5"/>
  <c r="AV15" i="5"/>
  <c r="AD16" i="5"/>
  <c r="X17" i="5"/>
  <c r="BB17" i="5"/>
  <c r="AV18" i="5"/>
  <c r="AD19" i="5"/>
  <c r="X20" i="5"/>
  <c r="BB20" i="5"/>
  <c r="AV21" i="5"/>
  <c r="AY23" i="5"/>
  <c r="BE23" i="5"/>
  <c r="AY25" i="5"/>
  <c r="BE25" i="5"/>
  <c r="AY27" i="5"/>
  <c r="BE27" i="5"/>
  <c r="I31" i="5"/>
  <c r="AM33" i="5"/>
  <c r="AY33" i="5"/>
  <c r="AJ33" i="5"/>
  <c r="U33" i="5"/>
  <c r="AV33" i="5"/>
  <c r="L33" i="5"/>
  <c r="I33" i="5"/>
  <c r="AG33" i="5"/>
  <c r="BH34" i="5"/>
  <c r="AJ35" i="5"/>
  <c r="AM36" i="5"/>
  <c r="AD38" i="5"/>
  <c r="AM39" i="5"/>
  <c r="X39" i="5"/>
  <c r="I39" i="5"/>
  <c r="AY39" i="5"/>
  <c r="AJ39" i="5"/>
  <c r="U39" i="5"/>
  <c r="BH39" i="5"/>
  <c r="AS39" i="5"/>
  <c r="AD39" i="5"/>
  <c r="BB39" i="5"/>
  <c r="L39" i="5"/>
  <c r="E39" i="5"/>
  <c r="AV39" i="5"/>
  <c r="R39" i="5"/>
  <c r="O39" i="5"/>
  <c r="AD42" i="5"/>
  <c r="AJ49" i="5"/>
  <c r="AY16" i="5"/>
  <c r="AS16" i="5"/>
  <c r="AY19" i="5"/>
  <c r="AS19" i="5"/>
  <c r="AY22" i="5"/>
  <c r="AG22" i="5"/>
  <c r="AV22" i="5"/>
  <c r="AV24" i="5"/>
  <c r="AV26" i="5"/>
  <c r="AV28" i="5"/>
  <c r="BH29" i="5"/>
  <c r="AP31" i="5"/>
  <c r="AV36" i="5"/>
  <c r="AS41" i="5"/>
  <c r="AD45" i="5"/>
  <c r="AT31" i="5"/>
  <c r="AY34" i="5"/>
  <c r="AJ34" i="5"/>
  <c r="U34" i="5"/>
  <c r="E34" i="5"/>
  <c r="AV34" i="5"/>
  <c r="AG34" i="5"/>
  <c r="R34" i="5"/>
  <c r="AA34" i="5"/>
  <c r="AS34" i="5"/>
  <c r="X37" i="5"/>
  <c r="AA38" i="5"/>
  <c r="BB38" i="5"/>
  <c r="L38" i="5"/>
  <c r="AM38" i="5"/>
  <c r="X38" i="5"/>
  <c r="I38" i="5"/>
  <c r="AV38" i="5"/>
  <c r="AG38" i="5"/>
  <c r="R38" i="5"/>
  <c r="AS38" i="5"/>
  <c r="AY38" i="5"/>
  <c r="BE39" i="5"/>
  <c r="AA40" i="5"/>
  <c r="AM48" i="5"/>
  <c r="AP56" i="5"/>
  <c r="X23" i="5"/>
  <c r="BH23" i="5"/>
  <c r="AH24" i="5"/>
  <c r="X25" i="5"/>
  <c r="BH25" i="5"/>
  <c r="AH26" i="5"/>
  <c r="X27" i="5"/>
  <c r="BH27" i="5"/>
  <c r="AH28" i="5"/>
  <c r="X29" i="5"/>
  <c r="BE30" i="5"/>
  <c r="AP30" i="5"/>
  <c r="X30" i="5"/>
  <c r="AM30" i="5"/>
  <c r="AV30" i="5"/>
  <c r="L30" i="5"/>
  <c r="I30" i="5"/>
  <c r="AA30" i="5"/>
  <c r="AZ30" i="5"/>
  <c r="AU31" i="5"/>
  <c r="AM34" i="5"/>
  <c r="AP35" i="5"/>
  <c r="AJ38" i="5"/>
  <c r="BB41" i="5"/>
  <c r="AP42" i="5"/>
  <c r="AD43" i="5"/>
  <c r="AM45" i="5"/>
  <c r="AY53" i="5"/>
  <c r="X15" i="5"/>
  <c r="BB15" i="5"/>
  <c r="AV16" i="5"/>
  <c r="AD17" i="5"/>
  <c r="X18" i="5"/>
  <c r="BB18" i="5"/>
  <c r="AV19" i="5"/>
  <c r="AD20" i="5"/>
  <c r="X21" i="5"/>
  <c r="BB21" i="5"/>
  <c r="AJ22" i="5"/>
  <c r="AS23" i="5"/>
  <c r="AS25" i="5"/>
  <c r="AS27" i="5"/>
  <c r="AS29" i="5"/>
  <c r="AD30" i="5"/>
  <c r="AV31" i="5"/>
  <c r="O33" i="5"/>
  <c r="AP33" i="5"/>
  <c r="I34" i="5"/>
  <c r="BB36" i="5"/>
  <c r="AD37" i="5"/>
  <c r="E38" i="5"/>
  <c r="AM40" i="5"/>
  <c r="AG42" i="5"/>
  <c r="AS42" i="5"/>
  <c r="BE46" i="5"/>
  <c r="AD49" i="5"/>
  <c r="BH44" i="5"/>
  <c r="BE53" i="5"/>
  <c r="AS53" i="5"/>
  <c r="AG53" i="5"/>
  <c r="BH53" i="5"/>
  <c r="X53" i="5"/>
  <c r="I53" i="5"/>
  <c r="AP53" i="5"/>
  <c r="U53" i="5"/>
  <c r="E53" i="5"/>
  <c r="AM53" i="5"/>
  <c r="L53" i="5"/>
  <c r="BB53" i="5"/>
  <c r="AD53" i="5"/>
  <c r="AV53" i="5"/>
  <c r="R53" i="5"/>
  <c r="AJ53" i="5"/>
  <c r="O53" i="5"/>
  <c r="AA46" i="5"/>
  <c r="BB46" i="5"/>
  <c r="L46" i="5"/>
  <c r="AS46" i="5"/>
  <c r="I46" i="5"/>
  <c r="BH46" i="5"/>
  <c r="AP46" i="5"/>
  <c r="X46" i="5"/>
  <c r="AJ46" i="5"/>
  <c r="R46" i="5"/>
  <c r="AG46" i="5"/>
  <c r="AV46" i="5"/>
  <c r="AD46" i="5"/>
  <c r="AM46" i="5"/>
  <c r="AY48" i="5"/>
  <c r="AJ48" i="5"/>
  <c r="U48" i="5"/>
  <c r="AS48" i="5"/>
  <c r="L48" i="5"/>
  <c r="AA48" i="5"/>
  <c r="BH48" i="5"/>
  <c r="AP48" i="5"/>
  <c r="I48" i="5"/>
  <c r="BB48" i="5"/>
  <c r="R48" i="5"/>
  <c r="AG48" i="5"/>
  <c r="AV48" i="5"/>
  <c r="AD48" i="5"/>
  <c r="AD52" i="5"/>
  <c r="AA52" i="5"/>
  <c r="L52" i="5"/>
  <c r="O52" i="5"/>
  <c r="AV52" i="5"/>
  <c r="AY52" i="5"/>
  <c r="AS52" i="5"/>
  <c r="X52" i="5"/>
  <c r="E52" i="5"/>
  <c r="BH52" i="5"/>
  <c r="AM52" i="5"/>
  <c r="BE52" i="5"/>
  <c r="R52" i="5"/>
  <c r="AJ52" i="5"/>
  <c r="AG52" i="5"/>
  <c r="I52" i="5"/>
  <c r="AV43" i="5"/>
  <c r="AG43" i="5"/>
  <c r="R43" i="5"/>
  <c r="BB43" i="5"/>
  <c r="AM43" i="5"/>
  <c r="X43" i="5"/>
  <c r="U43" i="5"/>
  <c r="E43" i="5"/>
  <c r="AY43" i="5"/>
  <c r="AJ43" i="5"/>
  <c r="AS43" i="5"/>
  <c r="AP43" i="5"/>
  <c r="I43" i="5"/>
  <c r="E46" i="5"/>
  <c r="AY46" i="5"/>
  <c r="AV50" i="5"/>
  <c r="AP51" i="5"/>
  <c r="BE55" i="5"/>
  <c r="AS55" i="5"/>
  <c r="AG55" i="5"/>
  <c r="U55" i="5"/>
  <c r="I55" i="5"/>
  <c r="AJ55" i="5"/>
  <c r="AV55" i="5"/>
  <c r="AY55" i="5"/>
  <c r="AA55" i="5"/>
  <c r="E55" i="5"/>
  <c r="X55" i="5"/>
  <c r="BB55" i="5"/>
  <c r="R55" i="5"/>
  <c r="O55" i="5"/>
  <c r="AM55" i="5"/>
  <c r="BH55" i="5"/>
  <c r="AD55" i="5"/>
  <c r="AP52" i="5"/>
  <c r="O15" i="5"/>
  <c r="AA15" i="5"/>
  <c r="AM15" i="5"/>
  <c r="O16" i="5"/>
  <c r="AA16" i="5"/>
  <c r="AM16" i="5"/>
  <c r="O17" i="5"/>
  <c r="AA17" i="5"/>
  <c r="AM17" i="5"/>
  <c r="O18" i="5"/>
  <c r="AA18" i="5"/>
  <c r="AM18" i="5"/>
  <c r="O19" i="5"/>
  <c r="AA19" i="5"/>
  <c r="AM19" i="5"/>
  <c r="O20" i="5"/>
  <c r="AA20" i="5"/>
  <c r="AM20" i="5"/>
  <c r="O21" i="5"/>
  <c r="AA21" i="5"/>
  <c r="AM21" i="5"/>
  <c r="O22" i="5"/>
  <c r="AA22" i="5"/>
  <c r="AM22" i="5"/>
  <c r="O23" i="5"/>
  <c r="AA23" i="5"/>
  <c r="AM23" i="5"/>
  <c r="O24" i="5"/>
  <c r="AA24" i="5"/>
  <c r="AM24" i="5"/>
  <c r="O25" i="5"/>
  <c r="AA25" i="5"/>
  <c r="AM25" i="5"/>
  <c r="O26" i="5"/>
  <c r="AA26" i="5"/>
  <c r="AM26" i="5"/>
  <c r="O27" i="5"/>
  <c r="AA27" i="5"/>
  <c r="AM27" i="5"/>
  <c r="O28" i="5"/>
  <c r="AA28" i="5"/>
  <c r="AM28" i="5"/>
  <c r="AV29" i="5"/>
  <c r="O29" i="5"/>
  <c r="AA29" i="5"/>
  <c r="AM29" i="5"/>
  <c r="AY40" i="5"/>
  <c r="AJ40" i="5"/>
  <c r="U40" i="5"/>
  <c r="E40" i="5"/>
  <c r="AV40" i="5"/>
  <c r="AG40" i="5"/>
  <c r="R40" i="5"/>
  <c r="BE40" i="5"/>
  <c r="AP40" i="5"/>
  <c r="X40" i="5"/>
  <c r="I40" i="5"/>
  <c r="AD40" i="5"/>
  <c r="BH40" i="5"/>
  <c r="BE43" i="5"/>
  <c r="BB52" i="5"/>
  <c r="AP55" i="5"/>
  <c r="BH43" i="5"/>
  <c r="BE56" i="5"/>
  <c r="AS56" i="5"/>
  <c r="AG56" i="5"/>
  <c r="U56" i="5"/>
  <c r="I56" i="5"/>
  <c r="X56" i="5"/>
  <c r="E56" i="5"/>
  <c r="AJ56" i="5"/>
  <c r="AY56" i="5"/>
  <c r="AD56" i="5"/>
  <c r="AV56" i="5"/>
  <c r="AA56" i="5"/>
  <c r="BH56" i="5"/>
  <c r="AM56" i="5"/>
  <c r="L56" i="5"/>
  <c r="AD35" i="5"/>
  <c r="AS35" i="5"/>
  <c r="BH35" i="5"/>
  <c r="AP36" i="5"/>
  <c r="AD41" i="5"/>
  <c r="R51" i="5"/>
  <c r="BE51" i="5"/>
  <c r="O51" i="5"/>
  <c r="AM51" i="5"/>
  <c r="U51" i="5"/>
  <c r="E51" i="5"/>
  <c r="X51" i="5"/>
  <c r="BB56" i="5"/>
  <c r="BH66" i="5"/>
  <c r="U66" i="5"/>
  <c r="BB66" i="5"/>
  <c r="O66" i="5"/>
  <c r="AY66" i="5"/>
  <c r="AV66" i="5"/>
  <c r="L66" i="5"/>
  <c r="BE66" i="5"/>
  <c r="AJ66" i="5"/>
  <c r="AG66" i="5"/>
  <c r="I66" i="5"/>
  <c r="AD66" i="5"/>
  <c r="AP66" i="5"/>
  <c r="AM66" i="5"/>
  <c r="AA66" i="5"/>
  <c r="X66" i="5"/>
  <c r="AS66" i="5"/>
  <c r="E66" i="5"/>
  <c r="AV41" i="5"/>
  <c r="AJ42" i="5"/>
  <c r="U42" i="5"/>
  <c r="R42" i="5"/>
  <c r="AY42" i="5"/>
  <c r="AS51" i="5"/>
  <c r="R56" i="5"/>
  <c r="AD61" i="5"/>
  <c r="AA51" i="5"/>
  <c r="AV51" i="5"/>
  <c r="R66" i="5"/>
  <c r="AG68" i="5"/>
  <c r="E42" i="5"/>
  <c r="O45" i="5"/>
  <c r="BE45" i="5"/>
  <c r="AP45" i="5"/>
  <c r="AM47" i="5"/>
  <c r="X47" i="5"/>
  <c r="I47" i="5"/>
  <c r="E49" i="5"/>
  <c r="AV49" i="5"/>
  <c r="AG49" i="5"/>
  <c r="R49" i="5"/>
  <c r="U49" i="5"/>
  <c r="BB49" i="5"/>
  <c r="BE57" i="5"/>
  <c r="AS57" i="5"/>
  <c r="AG57" i="5"/>
  <c r="U57" i="5"/>
  <c r="I57" i="5"/>
  <c r="BH57" i="5"/>
  <c r="L57" i="5"/>
  <c r="X57" i="5"/>
  <c r="BB57" i="5"/>
  <c r="O57" i="5"/>
  <c r="AY57" i="5"/>
  <c r="AD57" i="5"/>
  <c r="AP57" i="5"/>
  <c r="AM58" i="5"/>
  <c r="AJ58" i="5"/>
  <c r="BH58" i="5"/>
  <c r="AG58" i="5"/>
  <c r="U58" i="5"/>
  <c r="I58" i="5"/>
  <c r="AS58" i="5"/>
  <c r="L58" i="5"/>
  <c r="BE69" i="5"/>
  <c r="O69" i="5"/>
  <c r="AY69" i="5"/>
  <c r="U69" i="5"/>
  <c r="AG69" i="5"/>
  <c r="E69" i="5"/>
  <c r="BH69" i="5"/>
  <c r="R69" i="5"/>
  <c r="AS69" i="5"/>
  <c r="X69" i="5"/>
  <c r="AP69" i="5"/>
  <c r="AM69" i="5"/>
  <c r="BB69" i="5"/>
  <c r="L69" i="5"/>
  <c r="AV69" i="5"/>
  <c r="I69" i="5"/>
  <c r="AA69" i="5"/>
  <c r="X58" i="5"/>
  <c r="AV58" i="5"/>
  <c r="AV71" i="5"/>
  <c r="BE71" i="5"/>
  <c r="AJ71" i="5"/>
  <c r="I71" i="5"/>
  <c r="AD71" i="5"/>
  <c r="BB71" i="5"/>
  <c r="AY71" i="5"/>
  <c r="X71" i="5"/>
  <c r="AP71" i="5"/>
  <c r="AM71" i="5"/>
  <c r="AG71" i="5"/>
  <c r="AA71" i="5"/>
  <c r="E71" i="5"/>
  <c r="BH71" i="5"/>
  <c r="E58" i="5"/>
  <c r="AY58" i="5"/>
  <c r="BE72" i="5"/>
  <c r="AS72" i="5"/>
  <c r="AG72" i="5"/>
  <c r="U72" i="5"/>
  <c r="AP72" i="5"/>
  <c r="X72" i="5"/>
  <c r="BH72" i="5"/>
  <c r="E72" i="5"/>
  <c r="AM72" i="5"/>
  <c r="AY72" i="5"/>
  <c r="O72" i="5"/>
  <c r="AJ72" i="5"/>
  <c r="AD72" i="5"/>
  <c r="L72" i="5"/>
  <c r="I72" i="5"/>
  <c r="BB72" i="5"/>
  <c r="B11" i="23"/>
  <c r="C67" i="23" s="1"/>
  <c r="B6" i="23"/>
  <c r="B17" i="23"/>
  <c r="D74" i="23"/>
  <c r="D83" i="23"/>
  <c r="B83" i="23"/>
  <c r="B9" i="23"/>
  <c r="C54" i="23" s="1"/>
  <c r="R71" i="5"/>
  <c r="AD44" i="5"/>
  <c r="AS44" i="5"/>
  <c r="BE54" i="5"/>
  <c r="AS54" i="5"/>
  <c r="AG54" i="5"/>
  <c r="U54" i="5"/>
  <c r="I54" i="5"/>
  <c r="AV54" i="5"/>
  <c r="BH54" i="5"/>
  <c r="L54" i="5"/>
  <c r="AP54" i="5"/>
  <c r="O58" i="5"/>
  <c r="BE58" i="5"/>
  <c r="BB61" i="5"/>
  <c r="AD69" i="5"/>
  <c r="U71" i="5"/>
  <c r="AJ50" i="5"/>
  <c r="BH50" i="5"/>
  <c r="AG50" i="5"/>
  <c r="R50" i="5"/>
  <c r="AY50" i="5"/>
  <c r="R58" i="5"/>
  <c r="R61" i="5"/>
  <c r="BE61" i="5"/>
  <c r="L61" i="5"/>
  <c r="AV61" i="5"/>
  <c r="AA61" i="5"/>
  <c r="X61" i="5"/>
  <c r="AP61" i="5"/>
  <c r="E61" i="5"/>
  <c r="AY61" i="5"/>
  <c r="AG61" i="5"/>
  <c r="AS68" i="5"/>
  <c r="AM68" i="5"/>
  <c r="L68" i="5"/>
  <c r="AY68" i="5"/>
  <c r="AJ68" i="5"/>
  <c r="AV68" i="5"/>
  <c r="I68" i="5"/>
  <c r="X68" i="5"/>
  <c r="BH68" i="5"/>
  <c r="R68" i="5"/>
  <c r="O68" i="5"/>
  <c r="AP68" i="5"/>
  <c r="AJ69" i="5"/>
  <c r="X60" i="5"/>
  <c r="AG60" i="5"/>
  <c r="R60" i="5"/>
  <c r="E60" i="5"/>
  <c r="U60" i="5"/>
  <c r="AM60" i="5"/>
  <c r="Q152" i="23"/>
  <c r="Q144" i="23"/>
  <c r="Q112" i="23"/>
  <c r="O156" i="23"/>
  <c r="O152" i="23"/>
  <c r="O148" i="23"/>
  <c r="O124" i="23"/>
  <c r="O120" i="23"/>
  <c r="O151" i="23"/>
  <c r="O96" i="23"/>
  <c r="O115" i="23"/>
  <c r="P50" i="23"/>
  <c r="P47" i="23"/>
  <c r="P44" i="23"/>
  <c r="Q119" i="23"/>
  <c r="Q118" i="23"/>
  <c r="O157" i="23"/>
  <c r="Q141" i="23"/>
  <c r="O103" i="23"/>
  <c r="Q149" i="23"/>
  <c r="Q137" i="23"/>
  <c r="O123" i="23"/>
  <c r="O155" i="23"/>
  <c r="O143" i="23"/>
  <c r="O159" i="23"/>
  <c r="O149" i="23"/>
  <c r="P34" i="23"/>
  <c r="Q151" i="23"/>
  <c r="O127" i="23"/>
  <c r="O111" i="23"/>
  <c r="Q123" i="23"/>
  <c r="Q107" i="23"/>
  <c r="Q113" i="23"/>
  <c r="Q142" i="23"/>
  <c r="P46" i="23"/>
  <c r="O92" i="23"/>
  <c r="Q139" i="23"/>
  <c r="O126" i="23"/>
  <c r="P42" i="23"/>
  <c r="Q145" i="23"/>
  <c r="BE59" i="5"/>
  <c r="R59" i="5"/>
  <c r="E59" i="5"/>
  <c r="BB59" i="5"/>
  <c r="O59" i="5"/>
  <c r="AM59" i="5"/>
  <c r="AV60" i="5"/>
  <c r="AP65" i="5"/>
  <c r="AD60" i="5"/>
  <c r="BE62" i="5"/>
  <c r="BB62" i="5"/>
  <c r="AM62" i="5"/>
  <c r="AY62" i="5"/>
  <c r="BH62" i="5"/>
  <c r="AJ64" i="5"/>
  <c r="AD64" i="5"/>
  <c r="O64" i="5"/>
  <c r="AP64" i="5"/>
  <c r="AA64" i="5"/>
  <c r="X64" i="5"/>
  <c r="U64" i="5"/>
  <c r="X59" i="5"/>
  <c r="AP59" i="5"/>
  <c r="BH59" i="5"/>
  <c r="E62" i="5"/>
  <c r="X62" i="5"/>
  <c r="BE63" i="5"/>
  <c r="R63" i="5"/>
  <c r="E63" i="5"/>
  <c r="AY63" i="5"/>
  <c r="X63" i="5"/>
  <c r="BH63" i="5"/>
  <c r="AS63" i="5"/>
  <c r="I63" i="5"/>
  <c r="BB63" i="5"/>
  <c r="AM63" i="5"/>
  <c r="E64" i="5"/>
  <c r="O31" i="23"/>
  <c r="L31" i="23"/>
  <c r="I31" i="23"/>
  <c r="C31" i="23"/>
  <c r="F31" i="23"/>
  <c r="A51" i="23"/>
  <c r="A82" i="23"/>
  <c r="A73" i="23"/>
  <c r="A79" i="23"/>
  <c r="A85" i="23"/>
  <c r="B53" i="23"/>
  <c r="A76" i="23"/>
  <c r="B64" i="23"/>
  <c r="BE73" i="5"/>
  <c r="AS73" i="5"/>
  <c r="AG73" i="5"/>
  <c r="U73" i="5"/>
  <c r="I73" i="5"/>
  <c r="BB73" i="5"/>
  <c r="O73" i="5"/>
  <c r="X73" i="5"/>
  <c r="BH73" i="5"/>
  <c r="R73" i="5"/>
  <c r="AJ73" i="5"/>
  <c r="AA67" i="5"/>
  <c r="AG67" i="5"/>
  <c r="BE67" i="5"/>
  <c r="R67" i="5"/>
  <c r="E67" i="5"/>
  <c r="AD67" i="5"/>
  <c r="U67" i="5"/>
  <c r="AM67" i="5"/>
  <c r="BH67" i="5"/>
  <c r="AA70" i="5"/>
  <c r="AP73" i="5"/>
  <c r="L73" i="5"/>
  <c r="M157" i="23"/>
  <c r="M153" i="23"/>
  <c r="M149" i="23"/>
  <c r="M145" i="23"/>
  <c r="M141" i="23"/>
  <c r="M137" i="23"/>
  <c r="M133" i="23"/>
  <c r="M129" i="23"/>
  <c r="M125" i="23"/>
  <c r="M121" i="23"/>
  <c r="M117" i="23"/>
  <c r="M113" i="23"/>
  <c r="M109" i="23"/>
  <c r="M105" i="23"/>
  <c r="M101" i="23"/>
  <c r="M97" i="23"/>
  <c r="M159" i="23"/>
  <c r="M155" i="23"/>
  <c r="M151" i="23"/>
  <c r="M147" i="23"/>
  <c r="M143" i="23"/>
  <c r="M139" i="23"/>
  <c r="M156" i="23"/>
  <c r="M150" i="23"/>
  <c r="M138" i="23"/>
  <c r="M128" i="23"/>
  <c r="M127" i="23"/>
  <c r="M126" i="23"/>
  <c r="M112" i="23"/>
  <c r="M111" i="23"/>
  <c r="M110" i="23"/>
  <c r="M160" i="23"/>
  <c r="M91" i="23"/>
  <c r="M96" i="23"/>
  <c r="M152" i="23"/>
  <c r="M140" i="23"/>
  <c r="M132" i="23"/>
  <c r="M131" i="23"/>
  <c r="M130" i="23"/>
  <c r="M116" i="23"/>
  <c r="M115" i="23"/>
  <c r="M114" i="23"/>
  <c r="M100" i="23"/>
  <c r="M99" i="23"/>
  <c r="M98" i="23"/>
  <c r="M146" i="23"/>
  <c r="M95" i="23"/>
  <c r="M158" i="23"/>
  <c r="M148" i="23"/>
  <c r="M136" i="23"/>
  <c r="M93" i="23"/>
  <c r="M154" i="23"/>
  <c r="M142" i="23"/>
  <c r="M124" i="23"/>
  <c r="M123" i="23"/>
  <c r="M122" i="23"/>
  <c r="M108" i="23"/>
  <c r="M107" i="23"/>
  <c r="M106" i="23"/>
  <c r="M134" i="23"/>
  <c r="M118" i="23"/>
  <c r="M102" i="23"/>
  <c r="M144" i="23"/>
  <c r="M92" i="23"/>
  <c r="M135" i="23"/>
  <c r="M119" i="23"/>
  <c r="M103" i="23"/>
  <c r="M120" i="23"/>
  <c r="M94" i="23"/>
  <c r="X67" i="5"/>
  <c r="AS67" i="5"/>
  <c r="AY73" i="5"/>
  <c r="AD70" i="5"/>
  <c r="B7" i="23"/>
  <c r="B18" i="23"/>
  <c r="M10" i="3" s="1"/>
  <c r="AS70" i="5"/>
  <c r="BH70" i="5"/>
  <c r="AY74" i="5"/>
  <c r="AM74" i="5"/>
  <c r="AA74" i="5"/>
  <c r="O74" i="5"/>
  <c r="BE74" i="5"/>
  <c r="AS74" i="5"/>
  <c r="AG74" i="5"/>
  <c r="U74" i="5"/>
  <c r="I74" i="5"/>
  <c r="X74" i="5"/>
  <c r="AV74" i="5"/>
  <c r="G38" i="23"/>
  <c r="F133" i="23"/>
  <c r="I65" i="5"/>
  <c r="AV65" i="5"/>
  <c r="E70" i="5"/>
  <c r="AG70" i="5"/>
  <c r="E74" i="5"/>
  <c r="C86" i="23"/>
  <c r="G50" i="23"/>
  <c r="H106" i="23"/>
  <c r="D160" i="23"/>
  <c r="D156" i="23"/>
  <c r="D152" i="23"/>
  <c r="D148" i="23"/>
  <c r="D144" i="23"/>
  <c r="D140" i="23"/>
  <c r="D136" i="23"/>
  <c r="D132" i="23"/>
  <c r="D128" i="23"/>
  <c r="D124" i="23"/>
  <c r="D120" i="23"/>
  <c r="D116" i="23"/>
  <c r="D112" i="23"/>
  <c r="D108" i="23"/>
  <c r="D104" i="23"/>
  <c r="D100" i="23"/>
  <c r="D158" i="23"/>
  <c r="D154" i="23"/>
  <c r="D150" i="23"/>
  <c r="D146" i="23"/>
  <c r="D142" i="23"/>
  <c r="D138" i="23"/>
  <c r="D153" i="23"/>
  <c r="D141" i="23"/>
  <c r="D135" i="23"/>
  <c r="D134" i="23"/>
  <c r="D133" i="23"/>
  <c r="D119" i="23"/>
  <c r="D118" i="23"/>
  <c r="D117" i="23"/>
  <c r="D103" i="23"/>
  <c r="D102" i="23"/>
  <c r="D101" i="23"/>
  <c r="D95" i="23"/>
  <c r="D94" i="23"/>
  <c r="D159" i="23"/>
  <c r="D155" i="23"/>
  <c r="D143" i="23"/>
  <c r="D123" i="23"/>
  <c r="D122" i="23"/>
  <c r="D121" i="23"/>
  <c r="D107" i="23"/>
  <c r="D106" i="23"/>
  <c r="D105" i="23"/>
  <c r="D149" i="23"/>
  <c r="D137" i="23"/>
  <c r="D93" i="23"/>
  <c r="D151" i="23"/>
  <c r="D139" i="23"/>
  <c r="D92" i="23"/>
  <c r="D145" i="23"/>
  <c r="D157" i="23"/>
  <c r="D131" i="23"/>
  <c r="D130" i="23"/>
  <c r="D129" i="23"/>
  <c r="D115" i="23"/>
  <c r="D114" i="23"/>
  <c r="D113" i="23"/>
  <c r="D125" i="23"/>
  <c r="D109" i="23"/>
  <c r="D97" i="23"/>
  <c r="D99" i="23"/>
  <c r="D127" i="23"/>
  <c r="D147" i="23"/>
  <c r="D96" i="23"/>
  <c r="D91" i="23"/>
  <c r="D126" i="23"/>
  <c r="D110" i="23"/>
  <c r="D98" i="23"/>
  <c r="H147" i="23"/>
  <c r="H143" i="23"/>
  <c r="H139" i="23"/>
  <c r="H115" i="23"/>
  <c r="H111" i="23"/>
  <c r="H107" i="23"/>
  <c r="F151" i="23"/>
  <c r="F147" i="23"/>
  <c r="F143" i="23"/>
  <c r="F119" i="23"/>
  <c r="F115" i="23"/>
  <c r="F111" i="23"/>
  <c r="F142" i="23"/>
  <c r="F94" i="23"/>
  <c r="H93" i="23"/>
  <c r="F121" i="23"/>
  <c r="F120" i="23"/>
  <c r="F106" i="23"/>
  <c r="F137" i="23"/>
  <c r="H126" i="23"/>
  <c r="H125" i="23"/>
  <c r="G49" i="23"/>
  <c r="G46" i="23"/>
  <c r="G43" i="23"/>
  <c r="F138" i="23"/>
  <c r="F126" i="23"/>
  <c r="F125" i="23"/>
  <c r="H152" i="23"/>
  <c r="H140" i="23"/>
  <c r="F130" i="23"/>
  <c r="F98" i="23"/>
  <c r="H96" i="23"/>
  <c r="F146" i="23"/>
  <c r="H116" i="23"/>
  <c r="H102" i="23"/>
  <c r="H101" i="23"/>
  <c r="H141" i="23"/>
  <c r="F140" i="23"/>
  <c r="F156" i="23"/>
  <c r="F145" i="23"/>
  <c r="H97" i="23"/>
  <c r="G42" i="23"/>
  <c r="F118" i="23"/>
  <c r="F102" i="23"/>
  <c r="F95" i="23"/>
  <c r="F144" i="23"/>
  <c r="H130" i="23"/>
  <c r="H114" i="23"/>
  <c r="H98" i="23"/>
  <c r="F96" i="23"/>
  <c r="H129" i="23"/>
  <c r="G34" i="23"/>
  <c r="G35" i="23"/>
  <c r="H142" i="23"/>
  <c r="B5" i="23"/>
  <c r="B31" i="23"/>
  <c r="B57" i="23"/>
  <c r="C82" i="23"/>
  <c r="C57" i="23"/>
  <c r="B65" i="23"/>
  <c r="B74" i="23"/>
  <c r="D82" i="23"/>
  <c r="B21" i="23"/>
  <c r="E31" i="23"/>
  <c r="D57" i="23"/>
  <c r="D66" i="23"/>
  <c r="C74" i="23"/>
  <c r="C22" i="23"/>
  <c r="D58" i="23"/>
  <c r="D67" i="23"/>
  <c r="B76" i="23"/>
  <c r="B23" i="23"/>
  <c r="K31" i="23"/>
  <c r="C60" i="23"/>
  <c r="B68" i="23"/>
  <c r="C77" i="23"/>
  <c r="B86" i="23"/>
  <c r="B82" i="23"/>
  <c r="B77" i="23"/>
  <c r="B73" i="23"/>
  <c r="C66" i="23"/>
  <c r="B60" i="23"/>
  <c r="B56" i="23"/>
  <c r="B66" i="23"/>
  <c r="D59" i="23"/>
  <c r="D55" i="23"/>
  <c r="D85" i="23"/>
  <c r="D80" i="23"/>
  <c r="D76" i="23"/>
  <c r="D69" i="23"/>
  <c r="D65" i="23"/>
  <c r="C59" i="23"/>
  <c r="C55" i="23"/>
  <c r="C85" i="23"/>
  <c r="C80" i="23"/>
  <c r="C76" i="23"/>
  <c r="C65" i="23"/>
  <c r="B59" i="23"/>
  <c r="B55" i="23"/>
  <c r="B85" i="23"/>
  <c r="B80" i="23"/>
  <c r="C83" i="23"/>
  <c r="C79" i="23"/>
  <c r="C23" i="23"/>
  <c r="B54" i="23"/>
  <c r="D60" i="23"/>
  <c r="C68" i="23"/>
  <c r="D77" i="23"/>
  <c r="D86" i="23"/>
  <c r="B24" i="23"/>
  <c r="N31" i="23"/>
  <c r="B61" i="23"/>
  <c r="D68" i="23"/>
  <c r="D54" i="23"/>
  <c r="C61" i="23"/>
  <c r="B69" i="23"/>
  <c r="B79" i="23"/>
  <c r="O142" i="23" l="1"/>
  <c r="P37" i="23"/>
  <c r="O117" i="23"/>
  <c r="O129" i="23"/>
  <c r="Q116" i="23"/>
  <c r="P32" i="23"/>
  <c r="P40" i="23"/>
  <c r="O118" i="23"/>
  <c r="O130" i="23"/>
  <c r="Q120" i="23"/>
  <c r="O153" i="23"/>
  <c r="Q150" i="23"/>
  <c r="Q153" i="23"/>
  <c r="O139" i="23"/>
  <c r="Q148" i="23"/>
  <c r="Q131" i="23"/>
  <c r="P39" i="23"/>
  <c r="Q127" i="23"/>
  <c r="Q117" i="23"/>
  <c r="O116" i="23"/>
  <c r="F117" i="23"/>
  <c r="H122" i="23"/>
  <c r="G41" i="23"/>
  <c r="H91" i="23"/>
  <c r="G51" i="23"/>
  <c r="O13" i="3"/>
  <c r="G32" i="23"/>
  <c r="F91" i="23"/>
  <c r="G47" i="23"/>
  <c r="G37" i="23"/>
  <c r="F101" i="23"/>
  <c r="H105" i="23"/>
  <c r="F134" i="23"/>
  <c r="F160" i="23"/>
  <c r="F152" i="23"/>
  <c r="H117" i="23"/>
  <c r="F112" i="23"/>
  <c r="H157" i="23"/>
  <c r="F150" i="23"/>
  <c r="F93" i="23"/>
  <c r="H138" i="23"/>
  <c r="F122" i="23"/>
  <c r="F154" i="23"/>
  <c r="F123" i="23"/>
  <c r="F155" i="23"/>
  <c r="H119" i="23"/>
  <c r="H151" i="23"/>
  <c r="C90" i="23"/>
  <c r="O110" i="23"/>
  <c r="Q98" i="23"/>
  <c r="P35" i="23"/>
  <c r="Q129" i="23"/>
  <c r="Q154" i="23"/>
  <c r="P48" i="23"/>
  <c r="Q105" i="23"/>
  <c r="Q109" i="23"/>
  <c r="O105" i="23"/>
  <c r="Q159" i="23"/>
  <c r="O119" i="23"/>
  <c r="Q94" i="23"/>
  <c r="Q133" i="23"/>
  <c r="O97" i="23"/>
  <c r="O131" i="23"/>
  <c r="O158" i="23"/>
  <c r="O128" i="23"/>
  <c r="O160" i="23"/>
  <c r="Q124" i="23"/>
  <c r="Q156" i="23"/>
  <c r="G40" i="23"/>
  <c r="H104" i="23"/>
  <c r="H121" i="23"/>
  <c r="F141" i="23"/>
  <c r="F100" i="23"/>
  <c r="H153" i="23"/>
  <c r="H118" i="23"/>
  <c r="F113" i="23"/>
  <c r="F108" i="23"/>
  <c r="H160" i="23"/>
  <c r="H108" i="23"/>
  <c r="F149" i="23"/>
  <c r="F136" i="23"/>
  <c r="F157" i="23"/>
  <c r="F127" i="23"/>
  <c r="F159" i="23"/>
  <c r="H123" i="23"/>
  <c r="H155" i="23"/>
  <c r="H154" i="23"/>
  <c r="Q97" i="23"/>
  <c r="P51" i="23"/>
  <c r="P38" i="23"/>
  <c r="Q143" i="23"/>
  <c r="Q158" i="23"/>
  <c r="P49" i="23"/>
  <c r="Q121" i="23"/>
  <c r="Q110" i="23"/>
  <c r="O106" i="23"/>
  <c r="Q93" i="23"/>
  <c r="O133" i="23"/>
  <c r="O95" i="23"/>
  <c r="Q134" i="23"/>
  <c r="O98" i="23"/>
  <c r="O145" i="23"/>
  <c r="O100" i="23"/>
  <c r="O132" i="23"/>
  <c r="Q96" i="23"/>
  <c r="Q128" i="23"/>
  <c r="Q160" i="23"/>
  <c r="H146" i="23"/>
  <c r="H120" i="23"/>
  <c r="H148" i="23"/>
  <c r="G33" i="23"/>
  <c r="H112" i="23"/>
  <c r="H158" i="23"/>
  <c r="H132" i="23"/>
  <c r="F114" i="23"/>
  <c r="F109" i="23"/>
  <c r="H92" i="23"/>
  <c r="H109" i="23"/>
  <c r="H150" i="23"/>
  <c r="H137" i="23"/>
  <c r="F99" i="23"/>
  <c r="F131" i="23"/>
  <c r="H95" i="23"/>
  <c r="H127" i="23"/>
  <c r="H159" i="23"/>
  <c r="F116" i="23"/>
  <c r="P43" i="23"/>
  <c r="Q115" i="23"/>
  <c r="Q92" i="23"/>
  <c r="P41" i="23"/>
  <c r="O154" i="23"/>
  <c r="O91" i="23"/>
  <c r="Q91" i="23"/>
  <c r="O141" i="23"/>
  <c r="Q111" i="23"/>
  <c r="O107" i="23"/>
  <c r="O94" i="23"/>
  <c r="O134" i="23"/>
  <c r="Q101" i="23"/>
  <c r="Q135" i="23"/>
  <c r="O99" i="23"/>
  <c r="Q146" i="23"/>
  <c r="O104" i="23"/>
  <c r="O136" i="23"/>
  <c r="Q100" i="23"/>
  <c r="Q132" i="23"/>
  <c r="P3" i="3"/>
  <c r="O90" i="23"/>
  <c r="H94" i="23"/>
  <c r="H136" i="23"/>
  <c r="G44" i="23"/>
  <c r="G36" i="23"/>
  <c r="H128" i="23"/>
  <c r="F97" i="23"/>
  <c r="H133" i="23"/>
  <c r="F128" i="23"/>
  <c r="F110" i="23"/>
  <c r="H144" i="23"/>
  <c r="H110" i="23"/>
  <c r="F104" i="23"/>
  <c r="F148" i="23"/>
  <c r="F103" i="23"/>
  <c r="F135" i="23"/>
  <c r="H99" i="23"/>
  <c r="H131" i="23"/>
  <c r="G48" i="23"/>
  <c r="F92" i="23"/>
  <c r="O150" i="23"/>
  <c r="O125" i="23"/>
  <c r="O93" i="23"/>
  <c r="Q106" i="23"/>
  <c r="P33" i="23"/>
  <c r="Q114" i="23"/>
  <c r="Q99" i="23"/>
  <c r="O137" i="23"/>
  <c r="Q125" i="23"/>
  <c r="O121" i="23"/>
  <c r="O101" i="23"/>
  <c r="O135" i="23"/>
  <c r="Q102" i="23"/>
  <c r="O146" i="23"/>
  <c r="O113" i="23"/>
  <c r="Q157" i="23"/>
  <c r="O108" i="23"/>
  <c r="O140" i="23"/>
  <c r="Q104" i="23"/>
  <c r="Q136" i="23"/>
  <c r="F90" i="23"/>
  <c r="L90" i="23"/>
  <c r="H113" i="23"/>
  <c r="F158" i="23"/>
  <c r="G45" i="23"/>
  <c r="G39" i="23"/>
  <c r="H145" i="23"/>
  <c r="H100" i="23"/>
  <c r="H134" i="23"/>
  <c r="F129" i="23"/>
  <c r="F124" i="23"/>
  <c r="H156" i="23"/>
  <c r="H124" i="23"/>
  <c r="F105" i="23"/>
  <c r="H149" i="23"/>
  <c r="F107" i="23"/>
  <c r="F139" i="23"/>
  <c r="H103" i="23"/>
  <c r="H135" i="23"/>
  <c r="F153" i="23"/>
  <c r="F132" i="23"/>
  <c r="O109" i="23"/>
  <c r="O138" i="23"/>
  <c r="P45" i="23"/>
  <c r="Q122" i="23"/>
  <c r="P36" i="23"/>
  <c r="Q130" i="23"/>
  <c r="Q155" i="23"/>
  <c r="Q138" i="23"/>
  <c r="Q126" i="23"/>
  <c r="O122" i="23"/>
  <c r="O102" i="23"/>
  <c r="O147" i="23"/>
  <c r="Q103" i="23"/>
  <c r="Q147" i="23"/>
  <c r="O114" i="23"/>
  <c r="Q95" i="23"/>
  <c r="O112" i="23"/>
  <c r="O144" i="23"/>
  <c r="Q108" i="23"/>
  <c r="Q140" i="23"/>
  <c r="P133" i="23"/>
  <c r="P92" i="23"/>
  <c r="P129" i="23"/>
  <c r="P104" i="23"/>
  <c r="P152" i="23"/>
  <c r="P91" i="23"/>
  <c r="P109" i="23"/>
  <c r="P141" i="23"/>
  <c r="P147" i="23"/>
  <c r="P145" i="23"/>
  <c r="P116" i="23"/>
  <c r="D90" i="23"/>
  <c r="P131" i="23"/>
  <c r="P110" i="23"/>
  <c r="P153" i="23"/>
  <c r="P157" i="23"/>
  <c r="P138" i="23"/>
  <c r="P120" i="23"/>
  <c r="J90" i="23"/>
  <c r="P134" i="23"/>
  <c r="P93" i="23"/>
  <c r="P111" i="23"/>
  <c r="P94" i="23"/>
  <c r="P95" i="23"/>
  <c r="P142" i="23"/>
  <c r="P124" i="23"/>
  <c r="M90" i="23"/>
  <c r="P107" i="23"/>
  <c r="P125" i="23"/>
  <c r="P101" i="23"/>
  <c r="P97" i="23"/>
  <c r="P146" i="23"/>
  <c r="P128" i="23"/>
  <c r="P90" i="23"/>
  <c r="P106" i="23"/>
  <c r="P126" i="23"/>
  <c r="P102" i="23"/>
  <c r="P98" i="23"/>
  <c r="P150" i="23"/>
  <c r="P132" i="23"/>
  <c r="P105" i="23"/>
  <c r="P143" i="23"/>
  <c r="P130" i="23"/>
  <c r="P108" i="23"/>
  <c r="P156" i="23"/>
  <c r="P121" i="23"/>
  <c r="P155" i="23"/>
  <c r="P135" i="23"/>
  <c r="P112" i="23"/>
  <c r="P160" i="23"/>
  <c r="P122" i="23"/>
  <c r="P127" i="23"/>
  <c r="P103" i="23"/>
  <c r="P99" i="23"/>
  <c r="P154" i="23"/>
  <c r="P136" i="23"/>
  <c r="D111" i="23"/>
  <c r="O12" i="3"/>
  <c r="P139" i="23"/>
  <c r="P137" i="23"/>
  <c r="P117" i="23"/>
  <c r="P113" i="23"/>
  <c r="P158" i="23"/>
  <c r="P140" i="23"/>
  <c r="P123" i="23"/>
  <c r="P149" i="23"/>
  <c r="P118" i="23"/>
  <c r="P114" i="23"/>
  <c r="P96" i="23"/>
  <c r="P144" i="23"/>
  <c r="G90" i="23"/>
  <c r="P151" i="23"/>
  <c r="P159" i="23"/>
  <c r="P119" i="23"/>
  <c r="P115" i="23"/>
  <c r="P100" i="23"/>
  <c r="P148" i="23"/>
  <c r="K158" i="23"/>
  <c r="K154" i="23"/>
  <c r="K150" i="23"/>
  <c r="K146" i="23"/>
  <c r="K142" i="23"/>
  <c r="K138" i="23"/>
  <c r="K134" i="23"/>
  <c r="K130" i="23"/>
  <c r="K126" i="23"/>
  <c r="K122" i="23"/>
  <c r="K118" i="23"/>
  <c r="K114" i="23"/>
  <c r="K110" i="23"/>
  <c r="K106" i="23"/>
  <c r="K102" i="23"/>
  <c r="K98" i="23"/>
  <c r="K94" i="23"/>
  <c r="I158" i="23"/>
  <c r="I154" i="23"/>
  <c r="I150" i="23"/>
  <c r="I146" i="23"/>
  <c r="I142" i="23"/>
  <c r="I138" i="23"/>
  <c r="I134" i="23"/>
  <c r="I130" i="23"/>
  <c r="I126" i="23"/>
  <c r="I122" i="23"/>
  <c r="I118" i="23"/>
  <c r="I114" i="23"/>
  <c r="I110" i="23"/>
  <c r="I106" i="23"/>
  <c r="I102" i="23"/>
  <c r="I98" i="23"/>
  <c r="I160" i="23"/>
  <c r="I156" i="23"/>
  <c r="I149" i="23"/>
  <c r="I137" i="23"/>
  <c r="K92" i="23"/>
  <c r="I159" i="23"/>
  <c r="I155" i="23"/>
  <c r="K144" i="23"/>
  <c r="I143" i="23"/>
  <c r="I125" i="23"/>
  <c r="I124" i="23"/>
  <c r="I123" i="23"/>
  <c r="I109" i="23"/>
  <c r="I108" i="23"/>
  <c r="I107" i="23"/>
  <c r="K156" i="23"/>
  <c r="K145" i="23"/>
  <c r="I144" i="23"/>
  <c r="K129" i="23"/>
  <c r="K128" i="23"/>
  <c r="K127" i="23"/>
  <c r="K113" i="23"/>
  <c r="K112" i="23"/>
  <c r="K111" i="23"/>
  <c r="I92" i="23"/>
  <c r="K160" i="23"/>
  <c r="K151" i="23"/>
  <c r="K139" i="23"/>
  <c r="K97" i="23"/>
  <c r="K91" i="23"/>
  <c r="J51" i="23"/>
  <c r="J48" i="23"/>
  <c r="J45" i="23"/>
  <c r="J42" i="23"/>
  <c r="K157" i="23"/>
  <c r="I145" i="23"/>
  <c r="I129" i="23"/>
  <c r="I128" i="23"/>
  <c r="I127" i="23"/>
  <c r="I113" i="23"/>
  <c r="I112" i="23"/>
  <c r="I111" i="23"/>
  <c r="K96" i="23"/>
  <c r="K147" i="23"/>
  <c r="I133" i="23"/>
  <c r="I132" i="23"/>
  <c r="I131" i="23"/>
  <c r="I117" i="23"/>
  <c r="I116" i="23"/>
  <c r="I115" i="23"/>
  <c r="I101" i="23"/>
  <c r="I100" i="23"/>
  <c r="I99" i="23"/>
  <c r="I153" i="23"/>
  <c r="I141" i="23"/>
  <c r="K135" i="23"/>
  <c r="K121" i="23"/>
  <c r="K120" i="23"/>
  <c r="K119" i="23"/>
  <c r="K105" i="23"/>
  <c r="K104" i="23"/>
  <c r="K103" i="23"/>
  <c r="K148" i="23"/>
  <c r="I147" i="23"/>
  <c r="K136" i="23"/>
  <c r="K152" i="23"/>
  <c r="K131" i="23"/>
  <c r="K115" i="23"/>
  <c r="I97" i="23"/>
  <c r="I95" i="23"/>
  <c r="I152" i="23"/>
  <c r="K141" i="23"/>
  <c r="K93" i="23"/>
  <c r="I148" i="23"/>
  <c r="K137" i="23"/>
  <c r="I121" i="23"/>
  <c r="I105" i="23"/>
  <c r="K99" i="23"/>
  <c r="J41" i="23"/>
  <c r="J38" i="23"/>
  <c r="J35" i="23"/>
  <c r="J32" i="23"/>
  <c r="K159" i="23"/>
  <c r="K155" i="23"/>
  <c r="K124" i="23"/>
  <c r="K108" i="23"/>
  <c r="I93" i="23"/>
  <c r="J47" i="23"/>
  <c r="J46" i="23"/>
  <c r="I151" i="23"/>
  <c r="K140" i="23"/>
  <c r="K133" i="23"/>
  <c r="K117" i="23"/>
  <c r="K101" i="23"/>
  <c r="I91" i="23"/>
  <c r="I140" i="23"/>
  <c r="K143" i="23"/>
  <c r="K123" i="23"/>
  <c r="K107" i="23"/>
  <c r="I94" i="23"/>
  <c r="J50" i="23"/>
  <c r="J49" i="23"/>
  <c r="I139" i="23"/>
  <c r="K132" i="23"/>
  <c r="K116" i="23"/>
  <c r="I157" i="23"/>
  <c r="K153" i="23"/>
  <c r="K100" i="23"/>
  <c r="K109" i="23"/>
  <c r="J37" i="23"/>
  <c r="K149" i="23"/>
  <c r="I135" i="23"/>
  <c r="I103" i="23"/>
  <c r="J36" i="23"/>
  <c r="K95" i="23"/>
  <c r="I120" i="23"/>
  <c r="J40" i="23"/>
  <c r="I119" i="23"/>
  <c r="I96" i="23"/>
  <c r="J44" i="23"/>
  <c r="I136" i="23"/>
  <c r="J39" i="23"/>
  <c r="K125" i="23"/>
  <c r="J43" i="23"/>
  <c r="J34" i="23"/>
  <c r="I104" i="23"/>
  <c r="J33" i="23"/>
  <c r="O15" i="3"/>
  <c r="M15" i="3"/>
  <c r="K15" i="3"/>
  <c r="J15" i="3"/>
  <c r="AX65" i="5"/>
  <c r="AW65" i="5"/>
  <c r="AC74" i="5"/>
  <c r="AB74" i="5"/>
  <c r="Z67" i="5"/>
  <c r="Y67" i="5"/>
  <c r="AB70" i="5"/>
  <c r="AC70" i="5"/>
  <c r="Q73" i="5"/>
  <c r="P73" i="5"/>
  <c r="Y62" i="5"/>
  <c r="Z62" i="5"/>
  <c r="BJ62" i="5"/>
  <c r="BI62" i="5"/>
  <c r="T59" i="5"/>
  <c r="S59" i="5"/>
  <c r="AL69" i="5"/>
  <c r="AK69" i="5"/>
  <c r="AU68" i="5"/>
  <c r="AT68" i="5"/>
  <c r="AZ50" i="5"/>
  <c r="BA50" i="5"/>
  <c r="BJ54" i="5"/>
  <c r="BI54" i="5"/>
  <c r="AN72" i="5"/>
  <c r="AO72" i="5"/>
  <c r="AX71" i="5"/>
  <c r="AW71" i="5"/>
  <c r="S69" i="5"/>
  <c r="T69" i="5"/>
  <c r="AH58" i="5"/>
  <c r="AI58" i="5"/>
  <c r="K57" i="5"/>
  <c r="J57" i="5"/>
  <c r="F57" i="5"/>
  <c r="Y47" i="5"/>
  <c r="Z47" i="5"/>
  <c r="AU51" i="5"/>
  <c r="AT51" i="5"/>
  <c r="AF66" i="5"/>
  <c r="AE66" i="5"/>
  <c r="BC56" i="5"/>
  <c r="BD56" i="5"/>
  <c r="AE35" i="5"/>
  <c r="AF35" i="5"/>
  <c r="W56" i="5"/>
  <c r="V56" i="5"/>
  <c r="AQ40" i="5"/>
  <c r="AR40" i="5"/>
  <c r="AX29" i="5"/>
  <c r="AW29" i="5"/>
  <c r="P25" i="5"/>
  <c r="Q25" i="5"/>
  <c r="P21" i="5"/>
  <c r="Q21" i="5"/>
  <c r="P17" i="5"/>
  <c r="Q17" i="5"/>
  <c r="S55" i="5"/>
  <c r="T55" i="5"/>
  <c r="BG55" i="5"/>
  <c r="BF55" i="5"/>
  <c r="Y43" i="5"/>
  <c r="Z43" i="5"/>
  <c r="BJ52" i="5"/>
  <c r="BI52" i="5"/>
  <c r="AH48" i="5"/>
  <c r="AI48" i="5"/>
  <c r="AO46" i="5"/>
  <c r="AN46" i="5"/>
  <c r="BC46" i="5"/>
  <c r="BD46" i="5"/>
  <c r="AQ53" i="5"/>
  <c r="AR53" i="5"/>
  <c r="AN40" i="5"/>
  <c r="AO40" i="5"/>
  <c r="AU23" i="5"/>
  <c r="AT23" i="5"/>
  <c r="BA53" i="5"/>
  <c r="AZ53" i="5"/>
  <c r="N30" i="5"/>
  <c r="M30" i="5"/>
  <c r="Y25" i="5"/>
  <c r="Z25" i="5"/>
  <c r="AW38" i="5"/>
  <c r="AX38" i="5"/>
  <c r="AX34" i="5"/>
  <c r="AW34" i="5"/>
  <c r="AX26" i="5"/>
  <c r="AW26" i="5"/>
  <c r="S39" i="5"/>
  <c r="T39" i="5"/>
  <c r="Y39" i="5"/>
  <c r="Z39" i="5"/>
  <c r="BA33" i="5"/>
  <c r="AZ33" i="5"/>
  <c r="AE19" i="5"/>
  <c r="AF19" i="5"/>
  <c r="AB13" i="5"/>
  <c r="AC13" i="5"/>
  <c r="BC40" i="5"/>
  <c r="BD40" i="5"/>
  <c r="Z28" i="5"/>
  <c r="Y28" i="5"/>
  <c r="AK14" i="5"/>
  <c r="AL14" i="5"/>
  <c r="AK11" i="5"/>
  <c r="AL11" i="5"/>
  <c r="BD26" i="5"/>
  <c r="BC26" i="5"/>
  <c r="BI61" i="5"/>
  <c r="BJ61" i="5"/>
  <c r="BJ47" i="5"/>
  <c r="BI47" i="5"/>
  <c r="BI36" i="5"/>
  <c r="BJ36" i="5"/>
  <c r="AX64" i="5"/>
  <c r="AW64" i="5"/>
  <c r="BF70" i="5"/>
  <c r="BG70" i="5"/>
  <c r="AH29" i="5"/>
  <c r="AI29" i="5"/>
  <c r="AQ37" i="5"/>
  <c r="AR37" i="5"/>
  <c r="BC31" i="5"/>
  <c r="BD31" i="5"/>
  <c r="AX42" i="5"/>
  <c r="AW42" i="5"/>
  <c r="AZ26" i="5"/>
  <c r="BA26" i="5"/>
  <c r="AL16" i="5"/>
  <c r="AK16" i="5"/>
  <c r="AI11" i="5"/>
  <c r="AH11" i="5"/>
  <c r="AF25" i="5"/>
  <c r="AE25" i="5"/>
  <c r="AC45" i="5"/>
  <c r="AB45" i="5"/>
  <c r="AO49" i="5"/>
  <c r="AN49" i="5"/>
  <c r="AI51" i="5"/>
  <c r="AH51" i="5"/>
  <c r="AC49" i="5"/>
  <c r="AB49" i="5"/>
  <c r="AL57" i="5"/>
  <c r="AK57" i="5"/>
  <c r="AO57" i="5"/>
  <c r="AN57" i="5"/>
  <c r="AT60" i="5"/>
  <c r="AU60" i="5"/>
  <c r="AT59" i="5"/>
  <c r="AU59" i="5"/>
  <c r="AL67" i="5"/>
  <c r="AK67" i="5"/>
  <c r="W50" i="5"/>
  <c r="V50" i="5"/>
  <c r="W12" i="5"/>
  <c r="V12" i="5"/>
  <c r="W28" i="5"/>
  <c r="V28" i="5"/>
  <c r="Q38" i="5"/>
  <c r="P38" i="5"/>
  <c r="N55" i="5"/>
  <c r="M55" i="5"/>
  <c r="V30" i="5"/>
  <c r="W30" i="5"/>
  <c r="W22" i="5"/>
  <c r="V22" i="5"/>
  <c r="T26" i="5"/>
  <c r="S26" i="5"/>
  <c r="J49" i="5"/>
  <c r="K49" i="5"/>
  <c r="F49" i="5"/>
  <c r="M41" i="5"/>
  <c r="N41" i="5"/>
  <c r="S41" i="5"/>
  <c r="T41" i="5"/>
  <c r="N63" i="5"/>
  <c r="M63" i="5"/>
  <c r="V63" i="5"/>
  <c r="W63" i="5"/>
  <c r="N74" i="5"/>
  <c r="M74" i="5"/>
  <c r="AX32" i="5"/>
  <c r="AW32" i="5"/>
  <c r="AE32" i="5"/>
  <c r="AF32" i="5"/>
  <c r="AC9" i="5"/>
  <c r="AB9" i="5"/>
  <c r="J9" i="5"/>
  <c r="F9" i="5"/>
  <c r="K9" i="5"/>
  <c r="AH61" i="5"/>
  <c r="AI61" i="5"/>
  <c r="AX54" i="5"/>
  <c r="AW54" i="5"/>
  <c r="AB71" i="5"/>
  <c r="AC71" i="5"/>
  <c r="BJ69" i="5"/>
  <c r="BI69" i="5"/>
  <c r="W57" i="5"/>
  <c r="V57" i="5"/>
  <c r="AN47" i="5"/>
  <c r="AO47" i="5"/>
  <c r="N56" i="5"/>
  <c r="M56" i="5"/>
  <c r="AI56" i="5"/>
  <c r="AH56" i="5"/>
  <c r="AN28" i="5"/>
  <c r="AO28" i="5"/>
  <c r="BD55" i="5"/>
  <c r="BC55" i="5"/>
  <c r="AN43" i="5"/>
  <c r="AO43" i="5"/>
  <c r="S48" i="5"/>
  <c r="T48" i="5"/>
  <c r="AE46" i="5"/>
  <c r="AF46" i="5"/>
  <c r="AC46" i="5"/>
  <c r="AB46" i="5"/>
  <c r="K53" i="5"/>
  <c r="F53" i="5"/>
  <c r="J53" i="5"/>
  <c r="AL22" i="5"/>
  <c r="AK22" i="5"/>
  <c r="AN45" i="5"/>
  <c r="AO45" i="5"/>
  <c r="AX30" i="5"/>
  <c r="AW30" i="5"/>
  <c r="J38" i="5"/>
  <c r="K38" i="5"/>
  <c r="F38" i="5"/>
  <c r="AX24" i="5"/>
  <c r="AW24" i="5"/>
  <c r="AX39" i="5"/>
  <c r="AW39" i="5"/>
  <c r="AN39" i="5"/>
  <c r="AO39" i="5"/>
  <c r="AO33" i="5"/>
  <c r="AN33" i="5"/>
  <c r="AW18" i="5"/>
  <c r="AX18" i="5"/>
  <c r="P13" i="5"/>
  <c r="Q13" i="5"/>
  <c r="AH39" i="5"/>
  <c r="AI39" i="5"/>
  <c r="BJ26" i="5"/>
  <c r="BI26" i="5"/>
  <c r="Y14" i="5"/>
  <c r="Z14" i="5"/>
  <c r="Y11" i="5"/>
  <c r="Z11" i="5"/>
  <c r="BD27" i="5"/>
  <c r="BC27" i="5"/>
  <c r="AX47" i="5"/>
  <c r="AW47" i="5"/>
  <c r="BD50" i="5"/>
  <c r="BC50" i="5"/>
  <c r="BC47" i="5"/>
  <c r="BD47" i="5"/>
  <c r="AZ64" i="5"/>
  <c r="BA64" i="5"/>
  <c r="BG65" i="5"/>
  <c r="BF65" i="5"/>
  <c r="BC44" i="5"/>
  <c r="BD44" i="5"/>
  <c r="BF37" i="5"/>
  <c r="BG37" i="5"/>
  <c r="AC31" i="5"/>
  <c r="AB31" i="5"/>
  <c r="AT40" i="5"/>
  <c r="AU40" i="5"/>
  <c r="BG24" i="5"/>
  <c r="BF24" i="5"/>
  <c r="AR15" i="5"/>
  <c r="AQ15" i="5"/>
  <c r="BG10" i="5"/>
  <c r="BF10" i="5"/>
  <c r="AR25" i="5"/>
  <c r="AQ25" i="5"/>
  <c r="AB47" i="5"/>
  <c r="AC47" i="5"/>
  <c r="AF50" i="5"/>
  <c r="AE50" i="5"/>
  <c r="AL54" i="5"/>
  <c r="AK54" i="5"/>
  <c r="AN50" i="5"/>
  <c r="AO50" i="5"/>
  <c r="AC50" i="5"/>
  <c r="AB50" i="5"/>
  <c r="AB44" i="5"/>
  <c r="AC44" i="5"/>
  <c r="AN61" i="5"/>
  <c r="AO61" i="5"/>
  <c r="AK60" i="5"/>
  <c r="AL60" i="5"/>
  <c r="AF65" i="5"/>
  <c r="AE65" i="5"/>
  <c r="F13" i="5"/>
  <c r="K13" i="5"/>
  <c r="J13" i="5"/>
  <c r="S33" i="5"/>
  <c r="T33" i="5"/>
  <c r="M42" i="5"/>
  <c r="N42" i="5"/>
  <c r="W23" i="5"/>
  <c r="V23" i="5"/>
  <c r="Q43" i="5"/>
  <c r="P43" i="5"/>
  <c r="F23" i="5"/>
  <c r="K23" i="5"/>
  <c r="J23" i="5"/>
  <c r="T27" i="5"/>
  <c r="S27" i="5"/>
  <c r="V41" i="5"/>
  <c r="W41" i="5"/>
  <c r="S44" i="5"/>
  <c r="T44" i="5"/>
  <c r="J44" i="5"/>
  <c r="K44" i="5"/>
  <c r="F44" i="5"/>
  <c r="N64" i="5"/>
  <c r="M64" i="5"/>
  <c r="S65" i="5"/>
  <c r="T65" i="5"/>
  <c r="T74" i="5"/>
  <c r="S74" i="5"/>
  <c r="BA32" i="5"/>
  <c r="AZ32" i="5"/>
  <c r="J32" i="5"/>
  <c r="K32" i="5"/>
  <c r="F32" i="5"/>
  <c r="V9" i="5"/>
  <c r="W9" i="5"/>
  <c r="J65" i="5"/>
  <c r="F65" i="5"/>
  <c r="K65" i="5"/>
  <c r="AO74" i="5"/>
  <c r="AN74" i="5"/>
  <c r="BJ67" i="5"/>
  <c r="BI67" i="5"/>
  <c r="BD73" i="5"/>
  <c r="BC73" i="5"/>
  <c r="AZ62" i="5"/>
  <c r="BA62" i="5"/>
  <c r="BF59" i="5"/>
  <c r="BG59" i="5"/>
  <c r="AQ68" i="5"/>
  <c r="AR68" i="5"/>
  <c r="T50" i="5"/>
  <c r="S50" i="5"/>
  <c r="AW58" i="5"/>
  <c r="AX58" i="5"/>
  <c r="BJ58" i="5"/>
  <c r="BI58" i="5"/>
  <c r="BA42" i="5"/>
  <c r="AZ42" i="5"/>
  <c r="K66" i="5"/>
  <c r="J66" i="5"/>
  <c r="F66" i="5"/>
  <c r="Z51" i="5"/>
  <c r="Y51" i="5"/>
  <c r="BF40" i="5"/>
  <c r="BG40" i="5"/>
  <c r="AN24" i="5"/>
  <c r="AO24" i="5"/>
  <c r="AN20" i="5"/>
  <c r="AO20" i="5"/>
  <c r="AN16" i="5"/>
  <c r="AO16" i="5"/>
  <c r="AQ51" i="5"/>
  <c r="AR51" i="5"/>
  <c r="BA74" i="5"/>
  <c r="AZ74" i="5"/>
  <c r="AN67" i="5"/>
  <c r="AO67" i="5"/>
  <c r="J73" i="5"/>
  <c r="K73" i="5"/>
  <c r="F73" i="5"/>
  <c r="AO63" i="5"/>
  <c r="AN63" i="5"/>
  <c r="BJ59" i="5"/>
  <c r="BI59" i="5"/>
  <c r="AN62" i="5"/>
  <c r="AO62" i="5"/>
  <c r="P68" i="5"/>
  <c r="Q68" i="5"/>
  <c r="AZ61" i="5"/>
  <c r="BA61" i="5"/>
  <c r="AH50" i="5"/>
  <c r="AI50" i="5"/>
  <c r="K54" i="5"/>
  <c r="F54" i="5"/>
  <c r="J54" i="5"/>
  <c r="A86" i="23"/>
  <c r="A77" i="23"/>
  <c r="C53" i="23"/>
  <c r="A83" i="23"/>
  <c r="A74" i="23"/>
  <c r="C64" i="23"/>
  <c r="A80" i="23"/>
  <c r="K10" i="3"/>
  <c r="G9" i="3"/>
  <c r="BJ72" i="5"/>
  <c r="BI72" i="5"/>
  <c r="AH71" i="5"/>
  <c r="AI71" i="5"/>
  <c r="Z58" i="5"/>
  <c r="Y58" i="5"/>
  <c r="AL58" i="5"/>
  <c r="AK58" i="5"/>
  <c r="AI57" i="5"/>
  <c r="AH57" i="5"/>
  <c r="AQ45" i="5"/>
  <c r="AR45" i="5"/>
  <c r="S42" i="5"/>
  <c r="T42" i="5"/>
  <c r="AH66" i="5"/>
  <c r="AI66" i="5"/>
  <c r="AN56" i="5"/>
  <c r="AO56" i="5"/>
  <c r="AU56" i="5"/>
  <c r="AT56" i="5"/>
  <c r="S40" i="5"/>
  <c r="T40" i="5"/>
  <c r="AB28" i="5"/>
  <c r="AC28" i="5"/>
  <c r="AB24" i="5"/>
  <c r="AC24" i="5"/>
  <c r="AB20" i="5"/>
  <c r="AC20" i="5"/>
  <c r="AB16" i="5"/>
  <c r="AC16" i="5"/>
  <c r="Z55" i="5"/>
  <c r="Y55" i="5"/>
  <c r="AX50" i="5"/>
  <c r="AW50" i="5"/>
  <c r="BC43" i="5"/>
  <c r="BD43" i="5"/>
  <c r="Z52" i="5"/>
  <c r="Y52" i="5"/>
  <c r="BC48" i="5"/>
  <c r="BD48" i="5"/>
  <c r="AX46" i="5"/>
  <c r="AW46" i="5"/>
  <c r="Q53" i="5"/>
  <c r="P53" i="5"/>
  <c r="Z53" i="5"/>
  <c r="Y53" i="5"/>
  <c r="AE37" i="5"/>
  <c r="AF37" i="5"/>
  <c r="BD21" i="5"/>
  <c r="BC21" i="5"/>
  <c r="AE43" i="5"/>
  <c r="AF43" i="5"/>
  <c r="AN30" i="5"/>
  <c r="AO30" i="5"/>
  <c r="BI23" i="5"/>
  <c r="BJ23" i="5"/>
  <c r="Z38" i="5"/>
  <c r="Y38" i="5"/>
  <c r="V34" i="5"/>
  <c r="W34" i="5"/>
  <c r="AX22" i="5"/>
  <c r="AW22" i="5"/>
  <c r="AE38" i="5"/>
  <c r="AF38" i="5"/>
  <c r="J31" i="5"/>
  <c r="K31" i="5"/>
  <c r="F31" i="5"/>
  <c r="BC17" i="5"/>
  <c r="BD17" i="5"/>
  <c r="AN12" i="5"/>
  <c r="AO12" i="5"/>
  <c r="AX37" i="5"/>
  <c r="AW37" i="5"/>
  <c r="Z26" i="5"/>
  <c r="Y26" i="5"/>
  <c r="BI13" i="5"/>
  <c r="BJ13" i="5"/>
  <c r="BI10" i="5"/>
  <c r="BJ10" i="5"/>
  <c r="BD28" i="5"/>
  <c r="BC28" i="5"/>
  <c r="BF42" i="5"/>
  <c r="BG42" i="5"/>
  <c r="BD51" i="5"/>
  <c r="BC51" i="5"/>
  <c r="AX72" i="5"/>
  <c r="AW72" i="5"/>
  <c r="BC65" i="5"/>
  <c r="BD65" i="5"/>
  <c r="BJ65" i="5"/>
  <c r="BI65" i="5"/>
  <c r="AT37" i="5"/>
  <c r="AU37" i="5"/>
  <c r="Q37" i="5"/>
  <c r="P37" i="5"/>
  <c r="P31" i="5"/>
  <c r="Q31" i="5"/>
  <c r="BA35" i="5"/>
  <c r="AZ35" i="5"/>
  <c r="BJ14" i="5"/>
  <c r="BI14" i="5"/>
  <c r="AU10" i="5"/>
  <c r="AT10" i="5"/>
  <c r="AF26" i="5"/>
  <c r="AE26" i="5"/>
  <c r="Y49" i="5"/>
  <c r="Z49" i="5"/>
  <c r="AF51" i="5"/>
  <c r="AE51" i="5"/>
  <c r="AH59" i="5"/>
  <c r="AI59" i="5"/>
  <c r="AL51" i="5"/>
  <c r="AK51" i="5"/>
  <c r="AC63" i="5"/>
  <c r="AB63" i="5"/>
  <c r="AE54" i="5"/>
  <c r="AF54" i="5"/>
  <c r="AL65" i="5"/>
  <c r="AK65" i="5"/>
  <c r="AL70" i="5"/>
  <c r="AK70" i="5"/>
  <c r="AU65" i="5"/>
  <c r="AT65" i="5"/>
  <c r="W13" i="5"/>
  <c r="V13" i="5"/>
  <c r="Q35" i="5"/>
  <c r="P35" i="5"/>
  <c r="W52" i="5"/>
  <c r="V52" i="5"/>
  <c r="W25" i="5"/>
  <c r="V25" i="5"/>
  <c r="Q44" i="5"/>
  <c r="P44" i="5"/>
  <c r="F25" i="5"/>
  <c r="K25" i="5"/>
  <c r="J25" i="5"/>
  <c r="T28" i="5"/>
  <c r="S28" i="5"/>
  <c r="N44" i="5"/>
  <c r="M44" i="5"/>
  <c r="J45" i="5"/>
  <c r="F45" i="5"/>
  <c r="K45" i="5"/>
  <c r="S45" i="5"/>
  <c r="T45" i="5"/>
  <c r="K70" i="5"/>
  <c r="J70" i="5"/>
  <c r="F70" i="5"/>
  <c r="J62" i="5"/>
  <c r="K62" i="5"/>
  <c r="F62" i="5"/>
  <c r="BF32" i="5"/>
  <c r="BG32" i="5"/>
  <c r="Y32" i="5"/>
  <c r="Z32" i="5"/>
  <c r="AH9" i="5"/>
  <c r="AI9" i="5"/>
  <c r="J158" i="23"/>
  <c r="J154" i="23"/>
  <c r="J150" i="23"/>
  <c r="J146" i="23"/>
  <c r="J142" i="23"/>
  <c r="J138" i="23"/>
  <c r="J134" i="23"/>
  <c r="J130" i="23"/>
  <c r="J126" i="23"/>
  <c r="J122" i="23"/>
  <c r="J118" i="23"/>
  <c r="J114" i="23"/>
  <c r="J110" i="23"/>
  <c r="J106" i="23"/>
  <c r="J102" i="23"/>
  <c r="J98" i="23"/>
  <c r="J160" i="23"/>
  <c r="J156" i="23"/>
  <c r="J152" i="23"/>
  <c r="J148" i="23"/>
  <c r="J144" i="23"/>
  <c r="J140" i="23"/>
  <c r="J136" i="23"/>
  <c r="J159" i="23"/>
  <c r="J155" i="23"/>
  <c r="J143" i="23"/>
  <c r="J125" i="23"/>
  <c r="J124" i="23"/>
  <c r="J123" i="23"/>
  <c r="J109" i="23"/>
  <c r="J108" i="23"/>
  <c r="J107" i="23"/>
  <c r="J92" i="23"/>
  <c r="J145" i="23"/>
  <c r="J129" i="23"/>
  <c r="J128" i="23"/>
  <c r="J127" i="23"/>
  <c r="J113" i="23"/>
  <c r="J112" i="23"/>
  <c r="J111" i="23"/>
  <c r="J151" i="23"/>
  <c r="J139" i="23"/>
  <c r="J97" i="23"/>
  <c r="J91" i="23"/>
  <c r="J153" i="23"/>
  <c r="J141" i="23"/>
  <c r="J95" i="23"/>
  <c r="J147" i="23"/>
  <c r="J135" i="23"/>
  <c r="J121" i="23"/>
  <c r="J120" i="23"/>
  <c r="J119" i="23"/>
  <c r="J105" i="23"/>
  <c r="J104" i="23"/>
  <c r="J103" i="23"/>
  <c r="J131" i="23"/>
  <c r="J115" i="23"/>
  <c r="J93" i="23"/>
  <c r="J137" i="23"/>
  <c r="J99" i="23"/>
  <c r="J133" i="23"/>
  <c r="J157" i="23"/>
  <c r="J132" i="23"/>
  <c r="J116" i="23"/>
  <c r="J117" i="23"/>
  <c r="J149" i="23"/>
  <c r="J101" i="23"/>
  <c r="J94" i="23"/>
  <c r="J100" i="23"/>
  <c r="J96" i="23"/>
  <c r="M16" i="3"/>
  <c r="J16" i="3"/>
  <c r="O16" i="3"/>
  <c r="K16" i="3"/>
  <c r="BJ70" i="5"/>
  <c r="BI70" i="5"/>
  <c r="V67" i="5"/>
  <c r="W67" i="5"/>
  <c r="V73" i="5"/>
  <c r="W73" i="5"/>
  <c r="BD63" i="5"/>
  <c r="BC63" i="5"/>
  <c r="AR59" i="5"/>
  <c r="AQ59" i="5"/>
  <c r="BD62" i="5"/>
  <c r="BC62" i="5"/>
  <c r="S68" i="5"/>
  <c r="T68" i="5"/>
  <c r="BJ50" i="5"/>
  <c r="BI50" i="5"/>
  <c r="W54" i="5"/>
  <c r="V54" i="5"/>
  <c r="K19" i="3"/>
  <c r="K20" i="3"/>
  <c r="K18" i="3"/>
  <c r="K13" i="3"/>
  <c r="K12" i="3"/>
  <c r="Z72" i="5"/>
  <c r="Y72" i="5"/>
  <c r="AO71" i="5"/>
  <c r="AN71" i="5"/>
  <c r="AC69" i="5"/>
  <c r="AB69" i="5"/>
  <c r="AI69" i="5"/>
  <c r="AH69" i="5"/>
  <c r="AN58" i="5"/>
  <c r="AO58" i="5"/>
  <c r="AU57" i="5"/>
  <c r="AT57" i="5"/>
  <c r="BF45" i="5"/>
  <c r="BG45" i="5"/>
  <c r="V42" i="5"/>
  <c r="W42" i="5"/>
  <c r="AL66" i="5"/>
  <c r="AK66" i="5"/>
  <c r="W51" i="5"/>
  <c r="V51" i="5"/>
  <c r="BJ56" i="5"/>
  <c r="BI56" i="5"/>
  <c r="BG56" i="5"/>
  <c r="BF56" i="5"/>
  <c r="AH40" i="5"/>
  <c r="AI40" i="5"/>
  <c r="P28" i="5"/>
  <c r="Q28" i="5"/>
  <c r="P24" i="5"/>
  <c r="Q24" i="5"/>
  <c r="P20" i="5"/>
  <c r="Q20" i="5"/>
  <c r="P16" i="5"/>
  <c r="Q16" i="5"/>
  <c r="AZ46" i="5"/>
  <c r="BA46" i="5"/>
  <c r="S43" i="5"/>
  <c r="T43" i="5"/>
  <c r="AU52" i="5"/>
  <c r="AT52" i="5"/>
  <c r="J48" i="5"/>
  <c r="F48" i="5"/>
  <c r="K48" i="5"/>
  <c r="AH46" i="5"/>
  <c r="AI46" i="5"/>
  <c r="AL53" i="5"/>
  <c r="AK53" i="5"/>
  <c r="BJ53" i="5"/>
  <c r="BI53" i="5"/>
  <c r="BC36" i="5"/>
  <c r="BD36" i="5"/>
  <c r="Z21" i="5"/>
  <c r="Y21" i="5"/>
  <c r="AQ42" i="5"/>
  <c r="AR42" i="5"/>
  <c r="Z30" i="5"/>
  <c r="Y30" i="5"/>
  <c r="Y23" i="5"/>
  <c r="Z23" i="5"/>
  <c r="AO38" i="5"/>
  <c r="AN38" i="5"/>
  <c r="AK34" i="5"/>
  <c r="AL34" i="5"/>
  <c r="AI22" i="5"/>
  <c r="AH22" i="5"/>
  <c r="M39" i="5"/>
  <c r="N39" i="5"/>
  <c r="AO36" i="5"/>
  <c r="AN36" i="5"/>
  <c r="BG27" i="5"/>
  <c r="BF27" i="5"/>
  <c r="Y17" i="5"/>
  <c r="Z17" i="5"/>
  <c r="AB12" i="5"/>
  <c r="AC12" i="5"/>
  <c r="J37" i="5"/>
  <c r="F37" i="5"/>
  <c r="K37" i="5"/>
  <c r="BJ24" i="5"/>
  <c r="BI24" i="5"/>
  <c r="AW13" i="5"/>
  <c r="AX13" i="5"/>
  <c r="AW10" i="5"/>
  <c r="AX10" i="5"/>
  <c r="BF49" i="5"/>
  <c r="BG49" i="5"/>
  <c r="AZ41" i="5"/>
  <c r="BA41" i="5"/>
  <c r="BD68" i="5"/>
  <c r="BC68" i="5"/>
  <c r="BD64" i="5"/>
  <c r="BC64" i="5"/>
  <c r="BD67" i="5"/>
  <c r="BC67" i="5"/>
  <c r="BA70" i="5"/>
  <c r="AZ70" i="5"/>
  <c r="AO37" i="5"/>
  <c r="AN37" i="5"/>
  <c r="AC36" i="5"/>
  <c r="AB36" i="5"/>
  <c r="AL30" i="5"/>
  <c r="AK30" i="5"/>
  <c r="AQ34" i="5"/>
  <c r="AR34" i="5"/>
  <c r="AZ24" i="5"/>
  <c r="BA24" i="5"/>
  <c r="AI14" i="5"/>
  <c r="AH14" i="5"/>
  <c r="AI10" i="5"/>
  <c r="AH10" i="5"/>
  <c r="AR26" i="5"/>
  <c r="AQ26" i="5"/>
  <c r="AB53" i="5"/>
  <c r="AC53" i="5"/>
  <c r="AE58" i="5"/>
  <c r="AF58" i="5"/>
  <c r="AQ62" i="5"/>
  <c r="AR62" i="5"/>
  <c r="AO54" i="5"/>
  <c r="AN54" i="5"/>
  <c r="AH35" i="5"/>
  <c r="AI35" i="5"/>
  <c r="AC58" i="5"/>
  <c r="AB58" i="5"/>
  <c r="AT62" i="5"/>
  <c r="AU62" i="5"/>
  <c r="AF62" i="5"/>
  <c r="AE62" i="5"/>
  <c r="V16" i="5"/>
  <c r="W16" i="5"/>
  <c r="F14" i="5"/>
  <c r="K14" i="5"/>
  <c r="J14" i="5"/>
  <c r="Q41" i="5"/>
  <c r="P41" i="5"/>
  <c r="M10" i="5"/>
  <c r="N10" i="5"/>
  <c r="W27" i="5"/>
  <c r="V27" i="5"/>
  <c r="S11" i="5"/>
  <c r="T11" i="5"/>
  <c r="F27" i="5"/>
  <c r="K27" i="5"/>
  <c r="J27" i="5"/>
  <c r="T29" i="5"/>
  <c r="S29" i="5"/>
  <c r="V45" i="5"/>
  <c r="W45" i="5"/>
  <c r="M47" i="5"/>
  <c r="N47" i="5"/>
  <c r="S47" i="5"/>
  <c r="T47" i="5"/>
  <c r="Q71" i="5"/>
  <c r="P71" i="5"/>
  <c r="J64" i="5"/>
  <c r="K64" i="5"/>
  <c r="F64" i="5"/>
  <c r="BJ32" i="5"/>
  <c r="BI32" i="5"/>
  <c r="AO32" i="5"/>
  <c r="AN32" i="5"/>
  <c r="AT9" i="5"/>
  <c r="AU9" i="5"/>
  <c r="AH73" i="5"/>
  <c r="AI73" i="5"/>
  <c r="K63" i="5"/>
  <c r="J63" i="5"/>
  <c r="F63" i="5"/>
  <c r="Z59" i="5"/>
  <c r="Y59" i="5"/>
  <c r="BF62" i="5"/>
  <c r="BG62" i="5"/>
  <c r="BJ68" i="5"/>
  <c r="BI68" i="5"/>
  <c r="AQ61" i="5"/>
  <c r="AR61" i="5"/>
  <c r="AL50" i="5"/>
  <c r="AK50" i="5"/>
  <c r="AI54" i="5"/>
  <c r="AH54" i="5"/>
  <c r="AR72" i="5"/>
  <c r="AQ72" i="5"/>
  <c r="AQ71" i="5"/>
  <c r="AR71" i="5"/>
  <c r="K69" i="5"/>
  <c r="J69" i="5"/>
  <c r="F69" i="5"/>
  <c r="V69" i="5"/>
  <c r="W69" i="5"/>
  <c r="AQ57" i="5"/>
  <c r="AR57" i="5"/>
  <c r="BG57" i="5"/>
  <c r="BF57" i="5"/>
  <c r="Q45" i="5"/>
  <c r="P45" i="5"/>
  <c r="AL42" i="5"/>
  <c r="AK42" i="5"/>
  <c r="BG66" i="5"/>
  <c r="BF66" i="5"/>
  <c r="AN51" i="5"/>
  <c r="AO51" i="5"/>
  <c r="AC56" i="5"/>
  <c r="AB56" i="5"/>
  <c r="BJ43" i="5"/>
  <c r="BI43" i="5"/>
  <c r="AX40" i="5"/>
  <c r="AW40" i="5"/>
  <c r="AN27" i="5"/>
  <c r="AO27" i="5"/>
  <c r="AN23" i="5"/>
  <c r="AO23" i="5"/>
  <c r="AN19" i="5"/>
  <c r="AO19" i="5"/>
  <c r="AN15" i="5"/>
  <c r="AO15" i="5"/>
  <c r="AB55" i="5"/>
  <c r="AC55" i="5"/>
  <c r="AH43" i="5"/>
  <c r="AI43" i="5"/>
  <c r="AZ52" i="5"/>
  <c r="BA52" i="5"/>
  <c r="AQ48" i="5"/>
  <c r="AR48" i="5"/>
  <c r="S46" i="5"/>
  <c r="T46" i="5"/>
  <c r="T53" i="5"/>
  <c r="S53" i="5"/>
  <c r="AI53" i="5"/>
  <c r="AH53" i="5"/>
  <c r="J34" i="5"/>
  <c r="F34" i="5"/>
  <c r="K34" i="5"/>
  <c r="AF20" i="5"/>
  <c r="AE20" i="5"/>
  <c r="BC41" i="5"/>
  <c r="BD41" i="5"/>
  <c r="AQ30" i="5"/>
  <c r="AR30" i="5"/>
  <c r="AR56" i="5"/>
  <c r="AQ56" i="5"/>
  <c r="M38" i="5"/>
  <c r="N38" i="5"/>
  <c r="BA34" i="5"/>
  <c r="AZ34" i="5"/>
  <c r="AZ22" i="5"/>
  <c r="BA22" i="5"/>
  <c r="BC39" i="5"/>
  <c r="BD39" i="5"/>
  <c r="AK35" i="5"/>
  <c r="AL35" i="5"/>
  <c r="AZ27" i="5"/>
  <c r="BA27" i="5"/>
  <c r="AE16" i="5"/>
  <c r="AF16" i="5"/>
  <c r="P12" i="5"/>
  <c r="Q12" i="5"/>
  <c r="BF36" i="5"/>
  <c r="BG36" i="5"/>
  <c r="Z24" i="5"/>
  <c r="Y24" i="5"/>
  <c r="AK13" i="5"/>
  <c r="AL13" i="5"/>
  <c r="AK10" i="5"/>
  <c r="AL10" i="5"/>
  <c r="BJ51" i="5"/>
  <c r="BI51" i="5"/>
  <c r="BC42" i="5"/>
  <c r="BD42" i="5"/>
  <c r="BC35" i="5"/>
  <c r="BD35" i="5"/>
  <c r="BG68" i="5"/>
  <c r="BF68" i="5"/>
  <c r="AX59" i="5"/>
  <c r="AW59" i="5"/>
  <c r="Z48" i="5"/>
  <c r="Y48" i="5"/>
  <c r="Q34" i="5"/>
  <c r="P34" i="5"/>
  <c r="AX27" i="5"/>
  <c r="AW27" i="5"/>
  <c r="AT33" i="5"/>
  <c r="AU33" i="5"/>
  <c r="BF22" i="5"/>
  <c r="BG22" i="5"/>
  <c r="BG13" i="5"/>
  <c r="BF13" i="5"/>
  <c r="AB42" i="5"/>
  <c r="AC42" i="5"/>
  <c r="AF27" i="5"/>
  <c r="AE27" i="5"/>
  <c r="AQ49" i="5"/>
  <c r="AR49" i="5"/>
  <c r="AL63" i="5"/>
  <c r="AK63" i="5"/>
  <c r="AR58" i="5"/>
  <c r="AQ58" i="5"/>
  <c r="AL59" i="5"/>
  <c r="AK59" i="5"/>
  <c r="AE36" i="5"/>
  <c r="AF36" i="5"/>
  <c r="AB62" i="5"/>
  <c r="AC62" i="5"/>
  <c r="AN64" i="5"/>
  <c r="AO64" i="5"/>
  <c r="AE63" i="5"/>
  <c r="AF63" i="5"/>
  <c r="AQ38" i="5"/>
  <c r="AR38" i="5"/>
  <c r="F24" i="5"/>
  <c r="K24" i="5"/>
  <c r="J24" i="5"/>
  <c r="W19" i="5"/>
  <c r="V19" i="5"/>
  <c r="W14" i="5"/>
  <c r="V14" i="5"/>
  <c r="J42" i="5"/>
  <c r="F42" i="5"/>
  <c r="K42" i="5"/>
  <c r="N11" i="5"/>
  <c r="M11" i="5"/>
  <c r="W29" i="5"/>
  <c r="V29" i="5"/>
  <c r="S12" i="5"/>
  <c r="T12" i="5"/>
  <c r="F29" i="5"/>
  <c r="K29" i="5"/>
  <c r="J29" i="5"/>
  <c r="N40" i="5"/>
  <c r="M40" i="5"/>
  <c r="V47" i="5"/>
  <c r="W47" i="5"/>
  <c r="T57" i="5"/>
  <c r="S57" i="5"/>
  <c r="J50" i="5"/>
  <c r="K50" i="5"/>
  <c r="F50" i="5"/>
  <c r="V61" i="5"/>
  <c r="W61" i="5"/>
  <c r="V65" i="5"/>
  <c r="W65" i="5"/>
  <c r="AB32" i="5"/>
  <c r="AC32" i="5"/>
  <c r="BF9" i="5"/>
  <c r="BG9" i="5"/>
  <c r="AH72" i="5"/>
  <c r="AI72" i="5"/>
  <c r="AZ71" i="5"/>
  <c r="BA71" i="5"/>
  <c r="N69" i="5"/>
  <c r="M69" i="5"/>
  <c r="P69" i="5"/>
  <c r="Q69" i="5"/>
  <c r="BA57" i="5"/>
  <c r="AZ57" i="5"/>
  <c r="V49" i="5"/>
  <c r="W49" i="5"/>
  <c r="BG51" i="5"/>
  <c r="BF51" i="5"/>
  <c r="V40" i="5"/>
  <c r="W40" i="5"/>
  <c r="P27" i="5"/>
  <c r="Q27" i="5"/>
  <c r="P23" i="5"/>
  <c r="Q23" i="5"/>
  <c r="P19" i="5"/>
  <c r="Q19" i="5"/>
  <c r="P15" i="5"/>
  <c r="Q15" i="5"/>
  <c r="AX55" i="5"/>
  <c r="AW55" i="5"/>
  <c r="AQ43" i="5"/>
  <c r="AR43" i="5"/>
  <c r="P52" i="5"/>
  <c r="Q52" i="5"/>
  <c r="AC48" i="5"/>
  <c r="AB48" i="5"/>
  <c r="Z46" i="5"/>
  <c r="Y46" i="5"/>
  <c r="AF53" i="5"/>
  <c r="AE53" i="5"/>
  <c r="BG53" i="5"/>
  <c r="BF53" i="5"/>
  <c r="P33" i="5"/>
  <c r="Q33" i="5"/>
  <c r="BD18" i="5"/>
  <c r="BC18" i="5"/>
  <c r="AQ35" i="5"/>
  <c r="AR35" i="5"/>
  <c r="Y29" i="5"/>
  <c r="Z29" i="5"/>
  <c r="AB40" i="5"/>
  <c r="AC40" i="5"/>
  <c r="AC38" i="5"/>
  <c r="AB38" i="5"/>
  <c r="AE45" i="5"/>
  <c r="AF45" i="5"/>
  <c r="AZ19" i="5"/>
  <c r="BA19" i="5"/>
  <c r="AT39" i="5"/>
  <c r="AU39" i="5"/>
  <c r="AH33" i="5"/>
  <c r="AI33" i="5"/>
  <c r="AZ25" i="5"/>
  <c r="BA25" i="5"/>
  <c r="BC14" i="5"/>
  <c r="BD14" i="5"/>
  <c r="AB11" i="5"/>
  <c r="AC11" i="5"/>
  <c r="BC34" i="5"/>
  <c r="BD34" i="5"/>
  <c r="AU21" i="5"/>
  <c r="AT21" i="5"/>
  <c r="BI12" i="5"/>
  <c r="BJ12" i="5"/>
  <c r="BJ41" i="5"/>
  <c r="BI41" i="5"/>
  <c r="BJ49" i="5"/>
  <c r="BI49" i="5"/>
  <c r="BC45" i="5"/>
  <c r="BD45" i="5"/>
  <c r="BI42" i="5"/>
  <c r="BJ42" i="5"/>
  <c r="AX70" i="5"/>
  <c r="AW70" i="5"/>
  <c r="AX62" i="5"/>
  <c r="AW62" i="5"/>
  <c r="Z41" i="5"/>
  <c r="Y41" i="5"/>
  <c r="BJ37" i="5"/>
  <c r="BI37" i="5"/>
  <c r="BF31" i="5"/>
  <c r="BG31" i="5"/>
  <c r="AX23" i="5"/>
  <c r="AW23" i="5"/>
  <c r="BI30" i="5"/>
  <c r="BJ30" i="5"/>
  <c r="BI20" i="5"/>
  <c r="BJ20" i="5"/>
  <c r="AI13" i="5"/>
  <c r="AH13" i="5"/>
  <c r="AF22" i="5"/>
  <c r="AE22" i="5"/>
  <c r="AF28" i="5"/>
  <c r="AE28" i="5"/>
  <c r="AT71" i="5"/>
  <c r="AU71" i="5"/>
  <c r="AK62" i="5"/>
  <c r="AL62" i="5"/>
  <c r="AL61" i="5"/>
  <c r="AK61" i="5"/>
  <c r="Z50" i="5"/>
  <c r="Y50" i="5"/>
  <c r="AH41" i="5"/>
  <c r="AI41" i="5"/>
  <c r="AR60" i="5"/>
  <c r="AQ60" i="5"/>
  <c r="AB72" i="5"/>
  <c r="AC72" i="5"/>
  <c r="AR63" i="5"/>
  <c r="AQ63" i="5"/>
  <c r="BC30" i="5"/>
  <c r="BD30" i="5"/>
  <c r="T16" i="5"/>
  <c r="S16" i="5"/>
  <c r="T21" i="5"/>
  <c r="S21" i="5"/>
  <c r="BI9" i="5"/>
  <c r="BJ9" i="5"/>
  <c r="P48" i="5"/>
  <c r="Q48" i="5"/>
  <c r="S17" i="5"/>
  <c r="T17" i="5"/>
  <c r="F22" i="5"/>
  <c r="K22" i="5"/>
  <c r="J22" i="5"/>
  <c r="N13" i="5"/>
  <c r="M13" i="5"/>
  <c r="W15" i="5"/>
  <c r="V15" i="5"/>
  <c r="S14" i="5"/>
  <c r="T14" i="5"/>
  <c r="N49" i="5"/>
  <c r="M49" i="5"/>
  <c r="Q40" i="5"/>
  <c r="P40" i="5"/>
  <c r="K51" i="5"/>
  <c r="F51" i="5"/>
  <c r="J51" i="5"/>
  <c r="Q49" i="5"/>
  <c r="P49" i="5"/>
  <c r="N60" i="5"/>
  <c r="M60" i="5"/>
  <c r="T62" i="5"/>
  <c r="S62" i="5"/>
  <c r="V59" i="5"/>
  <c r="W59" i="5"/>
  <c r="AQ32" i="5"/>
  <c r="AR32" i="5"/>
  <c r="N19" i="5"/>
  <c r="M19" i="5"/>
  <c r="G159" i="23"/>
  <c r="G155" i="23"/>
  <c r="G151" i="23"/>
  <c r="G147" i="23"/>
  <c r="G143" i="23"/>
  <c r="G139" i="23"/>
  <c r="G135" i="23"/>
  <c r="G131" i="23"/>
  <c r="G127" i="23"/>
  <c r="G123" i="23"/>
  <c r="G119" i="23"/>
  <c r="G115" i="23"/>
  <c r="G111" i="23"/>
  <c r="G107" i="23"/>
  <c r="G103" i="23"/>
  <c r="G99" i="23"/>
  <c r="G157" i="23"/>
  <c r="G153" i="23"/>
  <c r="G149" i="23"/>
  <c r="G145" i="23"/>
  <c r="G141" i="23"/>
  <c r="G137" i="23"/>
  <c r="G148" i="23"/>
  <c r="G136" i="23"/>
  <c r="G122" i="23"/>
  <c r="G121" i="23"/>
  <c r="G120" i="23"/>
  <c r="G106" i="23"/>
  <c r="G105" i="23"/>
  <c r="G104" i="23"/>
  <c r="G93" i="23"/>
  <c r="G150" i="23"/>
  <c r="G138" i="23"/>
  <c r="G126" i="23"/>
  <c r="G125" i="23"/>
  <c r="G124" i="23"/>
  <c r="G110" i="23"/>
  <c r="G109" i="23"/>
  <c r="G108" i="23"/>
  <c r="G156" i="23"/>
  <c r="G144" i="23"/>
  <c r="G92" i="23"/>
  <c r="G146" i="23"/>
  <c r="G97" i="23"/>
  <c r="G91" i="23"/>
  <c r="G152" i="23"/>
  <c r="G140" i="23"/>
  <c r="G96" i="23"/>
  <c r="G134" i="23"/>
  <c r="G133" i="23"/>
  <c r="G132" i="23"/>
  <c r="G118" i="23"/>
  <c r="G117" i="23"/>
  <c r="G116" i="23"/>
  <c r="G102" i="23"/>
  <c r="G160" i="23"/>
  <c r="G128" i="23"/>
  <c r="G112" i="23"/>
  <c r="G95" i="23"/>
  <c r="G130" i="23"/>
  <c r="G154" i="23"/>
  <c r="G98" i="23"/>
  <c r="G129" i="23"/>
  <c r="G113" i="23"/>
  <c r="G94" i="23"/>
  <c r="G158" i="23"/>
  <c r="G100" i="23"/>
  <c r="G142" i="23"/>
  <c r="G101" i="23"/>
  <c r="G114" i="23"/>
  <c r="K14" i="3"/>
  <c r="O14" i="3"/>
  <c r="M14" i="3"/>
  <c r="J14" i="3"/>
  <c r="AX74" i="5"/>
  <c r="AW74" i="5"/>
  <c r="W64" i="5"/>
  <c r="V64" i="5"/>
  <c r="Z68" i="5"/>
  <c r="Y68" i="5"/>
  <c r="BC49" i="5"/>
  <c r="BD49" i="5"/>
  <c r="AX41" i="5"/>
  <c r="AW41" i="5"/>
  <c r="AB19" i="5"/>
  <c r="AC19" i="5"/>
  <c r="BF30" i="5"/>
  <c r="BG30" i="5"/>
  <c r="AU19" i="5"/>
  <c r="AT19" i="5"/>
  <c r="AW15" i="5"/>
  <c r="AX15" i="5"/>
  <c r="AI68" i="5"/>
  <c r="AH68" i="5"/>
  <c r="AX66" i="5"/>
  <c r="AW66" i="5"/>
  <c r="AE56" i="5"/>
  <c r="AF56" i="5"/>
  <c r="BC52" i="5"/>
  <c r="BD52" i="5"/>
  <c r="K52" i="5"/>
  <c r="F52" i="5"/>
  <c r="J52" i="5"/>
  <c r="V74" i="5"/>
  <c r="W74" i="5"/>
  <c r="M18" i="3"/>
  <c r="M19" i="3"/>
  <c r="M13" i="3"/>
  <c r="M20" i="3"/>
  <c r="M12" i="3"/>
  <c r="BG67" i="5"/>
  <c r="BF67" i="5"/>
  <c r="Z63" i="5"/>
  <c r="Y63" i="5"/>
  <c r="AC64" i="5"/>
  <c r="AB64" i="5"/>
  <c r="AX60" i="5"/>
  <c r="AW60" i="5"/>
  <c r="V60" i="5"/>
  <c r="W60" i="5"/>
  <c r="AX68" i="5"/>
  <c r="AW68" i="5"/>
  <c r="AX61" i="5"/>
  <c r="AW61" i="5"/>
  <c r="BC61" i="5"/>
  <c r="BD61" i="5"/>
  <c r="AT44" i="5"/>
  <c r="AU44" i="5"/>
  <c r="N72" i="5"/>
  <c r="M72" i="5"/>
  <c r="AT72" i="5"/>
  <c r="AU72" i="5"/>
  <c r="BC71" i="5"/>
  <c r="BD71" i="5"/>
  <c r="BD69" i="5"/>
  <c r="BC69" i="5"/>
  <c r="BF69" i="5"/>
  <c r="BG69" i="5"/>
  <c r="Q57" i="5"/>
  <c r="P57" i="5"/>
  <c r="S49" i="5"/>
  <c r="T49" i="5"/>
  <c r="S66" i="5"/>
  <c r="T66" i="5"/>
  <c r="AU66" i="5"/>
  <c r="AT66" i="5"/>
  <c r="AZ66" i="5"/>
  <c r="BA66" i="5"/>
  <c r="T51" i="5"/>
  <c r="S51" i="5"/>
  <c r="BA56" i="5"/>
  <c r="AZ56" i="5"/>
  <c r="BF43" i="5"/>
  <c r="BG43" i="5"/>
  <c r="AK40" i="5"/>
  <c r="AL40" i="5"/>
  <c r="AN26" i="5"/>
  <c r="AO26" i="5"/>
  <c r="AN22" i="5"/>
  <c r="AO22" i="5"/>
  <c r="AN18" i="5"/>
  <c r="AO18" i="5"/>
  <c r="AR52" i="5"/>
  <c r="AQ52" i="5"/>
  <c r="AL55" i="5"/>
  <c r="AK55" i="5"/>
  <c r="AT43" i="5"/>
  <c r="AU43" i="5"/>
  <c r="AI52" i="5"/>
  <c r="AH52" i="5"/>
  <c r="N52" i="5"/>
  <c r="M52" i="5"/>
  <c r="M48" i="5"/>
  <c r="N48" i="5"/>
  <c r="AQ46" i="5"/>
  <c r="AR46" i="5"/>
  <c r="BD53" i="5"/>
  <c r="BC53" i="5"/>
  <c r="BI44" i="5"/>
  <c r="BJ44" i="5"/>
  <c r="AX31" i="5"/>
  <c r="AW31" i="5"/>
  <c r="Z18" i="5"/>
  <c r="Y18" i="5"/>
  <c r="AN34" i="5"/>
  <c r="AO34" i="5"/>
  <c r="BF39" i="5"/>
  <c r="BG39" i="5"/>
  <c r="Z37" i="5"/>
  <c r="Y37" i="5"/>
  <c r="AT41" i="5"/>
  <c r="AU41" i="5"/>
  <c r="AU16" i="5"/>
  <c r="AT16" i="5"/>
  <c r="BI39" i="5"/>
  <c r="BJ39" i="5"/>
  <c r="J33" i="5"/>
  <c r="K33" i="5"/>
  <c r="F33" i="5"/>
  <c r="BG23" i="5"/>
  <c r="BF23" i="5"/>
  <c r="AB14" i="5"/>
  <c r="AC14" i="5"/>
  <c r="P11" i="5"/>
  <c r="Q11" i="5"/>
  <c r="BF33" i="5"/>
  <c r="BG33" i="5"/>
  <c r="AZ21" i="5"/>
  <c r="BA21" i="5"/>
  <c r="AW12" i="5"/>
  <c r="AX12" i="5"/>
  <c r="AZ60" i="5"/>
  <c r="BA60" i="5"/>
  <c r="BG50" i="5"/>
  <c r="BF50" i="5"/>
  <c r="BF47" i="5"/>
  <c r="BG47" i="5"/>
  <c r="BD60" i="5"/>
  <c r="BC60" i="5"/>
  <c r="BJ64" i="5"/>
  <c r="BI64" i="5"/>
  <c r="AX67" i="5"/>
  <c r="AW67" i="5"/>
  <c r="AH36" i="5"/>
  <c r="AI36" i="5"/>
  <c r="V37" i="5"/>
  <c r="W37" i="5"/>
  <c r="V31" i="5"/>
  <c r="W31" i="5"/>
  <c r="Z22" i="5"/>
  <c r="Y22" i="5"/>
  <c r="BG28" i="5"/>
  <c r="BF28" i="5"/>
  <c r="BG12" i="5"/>
  <c r="BF12" i="5"/>
  <c r="AR22" i="5"/>
  <c r="AQ22" i="5"/>
  <c r="AR28" i="5"/>
  <c r="AQ28" i="5"/>
  <c r="AC41" i="5"/>
  <c r="AB41" i="5"/>
  <c r="AB68" i="5"/>
  <c r="AC68" i="5"/>
  <c r="AC73" i="5"/>
  <c r="AB73" i="5"/>
  <c r="AR50" i="5"/>
  <c r="AQ50" i="5"/>
  <c r="AQ44" i="5"/>
  <c r="AR44" i="5"/>
  <c r="AE59" i="5"/>
  <c r="AF59" i="5"/>
  <c r="AT64" i="5"/>
  <c r="AU64" i="5"/>
  <c r="AO73" i="5"/>
  <c r="AN73" i="5"/>
  <c r="AH30" i="5"/>
  <c r="AI30" i="5"/>
  <c r="T15" i="5"/>
  <c r="S15" i="5"/>
  <c r="K17" i="5"/>
  <c r="J17" i="5"/>
  <c r="F17" i="5"/>
  <c r="T18" i="5"/>
  <c r="S18" i="5"/>
  <c r="AK9" i="5"/>
  <c r="AL9" i="5"/>
  <c r="F26" i="5"/>
  <c r="K26" i="5"/>
  <c r="J26" i="5"/>
  <c r="K10" i="5"/>
  <c r="J10" i="5"/>
  <c r="F10" i="5"/>
  <c r="M18" i="5"/>
  <c r="N18" i="5"/>
  <c r="N23" i="5"/>
  <c r="M23" i="5"/>
  <c r="N14" i="5"/>
  <c r="M14" i="5"/>
  <c r="W18" i="5"/>
  <c r="V18" i="5"/>
  <c r="J15" i="5"/>
  <c r="F15" i="5"/>
  <c r="K15" i="5"/>
  <c r="P54" i="5"/>
  <c r="Q54" i="5"/>
  <c r="J41" i="5"/>
  <c r="F41" i="5"/>
  <c r="K41" i="5"/>
  <c r="P60" i="5"/>
  <c r="Q60" i="5"/>
  <c r="T54" i="5"/>
  <c r="S54" i="5"/>
  <c r="J61" i="5"/>
  <c r="F61" i="5"/>
  <c r="K61" i="5"/>
  <c r="V62" i="5"/>
  <c r="W62" i="5"/>
  <c r="Q70" i="5"/>
  <c r="P70" i="5"/>
  <c r="P32" i="5"/>
  <c r="Q32" i="5"/>
  <c r="Y9" i="5"/>
  <c r="Z9" i="5"/>
  <c r="AU70" i="5"/>
  <c r="AT70" i="5"/>
  <c r="AE67" i="5"/>
  <c r="AF67" i="5"/>
  <c r="V71" i="5"/>
  <c r="W71" i="5"/>
  <c r="BA69" i="5"/>
  <c r="AZ69" i="5"/>
  <c r="N66" i="5"/>
  <c r="M66" i="5"/>
  <c r="AR55" i="5"/>
  <c r="AQ55" i="5"/>
  <c r="AB27" i="5"/>
  <c r="AC27" i="5"/>
  <c r="AB15" i="5"/>
  <c r="AC15" i="5"/>
  <c r="BJ48" i="5"/>
  <c r="BI48" i="5"/>
  <c r="AX53" i="5"/>
  <c r="AW53" i="5"/>
  <c r="AQ33" i="5"/>
  <c r="AR33" i="5"/>
  <c r="AL38" i="5"/>
  <c r="AK38" i="5"/>
  <c r="AO48" i="5"/>
  <c r="AN48" i="5"/>
  <c r="AZ44" i="5"/>
  <c r="BA44" i="5"/>
  <c r="AX44" i="5"/>
  <c r="AW44" i="5"/>
  <c r="BJ74" i="5"/>
  <c r="BI74" i="5"/>
  <c r="AH37" i="5"/>
  <c r="AI37" i="5"/>
  <c r="Z31" i="5"/>
  <c r="Y31" i="5"/>
  <c r="AO44" i="5"/>
  <c r="AN44" i="5"/>
  <c r="AT49" i="5"/>
  <c r="AU49" i="5"/>
  <c r="AT61" i="5"/>
  <c r="AU61" i="5"/>
  <c r="M34" i="5"/>
  <c r="N34" i="5"/>
  <c r="S13" i="5"/>
  <c r="T13" i="5"/>
  <c r="J35" i="5"/>
  <c r="F35" i="5"/>
  <c r="K35" i="5"/>
  <c r="AL32" i="5"/>
  <c r="AK32" i="5"/>
  <c r="N22" i="5"/>
  <c r="M22" i="5"/>
  <c r="T67" i="5"/>
  <c r="S67" i="5"/>
  <c r="BF73" i="5"/>
  <c r="BG73" i="5"/>
  <c r="BJ63" i="5"/>
  <c r="BI63" i="5"/>
  <c r="Z64" i="5"/>
  <c r="Y64" i="5"/>
  <c r="AR65" i="5"/>
  <c r="AQ65" i="5"/>
  <c r="AN60" i="5"/>
  <c r="AO60" i="5"/>
  <c r="F68" i="5"/>
  <c r="J68" i="5"/>
  <c r="K68" i="5"/>
  <c r="AB61" i="5"/>
  <c r="AC61" i="5"/>
  <c r="AF69" i="5"/>
  <c r="AE69" i="5"/>
  <c r="J72" i="5"/>
  <c r="K72" i="5"/>
  <c r="F72" i="5"/>
  <c r="AH74" i="5"/>
  <c r="AI74" i="5"/>
  <c r="AE70" i="5"/>
  <c r="AF70" i="5"/>
  <c r="AI67" i="5"/>
  <c r="AH67" i="5"/>
  <c r="BA63" i="5"/>
  <c r="AZ63" i="5"/>
  <c r="AQ64" i="5"/>
  <c r="AR64" i="5"/>
  <c r="AO59" i="5"/>
  <c r="AN59" i="5"/>
  <c r="AL68" i="5"/>
  <c r="AK68" i="5"/>
  <c r="N61" i="5"/>
  <c r="M61" i="5"/>
  <c r="BF58" i="5"/>
  <c r="BG58" i="5"/>
  <c r="AE44" i="5"/>
  <c r="AF44" i="5"/>
  <c r="AF72" i="5"/>
  <c r="AE72" i="5"/>
  <c r="BF72" i="5"/>
  <c r="BG72" i="5"/>
  <c r="AF71" i="5"/>
  <c r="AE71" i="5"/>
  <c r="AO69" i="5"/>
  <c r="AN69" i="5"/>
  <c r="N58" i="5"/>
  <c r="M58" i="5"/>
  <c r="BD57" i="5"/>
  <c r="BC57" i="5"/>
  <c r="AH49" i="5"/>
  <c r="AI49" i="5"/>
  <c r="AX51" i="5"/>
  <c r="AW51" i="5"/>
  <c r="Z66" i="5"/>
  <c r="Y66" i="5"/>
  <c r="Q66" i="5"/>
  <c r="P66" i="5"/>
  <c r="AE41" i="5"/>
  <c r="AF41" i="5"/>
  <c r="AL56" i="5"/>
  <c r="AK56" i="5"/>
  <c r="BJ40" i="5"/>
  <c r="BI40" i="5"/>
  <c r="AZ40" i="5"/>
  <c r="BA40" i="5"/>
  <c r="AB26" i="5"/>
  <c r="AC26" i="5"/>
  <c r="AB22" i="5"/>
  <c r="AC22" i="5"/>
  <c r="AB18" i="5"/>
  <c r="AC18" i="5"/>
  <c r="AF55" i="5"/>
  <c r="AE55" i="5"/>
  <c r="K55" i="5"/>
  <c r="F55" i="5"/>
  <c r="J55" i="5"/>
  <c r="AL43" i="5"/>
  <c r="AK43" i="5"/>
  <c r="AL52" i="5"/>
  <c r="AK52" i="5"/>
  <c r="AC52" i="5"/>
  <c r="AB52" i="5"/>
  <c r="AT48" i="5"/>
  <c r="AU48" i="5"/>
  <c r="BJ46" i="5"/>
  <c r="BI46" i="5"/>
  <c r="N53" i="5"/>
  <c r="M53" i="5"/>
  <c r="AE49" i="5"/>
  <c r="AF49" i="5"/>
  <c r="AE30" i="5"/>
  <c r="AF30" i="5"/>
  <c r="AF17" i="5"/>
  <c r="AE17" i="5"/>
  <c r="BI27" i="5"/>
  <c r="BJ27" i="5"/>
  <c r="BA38" i="5"/>
  <c r="AZ38" i="5"/>
  <c r="AT34" i="5"/>
  <c r="AU34" i="5"/>
  <c r="AW36" i="5"/>
  <c r="AX36" i="5"/>
  <c r="AZ16" i="5"/>
  <c r="BA16" i="5"/>
  <c r="V39" i="5"/>
  <c r="W39" i="5"/>
  <c r="N33" i="5"/>
  <c r="M33" i="5"/>
  <c r="AZ23" i="5"/>
  <c r="BA23" i="5"/>
  <c r="P14" i="5"/>
  <c r="Q14" i="5"/>
  <c r="AN10" i="5"/>
  <c r="AO10" i="5"/>
  <c r="AE31" i="5"/>
  <c r="AF31" i="5"/>
  <c r="AU18" i="5"/>
  <c r="AT18" i="5"/>
  <c r="AK12" i="5"/>
  <c r="AL12" i="5"/>
  <c r="BD22" i="5"/>
  <c r="BC22" i="5"/>
  <c r="BF29" i="5"/>
  <c r="BG29" i="5"/>
  <c r="BA51" i="5"/>
  <c r="AZ51" i="5"/>
  <c r="BF44" i="5"/>
  <c r="BG44" i="5"/>
  <c r="BD74" i="5"/>
  <c r="BC74" i="5"/>
  <c r="AZ65" i="5"/>
  <c r="BA65" i="5"/>
  <c r="BF35" i="5"/>
  <c r="BG35" i="5"/>
  <c r="AK37" i="5"/>
  <c r="AL37" i="5"/>
  <c r="AO31" i="5"/>
  <c r="AN31" i="5"/>
  <c r="BG21" i="5"/>
  <c r="BF21" i="5"/>
  <c r="AK19" i="5"/>
  <c r="AL19" i="5"/>
  <c r="AU12" i="5"/>
  <c r="AT12" i="5"/>
  <c r="AF23" i="5"/>
  <c r="AE23" i="5"/>
  <c r="AF29" i="5"/>
  <c r="AE29" i="5"/>
  <c r="AB57" i="5"/>
  <c r="AC57" i="5"/>
  <c r="AO70" i="5"/>
  <c r="AN70" i="5"/>
  <c r="Z36" i="5"/>
  <c r="Y36" i="5"/>
  <c r="AO65" i="5"/>
  <c r="AN65" i="5"/>
  <c r="AK45" i="5"/>
  <c r="AL45" i="5"/>
  <c r="AH62" i="5"/>
  <c r="AI62" i="5"/>
  <c r="AR67" i="5"/>
  <c r="AQ67" i="5"/>
  <c r="Z65" i="5"/>
  <c r="Y65" i="5"/>
  <c r="AR9" i="5"/>
  <c r="AQ9" i="5"/>
  <c r="AO9" i="5"/>
  <c r="AN9" i="5"/>
  <c r="N16" i="5"/>
  <c r="M16" i="5"/>
  <c r="M9" i="5"/>
  <c r="N9" i="5"/>
  <c r="W10" i="5"/>
  <c r="V10" i="5"/>
  <c r="S20" i="5"/>
  <c r="T20" i="5"/>
  <c r="N25" i="5"/>
  <c r="M25" i="5"/>
  <c r="W17" i="5"/>
  <c r="V17" i="5"/>
  <c r="W21" i="5"/>
  <c r="V21" i="5"/>
  <c r="J18" i="5"/>
  <c r="F18" i="5"/>
  <c r="K18" i="5"/>
  <c r="T22" i="5"/>
  <c r="S22" i="5"/>
  <c r="Q56" i="5"/>
  <c r="P56" i="5"/>
  <c r="Q50" i="5"/>
  <c r="P50" i="5"/>
  <c r="Q36" i="5"/>
  <c r="P36" i="5"/>
  <c r="J59" i="5"/>
  <c r="F59" i="5"/>
  <c r="K59" i="5"/>
  <c r="T64" i="5"/>
  <c r="S64" i="5"/>
  <c r="S70" i="5"/>
  <c r="T70" i="5"/>
  <c r="AT32" i="5"/>
  <c r="AU32" i="5"/>
  <c r="K20" i="5"/>
  <c r="J20" i="5"/>
  <c r="F20" i="5"/>
  <c r="Z74" i="5"/>
  <c r="Y74" i="5"/>
  <c r="AE60" i="5"/>
  <c r="AF60" i="5"/>
  <c r="Z61" i="5"/>
  <c r="Y61" i="5"/>
  <c r="AU54" i="5"/>
  <c r="AT54" i="5"/>
  <c r="Z71" i="5"/>
  <c r="Y71" i="5"/>
  <c r="P51" i="5"/>
  <c r="Q51" i="5"/>
  <c r="AB23" i="5"/>
  <c r="AC23" i="5"/>
  <c r="J43" i="5"/>
  <c r="F43" i="5"/>
  <c r="K43" i="5"/>
  <c r="BC38" i="5"/>
  <c r="BD38" i="5"/>
  <c r="AE39" i="5"/>
  <c r="AF39" i="5"/>
  <c r="AN11" i="5"/>
  <c r="AO11" i="5"/>
  <c r="S31" i="5"/>
  <c r="T31" i="5"/>
  <c r="AU13" i="5"/>
  <c r="AT13" i="5"/>
  <c r="AC60" i="5"/>
  <c r="AB60" i="5"/>
  <c r="AT36" i="5"/>
  <c r="AU36" i="5"/>
  <c r="AF68" i="5"/>
  <c r="AE68" i="5"/>
  <c r="N15" i="5"/>
  <c r="M15" i="5"/>
  <c r="F19" i="5"/>
  <c r="K19" i="5"/>
  <c r="J19" i="5"/>
  <c r="Q47" i="5"/>
  <c r="P47" i="5"/>
  <c r="Q67" i="5"/>
  <c r="P67" i="5"/>
  <c r="J74" i="5"/>
  <c r="K74" i="5"/>
  <c r="F74" i="5"/>
  <c r="BG54" i="5"/>
  <c r="BF54" i="5"/>
  <c r="N157" i="23"/>
  <c r="N153" i="23"/>
  <c r="N149" i="23"/>
  <c r="N145" i="23"/>
  <c r="N141" i="23"/>
  <c r="N137" i="23"/>
  <c r="N133" i="23"/>
  <c r="N129" i="23"/>
  <c r="N125" i="23"/>
  <c r="N121" i="23"/>
  <c r="N117" i="23"/>
  <c r="N113" i="23"/>
  <c r="N109" i="23"/>
  <c r="N105" i="23"/>
  <c r="N101" i="23"/>
  <c r="N97" i="23"/>
  <c r="N93" i="23"/>
  <c r="L157" i="23"/>
  <c r="L153" i="23"/>
  <c r="L149" i="23"/>
  <c r="L145" i="23"/>
  <c r="L141" i="23"/>
  <c r="L137" i="23"/>
  <c r="L133" i="23"/>
  <c r="L129" i="23"/>
  <c r="L125" i="23"/>
  <c r="L121" i="23"/>
  <c r="L117" i="23"/>
  <c r="L113" i="23"/>
  <c r="L109" i="23"/>
  <c r="L105" i="23"/>
  <c r="L101" i="23"/>
  <c r="L159" i="23"/>
  <c r="N160" i="23"/>
  <c r="L144" i="23"/>
  <c r="N91" i="23"/>
  <c r="M51" i="23"/>
  <c r="M48" i="23"/>
  <c r="M45" i="23"/>
  <c r="L156" i="23"/>
  <c r="N151" i="23"/>
  <c r="L150" i="23"/>
  <c r="N139" i="23"/>
  <c r="L138" i="23"/>
  <c r="L128" i="23"/>
  <c r="L127" i="23"/>
  <c r="L126" i="23"/>
  <c r="L112" i="23"/>
  <c r="L111" i="23"/>
  <c r="L110" i="23"/>
  <c r="N96" i="23"/>
  <c r="L160" i="23"/>
  <c r="N152" i="23"/>
  <c r="L151" i="23"/>
  <c r="N140" i="23"/>
  <c r="L139" i="23"/>
  <c r="N132" i="23"/>
  <c r="N131" i="23"/>
  <c r="N130" i="23"/>
  <c r="N116" i="23"/>
  <c r="N115" i="23"/>
  <c r="N114" i="23"/>
  <c r="N100" i="23"/>
  <c r="N99" i="23"/>
  <c r="N98" i="23"/>
  <c r="L97" i="23"/>
  <c r="L91" i="23"/>
  <c r="N146" i="23"/>
  <c r="L96" i="23"/>
  <c r="N95" i="23"/>
  <c r="L152" i="23"/>
  <c r="L140" i="23"/>
  <c r="L132" i="23"/>
  <c r="L131" i="23"/>
  <c r="L130" i="23"/>
  <c r="L116" i="23"/>
  <c r="L115" i="23"/>
  <c r="L114" i="23"/>
  <c r="L100" i="23"/>
  <c r="L99" i="23"/>
  <c r="L98" i="23"/>
  <c r="N154" i="23"/>
  <c r="N142" i="23"/>
  <c r="L135" i="23"/>
  <c r="L134" i="23"/>
  <c r="L120" i="23"/>
  <c r="L119" i="23"/>
  <c r="L118" i="23"/>
  <c r="L104" i="23"/>
  <c r="L103" i="23"/>
  <c r="L102" i="23"/>
  <c r="L94" i="23"/>
  <c r="L158" i="23"/>
  <c r="L148" i="23"/>
  <c r="L136" i="23"/>
  <c r="N124" i="23"/>
  <c r="N123" i="23"/>
  <c r="N122" i="23"/>
  <c r="N108" i="23"/>
  <c r="N107" i="23"/>
  <c r="N106" i="23"/>
  <c r="N155" i="23"/>
  <c r="L154" i="23"/>
  <c r="N143" i="23"/>
  <c r="L142" i="23"/>
  <c r="N134" i="23"/>
  <c r="N118" i="23"/>
  <c r="N102" i="23"/>
  <c r="L93" i="23"/>
  <c r="M47" i="23"/>
  <c r="M46" i="23"/>
  <c r="N148" i="23"/>
  <c r="N159" i="23"/>
  <c r="L155" i="23"/>
  <c r="N144" i="23"/>
  <c r="L124" i="23"/>
  <c r="L108" i="23"/>
  <c r="N127" i="23"/>
  <c r="N111" i="23"/>
  <c r="M40" i="23"/>
  <c r="M37" i="23"/>
  <c r="M34" i="23"/>
  <c r="N147" i="23"/>
  <c r="N120" i="23"/>
  <c r="N104" i="23"/>
  <c r="N94" i="23"/>
  <c r="M50" i="23"/>
  <c r="M49" i="23"/>
  <c r="N158" i="23"/>
  <c r="L147" i="23"/>
  <c r="N136" i="23"/>
  <c r="N150" i="23"/>
  <c r="N126" i="23"/>
  <c r="N110" i="23"/>
  <c r="N92" i="23"/>
  <c r="M39" i="23"/>
  <c r="M36" i="23"/>
  <c r="M33" i="23"/>
  <c r="L146" i="23"/>
  <c r="N135" i="23"/>
  <c r="N119" i="23"/>
  <c r="N103" i="23"/>
  <c r="M44" i="23"/>
  <c r="M43" i="23"/>
  <c r="L92" i="23"/>
  <c r="M42" i="23"/>
  <c r="L143" i="23"/>
  <c r="N156" i="23"/>
  <c r="N128" i="23"/>
  <c r="L107" i="23"/>
  <c r="L106" i="23"/>
  <c r="L122" i="23"/>
  <c r="L95" i="23"/>
  <c r="N112" i="23"/>
  <c r="M32" i="23"/>
  <c r="N138" i="23"/>
  <c r="M35" i="23"/>
  <c r="L123" i="23"/>
  <c r="M41" i="23"/>
  <c r="M38" i="23"/>
  <c r="O17" i="3"/>
  <c r="K17" i="3"/>
  <c r="M17" i="3"/>
  <c r="J17" i="3"/>
  <c r="E160" i="23"/>
  <c r="E156" i="23"/>
  <c r="E152" i="23"/>
  <c r="E148" i="23"/>
  <c r="E144" i="23"/>
  <c r="E140" i="23"/>
  <c r="E136" i="23"/>
  <c r="E132" i="23"/>
  <c r="E128" i="23"/>
  <c r="E124" i="23"/>
  <c r="E120" i="23"/>
  <c r="E116" i="23"/>
  <c r="E112" i="23"/>
  <c r="E108" i="23"/>
  <c r="E104" i="23"/>
  <c r="E100" i="23"/>
  <c r="E96" i="23"/>
  <c r="C160" i="23"/>
  <c r="C156" i="23"/>
  <c r="C152" i="23"/>
  <c r="C148" i="23"/>
  <c r="C144" i="23"/>
  <c r="C140" i="23"/>
  <c r="C136" i="23"/>
  <c r="C132" i="23"/>
  <c r="C128" i="23"/>
  <c r="C124" i="23"/>
  <c r="C120" i="23"/>
  <c r="C116" i="23"/>
  <c r="C112" i="23"/>
  <c r="C108" i="23"/>
  <c r="C104" i="23"/>
  <c r="C100" i="23"/>
  <c r="C158" i="23"/>
  <c r="E158" i="23"/>
  <c r="C147" i="23"/>
  <c r="E154" i="23"/>
  <c r="C153" i="23"/>
  <c r="E142" i="23"/>
  <c r="C141" i="23"/>
  <c r="C135" i="23"/>
  <c r="C134" i="23"/>
  <c r="C133" i="23"/>
  <c r="C119" i="23"/>
  <c r="C118" i="23"/>
  <c r="C117" i="23"/>
  <c r="C103" i="23"/>
  <c r="C102" i="23"/>
  <c r="C101" i="23"/>
  <c r="C95" i="23"/>
  <c r="E94" i="23"/>
  <c r="D50" i="23"/>
  <c r="D47" i="23"/>
  <c r="D44" i="23"/>
  <c r="E159" i="23"/>
  <c r="E155" i="23"/>
  <c r="C154" i="23"/>
  <c r="E143" i="23"/>
  <c r="C142" i="23"/>
  <c r="E123" i="23"/>
  <c r="E122" i="23"/>
  <c r="E121" i="23"/>
  <c r="E107" i="23"/>
  <c r="E106" i="23"/>
  <c r="E105" i="23"/>
  <c r="E149" i="23"/>
  <c r="E137" i="23"/>
  <c r="C94" i="23"/>
  <c r="E93" i="23"/>
  <c r="C159" i="23"/>
  <c r="C155" i="23"/>
  <c r="C143" i="23"/>
  <c r="C123" i="23"/>
  <c r="C122" i="23"/>
  <c r="C121" i="23"/>
  <c r="C107" i="23"/>
  <c r="C106" i="23"/>
  <c r="C105" i="23"/>
  <c r="E145" i="23"/>
  <c r="C127" i="23"/>
  <c r="C126" i="23"/>
  <c r="C125" i="23"/>
  <c r="C111" i="23"/>
  <c r="C110" i="23"/>
  <c r="C109" i="23"/>
  <c r="E157" i="23"/>
  <c r="C151" i="23"/>
  <c r="C139" i="23"/>
  <c r="E131" i="23"/>
  <c r="E130" i="23"/>
  <c r="E129" i="23"/>
  <c r="E115" i="23"/>
  <c r="E114" i="23"/>
  <c r="E113" i="23"/>
  <c r="E99" i="23"/>
  <c r="E98" i="23"/>
  <c r="E146" i="23"/>
  <c r="C145" i="23"/>
  <c r="C149" i="23"/>
  <c r="E138" i="23"/>
  <c r="E125" i="23"/>
  <c r="E109" i="23"/>
  <c r="C92" i="23"/>
  <c r="D40" i="23"/>
  <c r="D37" i="23"/>
  <c r="D34" i="23"/>
  <c r="C138" i="23"/>
  <c r="D51" i="23"/>
  <c r="C131" i="23"/>
  <c r="C115" i="23"/>
  <c r="E97" i="23"/>
  <c r="D43" i="23"/>
  <c r="E141" i="23"/>
  <c r="E134" i="23"/>
  <c r="E118" i="23"/>
  <c r="E102" i="23"/>
  <c r="E95" i="23"/>
  <c r="C137" i="23"/>
  <c r="E127" i="23"/>
  <c r="E111" i="23"/>
  <c r="C97" i="23"/>
  <c r="C93" i="23"/>
  <c r="D42" i="23"/>
  <c r="D39" i="23"/>
  <c r="D36" i="23"/>
  <c r="D33" i="23"/>
  <c r="E151" i="23"/>
  <c r="E133" i="23"/>
  <c r="E117" i="23"/>
  <c r="E91" i="23"/>
  <c r="E150" i="23"/>
  <c r="E126" i="23"/>
  <c r="E110" i="23"/>
  <c r="E101" i="23"/>
  <c r="D41" i="23"/>
  <c r="D38" i="23"/>
  <c r="D35" i="23"/>
  <c r="D32" i="23"/>
  <c r="C150" i="23"/>
  <c r="E139" i="23"/>
  <c r="C96" i="23"/>
  <c r="C91" i="23"/>
  <c r="D49" i="23"/>
  <c r="D48" i="23"/>
  <c r="C130" i="23"/>
  <c r="E119" i="23"/>
  <c r="C157" i="23"/>
  <c r="C129" i="23"/>
  <c r="C99" i="23"/>
  <c r="D45" i="23"/>
  <c r="C98" i="23"/>
  <c r="E92" i="23"/>
  <c r="C113" i="23"/>
  <c r="E135" i="23"/>
  <c r="E103" i="23"/>
  <c r="E147" i="23"/>
  <c r="D46" i="23"/>
  <c r="C146" i="23"/>
  <c r="E153" i="23"/>
  <c r="C114" i="23"/>
  <c r="O11" i="3"/>
  <c r="J11" i="3"/>
  <c r="M11" i="3"/>
  <c r="M21" i="3" s="1"/>
  <c r="K11" i="3"/>
  <c r="AT74" i="5"/>
  <c r="AU74" i="5"/>
  <c r="AC67" i="5"/>
  <c r="AB67" i="5"/>
  <c r="T73" i="5"/>
  <c r="S73" i="5"/>
  <c r="Q64" i="5"/>
  <c r="P64" i="5"/>
  <c r="Q59" i="5"/>
  <c r="P59" i="5"/>
  <c r="T60" i="5"/>
  <c r="S60" i="5"/>
  <c r="BA68" i="5"/>
  <c r="AZ68" i="5"/>
  <c r="BF61" i="5"/>
  <c r="BG61" i="5"/>
  <c r="P58" i="5"/>
  <c r="Q58" i="5"/>
  <c r="S71" i="5"/>
  <c r="T71" i="5"/>
  <c r="AL72" i="5"/>
  <c r="AK72" i="5"/>
  <c r="AZ58" i="5"/>
  <c r="BA58" i="5"/>
  <c r="J71" i="5"/>
  <c r="K71" i="5"/>
  <c r="F71" i="5"/>
  <c r="AQ69" i="5"/>
  <c r="AR69" i="5"/>
  <c r="AT58" i="5"/>
  <c r="AU58" i="5"/>
  <c r="Z57" i="5"/>
  <c r="Y57" i="5"/>
  <c r="AW49" i="5"/>
  <c r="AX49" i="5"/>
  <c r="AC51" i="5"/>
  <c r="AB51" i="5"/>
  <c r="AB66" i="5"/>
  <c r="AC66" i="5"/>
  <c r="BD66" i="5"/>
  <c r="BC66" i="5"/>
  <c r="AQ36" i="5"/>
  <c r="AR36" i="5"/>
  <c r="AE40" i="5"/>
  <c r="AF40" i="5"/>
  <c r="AN29" i="5"/>
  <c r="AO29" i="5"/>
  <c r="P26" i="5"/>
  <c r="Q26" i="5"/>
  <c r="P22" i="5"/>
  <c r="Q22" i="5"/>
  <c r="P18" i="5"/>
  <c r="Q18" i="5"/>
  <c r="BJ55" i="5"/>
  <c r="BI55" i="5"/>
  <c r="W55" i="5"/>
  <c r="V55" i="5"/>
  <c r="BA43" i="5"/>
  <c r="AZ43" i="5"/>
  <c r="S52" i="5"/>
  <c r="T52" i="5"/>
  <c r="AF52" i="5"/>
  <c r="AE52" i="5"/>
  <c r="V48" i="5"/>
  <c r="W48" i="5"/>
  <c r="J46" i="5"/>
  <c r="K46" i="5"/>
  <c r="F46" i="5"/>
  <c r="AN53" i="5"/>
  <c r="AO53" i="5"/>
  <c r="BF46" i="5"/>
  <c r="BG46" i="5"/>
  <c r="AU29" i="5"/>
  <c r="AT29" i="5"/>
  <c r="AX16" i="5"/>
  <c r="AW16" i="5"/>
  <c r="Y27" i="5"/>
  <c r="Z27" i="5"/>
  <c r="AT38" i="5"/>
  <c r="AU38" i="5"/>
  <c r="AC34" i="5"/>
  <c r="AB34" i="5"/>
  <c r="AQ31" i="5"/>
  <c r="AR31" i="5"/>
  <c r="AL49" i="5"/>
  <c r="AK49" i="5"/>
  <c r="AL39" i="5"/>
  <c r="AK39" i="5"/>
  <c r="AX33" i="5"/>
  <c r="AW33" i="5"/>
  <c r="AW21" i="5"/>
  <c r="AX21" i="5"/>
  <c r="AO14" i="5"/>
  <c r="AN14" i="5"/>
  <c r="AB10" i="5"/>
  <c r="AC10" i="5"/>
  <c r="AZ18" i="5"/>
  <c r="BA18" i="5"/>
  <c r="Y12" i="5"/>
  <c r="Z12" i="5"/>
  <c r="BD23" i="5"/>
  <c r="BC23" i="5"/>
  <c r="AZ36" i="5"/>
  <c r="BA36" i="5"/>
  <c r="AX57" i="5"/>
  <c r="AW57" i="5"/>
  <c r="BA49" i="5"/>
  <c r="AZ49" i="5"/>
  <c r="BF60" i="5"/>
  <c r="BG60" i="5"/>
  <c r="BC70" i="5"/>
  <c r="BD70" i="5"/>
  <c r="BC33" i="5"/>
  <c r="BD33" i="5"/>
  <c r="N37" i="5"/>
  <c r="M37" i="5"/>
  <c r="AH31" i="5"/>
  <c r="AI31" i="5"/>
  <c r="AI20" i="5"/>
  <c r="AH20" i="5"/>
  <c r="AZ28" i="5"/>
  <c r="BA28" i="5"/>
  <c r="AQ18" i="5"/>
  <c r="AR18" i="5"/>
  <c r="AI12" i="5"/>
  <c r="AH12" i="5"/>
  <c r="AR23" i="5"/>
  <c r="AQ23" i="5"/>
  <c r="AR29" i="5"/>
  <c r="AQ29" i="5"/>
  <c r="AL41" i="5"/>
  <c r="AK41" i="5"/>
  <c r="AH44" i="5"/>
  <c r="AI44" i="5"/>
  <c r="AL44" i="5"/>
  <c r="AK44" i="5"/>
  <c r="Z44" i="5"/>
  <c r="Y44" i="5"/>
  <c r="AL47" i="5"/>
  <c r="AK47" i="5"/>
  <c r="AH63" i="5"/>
  <c r="AI63" i="5"/>
  <c r="Z70" i="5"/>
  <c r="Y70" i="5"/>
  <c r="AL74" i="5"/>
  <c r="AK74" i="5"/>
  <c r="T9" i="5"/>
  <c r="S9" i="5"/>
  <c r="Q9" i="5"/>
  <c r="P9" i="5"/>
  <c r="F16" i="5"/>
  <c r="K16" i="5"/>
  <c r="J16" i="5"/>
  <c r="F11" i="5"/>
  <c r="K11" i="5"/>
  <c r="J11" i="5"/>
  <c r="M21" i="5"/>
  <c r="N21" i="5"/>
  <c r="N27" i="5"/>
  <c r="M27" i="5"/>
  <c r="W20" i="5"/>
  <c r="V20" i="5"/>
  <c r="N24" i="5"/>
  <c r="M24" i="5"/>
  <c r="J21" i="5"/>
  <c r="F21" i="5"/>
  <c r="K21" i="5"/>
  <c r="T23" i="5"/>
  <c r="S23" i="5"/>
  <c r="N71" i="5"/>
  <c r="M71" i="5"/>
  <c r="N51" i="5"/>
  <c r="M51" i="5"/>
  <c r="N62" i="5"/>
  <c r="M62" i="5"/>
  <c r="P61" i="5"/>
  <c r="Q61" i="5"/>
  <c r="P65" i="5"/>
  <c r="Q65" i="5"/>
  <c r="W70" i="5"/>
  <c r="V70" i="5"/>
  <c r="BC32" i="5"/>
  <c r="BD32" i="5"/>
  <c r="N20" i="5"/>
  <c r="M20" i="5"/>
  <c r="V72" i="5"/>
  <c r="W72" i="5"/>
  <c r="AF57" i="5"/>
  <c r="AE57" i="5"/>
  <c r="AX56" i="5"/>
  <c r="AW56" i="5"/>
  <c r="BG25" i="5"/>
  <c r="BF25" i="5"/>
  <c r="BJ22" i="5"/>
  <c r="BI22" i="5"/>
  <c r="Y13" i="5"/>
  <c r="Z13" i="5"/>
  <c r="Y10" i="5"/>
  <c r="Z10" i="5"/>
  <c r="AZ59" i="5"/>
  <c r="BA59" i="5"/>
  <c r="AX25" i="5"/>
  <c r="AW25" i="5"/>
  <c r="AR27" i="5"/>
  <c r="AQ27" i="5"/>
  <c r="V36" i="5"/>
  <c r="W36" i="5"/>
  <c r="N12" i="5"/>
  <c r="M12" i="5"/>
  <c r="N50" i="5"/>
  <c r="M50" i="5"/>
  <c r="M59" i="5"/>
  <c r="N59" i="5"/>
  <c r="BF74" i="5"/>
  <c r="BG74" i="5"/>
  <c r="AL73" i="5"/>
  <c r="AK73" i="5"/>
  <c r="T63" i="5"/>
  <c r="S63" i="5"/>
  <c r="AE64" i="5"/>
  <c r="AF64" i="5"/>
  <c r="BD59" i="5"/>
  <c r="BC59" i="5"/>
  <c r="AH60" i="5"/>
  <c r="AI60" i="5"/>
  <c r="N68" i="5"/>
  <c r="M68" i="5"/>
  <c r="T61" i="5"/>
  <c r="S61" i="5"/>
  <c r="AR54" i="5"/>
  <c r="AQ54" i="5"/>
  <c r="P72" i="5"/>
  <c r="Q72" i="5"/>
  <c r="AL71" i="5"/>
  <c r="AK71" i="5"/>
  <c r="Z69" i="5"/>
  <c r="Y69" i="5"/>
  <c r="K58" i="5"/>
  <c r="J58" i="5"/>
  <c r="F58" i="5"/>
  <c r="N57" i="5"/>
  <c r="M57" i="5"/>
  <c r="AF61" i="5"/>
  <c r="AE61" i="5"/>
  <c r="AO66" i="5"/>
  <c r="AN66" i="5"/>
  <c r="W66" i="5"/>
  <c r="V66" i="5"/>
  <c r="BJ35" i="5"/>
  <c r="BI35" i="5"/>
  <c r="Z56" i="5"/>
  <c r="Y56" i="5"/>
  <c r="J40" i="5"/>
  <c r="F40" i="5"/>
  <c r="K40" i="5"/>
  <c r="AB29" i="5"/>
  <c r="AC29" i="5"/>
  <c r="AN25" i="5"/>
  <c r="AO25" i="5"/>
  <c r="AN21" i="5"/>
  <c r="AO21" i="5"/>
  <c r="AN17" i="5"/>
  <c r="AO17" i="5"/>
  <c r="AN55" i="5"/>
  <c r="AO55" i="5"/>
  <c r="AI55" i="5"/>
  <c r="AH55" i="5"/>
  <c r="BG52" i="5"/>
  <c r="BF52" i="5"/>
  <c r="AE48" i="5"/>
  <c r="AF48" i="5"/>
  <c r="AK48" i="5"/>
  <c r="AL48" i="5"/>
  <c r="AT46" i="5"/>
  <c r="AU46" i="5"/>
  <c r="AT42" i="5"/>
  <c r="AU42" i="5"/>
  <c r="AU27" i="5"/>
  <c r="AT27" i="5"/>
  <c r="BD15" i="5"/>
  <c r="BC15" i="5"/>
  <c r="AB30" i="5"/>
  <c r="AC30" i="5"/>
  <c r="S38" i="5"/>
  <c r="T38" i="5"/>
  <c r="S34" i="5"/>
  <c r="T34" i="5"/>
  <c r="BI29" i="5"/>
  <c r="BJ29" i="5"/>
  <c r="AE42" i="5"/>
  <c r="AF42" i="5"/>
  <c r="BA39" i="5"/>
  <c r="AZ39" i="5"/>
  <c r="V33" i="5"/>
  <c r="W33" i="5"/>
  <c r="BC20" i="5"/>
  <c r="BD20" i="5"/>
  <c r="AZ14" i="5"/>
  <c r="BA14" i="5"/>
  <c r="P10" i="5"/>
  <c r="Q10" i="5"/>
  <c r="BA29" i="5"/>
  <c r="AZ29" i="5"/>
  <c r="AU15" i="5"/>
  <c r="AT15" i="5"/>
  <c r="BI11" i="5"/>
  <c r="BJ11" i="5"/>
  <c r="BD24" i="5"/>
  <c r="BC24" i="5"/>
  <c r="BA54" i="5"/>
  <c r="AZ54" i="5"/>
  <c r="BF64" i="5"/>
  <c r="BG64" i="5"/>
  <c r="BD54" i="5"/>
  <c r="BC54" i="5"/>
  <c r="BI60" i="5"/>
  <c r="BJ60" i="5"/>
  <c r="AX73" i="5"/>
  <c r="AW73" i="5"/>
  <c r="Y33" i="5"/>
  <c r="Z33" i="5"/>
  <c r="BC37" i="5"/>
  <c r="BD37" i="5"/>
  <c r="AZ31" i="5"/>
  <c r="BA31" i="5"/>
  <c r="BA47" i="5"/>
  <c r="AZ47" i="5"/>
  <c r="BG26" i="5"/>
  <c r="BF26" i="5"/>
  <c r="BI17" i="5"/>
  <c r="BJ17" i="5"/>
  <c r="BG11" i="5"/>
  <c r="BF11" i="5"/>
  <c r="AF24" i="5"/>
  <c r="AE24" i="5"/>
  <c r="AN35" i="5"/>
  <c r="AO35" i="5"/>
  <c r="Z42" i="5"/>
  <c r="Y42" i="5"/>
  <c r="Z45" i="5"/>
  <c r="Y45" i="5"/>
  <c r="AT45" i="5"/>
  <c r="AU45" i="5"/>
  <c r="AH45" i="5"/>
  <c r="AI45" i="5"/>
  <c r="AT50" i="5"/>
  <c r="AU50" i="5"/>
  <c r="AH64" i="5"/>
  <c r="AI64" i="5"/>
  <c r="AF73" i="5"/>
  <c r="AE73" i="5"/>
  <c r="AC65" i="5"/>
  <c r="AB65" i="5"/>
  <c r="S37" i="5"/>
  <c r="T37" i="5"/>
  <c r="W11" i="5"/>
  <c r="V11" i="5"/>
  <c r="W24" i="5"/>
  <c r="V24" i="5"/>
  <c r="N29" i="5"/>
  <c r="M29" i="5"/>
  <c r="Q30" i="5"/>
  <c r="P30" i="5"/>
  <c r="N26" i="5"/>
  <c r="M26" i="5"/>
  <c r="N36" i="5"/>
  <c r="M36" i="5"/>
  <c r="T24" i="5"/>
  <c r="S24" i="5"/>
  <c r="S36" i="5"/>
  <c r="T36" i="5"/>
  <c r="N35" i="5"/>
  <c r="M35" i="5"/>
  <c r="T72" i="5"/>
  <c r="S72" i="5"/>
  <c r="W68" i="5"/>
  <c r="V68" i="5"/>
  <c r="J67" i="5"/>
  <c r="F67" i="5"/>
  <c r="K67" i="5"/>
  <c r="N70" i="5"/>
  <c r="M70" i="5"/>
  <c r="S32" i="5"/>
  <c r="T32" i="5"/>
  <c r="E50" i="23"/>
  <c r="I49" i="23"/>
  <c r="A48" i="23"/>
  <c r="E47" i="23"/>
  <c r="I46" i="23"/>
  <c r="A45" i="23"/>
  <c r="E44" i="23"/>
  <c r="L51" i="23"/>
  <c r="H49" i="23"/>
  <c r="L48" i="23"/>
  <c r="H46" i="23"/>
  <c r="L45" i="23"/>
  <c r="H43" i="23"/>
  <c r="K51" i="23"/>
  <c r="O50" i="23"/>
  <c r="C50" i="23"/>
  <c r="K48" i="23"/>
  <c r="O47" i="23"/>
  <c r="C47" i="23"/>
  <c r="K45" i="23"/>
  <c r="O44" i="23"/>
  <c r="C44" i="23"/>
  <c r="K42" i="23"/>
  <c r="N50" i="23"/>
  <c r="B50" i="23"/>
  <c r="F49" i="23"/>
  <c r="N47" i="23"/>
  <c r="B47" i="23"/>
  <c r="F46" i="23"/>
  <c r="N44" i="23"/>
  <c r="B44" i="23"/>
  <c r="F43" i="23"/>
  <c r="E51" i="23"/>
  <c r="A50" i="23"/>
  <c r="A49" i="23"/>
  <c r="I45" i="23"/>
  <c r="I44" i="23"/>
  <c r="I43" i="23"/>
  <c r="H42" i="23"/>
  <c r="L41" i="23"/>
  <c r="H39" i="23"/>
  <c r="L38" i="23"/>
  <c r="H36" i="23"/>
  <c r="L35" i="23"/>
  <c r="H33" i="23"/>
  <c r="L32" i="23"/>
  <c r="L47" i="23"/>
  <c r="L46" i="23"/>
  <c r="H45" i="23"/>
  <c r="H44" i="23"/>
  <c r="E43" i="23"/>
  <c r="K41" i="23"/>
  <c r="O40" i="23"/>
  <c r="C40" i="23"/>
  <c r="K38" i="23"/>
  <c r="O37" i="23"/>
  <c r="C37" i="23"/>
  <c r="K35" i="23"/>
  <c r="O34" i="23"/>
  <c r="C34" i="23"/>
  <c r="K32" i="23"/>
  <c r="C51" i="23"/>
  <c r="O49" i="23"/>
  <c r="O48" i="23"/>
  <c r="K47" i="23"/>
  <c r="K46" i="23"/>
  <c r="F42" i="23"/>
  <c r="N40" i="23"/>
  <c r="B40" i="23"/>
  <c r="F39" i="23"/>
  <c r="N37" i="23"/>
  <c r="B37" i="23"/>
  <c r="F36" i="23"/>
  <c r="N34" i="23"/>
  <c r="B34" i="23"/>
  <c r="F33" i="23"/>
  <c r="B51" i="23"/>
  <c r="N49" i="23"/>
  <c r="N48" i="23"/>
  <c r="F45" i="23"/>
  <c r="F44" i="23"/>
  <c r="C43" i="23"/>
  <c r="E42" i="23"/>
  <c r="I41" i="23"/>
  <c r="A40" i="23"/>
  <c r="E39" i="23"/>
  <c r="I38" i="23"/>
  <c r="A37" i="23"/>
  <c r="E36" i="23"/>
  <c r="I35" i="23"/>
  <c r="A34" i="23"/>
  <c r="E33" i="23"/>
  <c r="I32" i="23"/>
  <c r="I48" i="23"/>
  <c r="I47" i="23"/>
  <c r="E46" i="23"/>
  <c r="E45" i="23"/>
  <c r="A44" i="23"/>
  <c r="B43" i="23"/>
  <c r="H41" i="23"/>
  <c r="L40" i="23"/>
  <c r="H38" i="23"/>
  <c r="L37" i="23"/>
  <c r="H35" i="23"/>
  <c r="L34" i="23"/>
  <c r="H32" i="23"/>
  <c r="N51" i="23"/>
  <c r="F48" i="23"/>
  <c r="F47" i="23"/>
  <c r="B46" i="23"/>
  <c r="B45" i="23"/>
  <c r="N43" i="23"/>
  <c r="O42" i="23"/>
  <c r="A42" i="23"/>
  <c r="E41" i="23"/>
  <c r="I40" i="23"/>
  <c r="A39" i="23"/>
  <c r="E38" i="23"/>
  <c r="I37" i="23"/>
  <c r="A36" i="23"/>
  <c r="E35" i="23"/>
  <c r="I34" i="23"/>
  <c r="A33" i="23"/>
  <c r="E32" i="23"/>
  <c r="I51" i="23"/>
  <c r="I50" i="23"/>
  <c r="E49" i="23"/>
  <c r="E48" i="23"/>
  <c r="A47" i="23"/>
  <c r="A46" i="23"/>
  <c r="N42" i="23"/>
  <c r="H40" i="23"/>
  <c r="L39" i="23"/>
  <c r="H37" i="23"/>
  <c r="L36" i="23"/>
  <c r="H34" i="23"/>
  <c r="L33" i="23"/>
  <c r="H51" i="23"/>
  <c r="H50" i="23"/>
  <c r="L44" i="23"/>
  <c r="L43" i="23"/>
  <c r="O41" i="23"/>
  <c r="C41" i="23"/>
  <c r="K39" i="23"/>
  <c r="O38" i="23"/>
  <c r="C38" i="23"/>
  <c r="K36" i="23"/>
  <c r="O35" i="23"/>
  <c r="C35" i="23"/>
  <c r="K33" i="23"/>
  <c r="O32" i="23"/>
  <c r="C32" i="23"/>
  <c r="H48" i="23"/>
  <c r="C42" i="23"/>
  <c r="O39" i="23"/>
  <c r="K37" i="23"/>
  <c r="C33" i="23"/>
  <c r="O51" i="23"/>
  <c r="C45" i="23"/>
  <c r="B42" i="23"/>
  <c r="N39" i="23"/>
  <c r="F35" i="23"/>
  <c r="B33" i="23"/>
  <c r="O46" i="23"/>
  <c r="K43" i="23"/>
  <c r="B41" i="23"/>
  <c r="N38" i="23"/>
  <c r="F34" i="23"/>
  <c r="B32" i="23"/>
  <c r="L49" i="23"/>
  <c r="A43" i="23"/>
  <c r="K40" i="23"/>
  <c r="C36" i="23"/>
  <c r="O33" i="23"/>
  <c r="K49" i="23"/>
  <c r="C46" i="23"/>
  <c r="F38" i="23"/>
  <c r="B36" i="23"/>
  <c r="N33" i="23"/>
  <c r="F51" i="23"/>
  <c r="N45" i="23"/>
  <c r="A41" i="23"/>
  <c r="O36" i="23"/>
  <c r="N32" i="23"/>
  <c r="L50" i="23"/>
  <c r="K44" i="23"/>
  <c r="F40" i="23"/>
  <c r="N36" i="23"/>
  <c r="K50" i="23"/>
  <c r="E40" i="23"/>
  <c r="I36" i="23"/>
  <c r="F50" i="23"/>
  <c r="N35" i="23"/>
  <c r="F32" i="23"/>
  <c r="C49" i="23"/>
  <c r="O43" i="23"/>
  <c r="I39" i="23"/>
  <c r="A32" i="23"/>
  <c r="B49" i="23"/>
  <c r="C39" i="23"/>
  <c r="B35" i="23"/>
  <c r="C48" i="23"/>
  <c r="L42" i="23"/>
  <c r="B39" i="23"/>
  <c r="A35" i="23"/>
  <c r="H47" i="23"/>
  <c r="N41" i="23"/>
  <c r="B38" i="23"/>
  <c r="A38" i="23"/>
  <c r="E34" i="23"/>
  <c r="N46" i="23"/>
  <c r="F37" i="23"/>
  <c r="O45" i="23"/>
  <c r="F41" i="23"/>
  <c r="E37" i="23"/>
  <c r="I33" i="23"/>
  <c r="I42" i="23"/>
  <c r="K34" i="23"/>
  <c r="B48" i="23"/>
  <c r="J18" i="3"/>
  <c r="J20" i="3"/>
  <c r="J19" i="3"/>
  <c r="J13" i="3"/>
  <c r="J12" i="3"/>
  <c r="AT73" i="5"/>
  <c r="AU73" i="5"/>
  <c r="AT63" i="5"/>
  <c r="AU63" i="5"/>
  <c r="BD72" i="5"/>
  <c r="BC72" i="5"/>
  <c r="AX69" i="5"/>
  <c r="AW69" i="5"/>
  <c r="AZ55" i="5"/>
  <c r="BA55" i="5"/>
  <c r="AX43" i="5"/>
  <c r="AW43" i="5"/>
  <c r="AX52" i="5"/>
  <c r="AW52" i="5"/>
  <c r="AK46" i="5"/>
  <c r="AL46" i="5"/>
  <c r="AU53" i="5"/>
  <c r="AT53" i="5"/>
  <c r="AX19" i="5"/>
  <c r="AW19" i="5"/>
  <c r="BJ34" i="5"/>
  <c r="BI34" i="5"/>
  <c r="Z35" i="5"/>
  <c r="Y35" i="5"/>
  <c r="BF41" i="5"/>
  <c r="BG41" i="5"/>
  <c r="AC43" i="5"/>
  <c r="AB43" i="5"/>
  <c r="AQ21" i="5"/>
  <c r="AR21" i="5"/>
  <c r="AB59" i="5"/>
  <c r="AC59" i="5"/>
  <c r="AR70" i="5"/>
  <c r="AQ70" i="5"/>
  <c r="AF74" i="5"/>
  <c r="AE74" i="5"/>
  <c r="S10" i="5"/>
  <c r="T10" i="5"/>
  <c r="V46" i="5"/>
  <c r="W46" i="5"/>
  <c r="N67" i="5"/>
  <c r="M67" i="5"/>
  <c r="Q63" i="5"/>
  <c r="P63" i="5"/>
  <c r="AI70" i="5"/>
  <c r="AH70" i="5"/>
  <c r="AZ73" i="5"/>
  <c r="BA73" i="5"/>
  <c r="N73" i="5"/>
  <c r="M73" i="5"/>
  <c r="BJ73" i="5"/>
  <c r="BI73" i="5"/>
  <c r="C58" i="23"/>
  <c r="C56" i="23"/>
  <c r="C69" i="23"/>
  <c r="Q74" i="5"/>
  <c r="P74" i="5"/>
  <c r="AT67" i="5"/>
  <c r="AU67" i="5"/>
  <c r="AR73" i="5"/>
  <c r="AQ73" i="5"/>
  <c r="Z73" i="5"/>
  <c r="Y73" i="5"/>
  <c r="BG63" i="5"/>
  <c r="BF63" i="5"/>
  <c r="AL64" i="5"/>
  <c r="AK64" i="5"/>
  <c r="Z60" i="5"/>
  <c r="Y60" i="5"/>
  <c r="AO68" i="5"/>
  <c r="AN68" i="5"/>
  <c r="T58" i="5"/>
  <c r="S58" i="5"/>
  <c r="N54" i="5"/>
  <c r="M54" i="5"/>
  <c r="BA72" i="5"/>
  <c r="AZ72" i="5"/>
  <c r="BJ71" i="5"/>
  <c r="BI71" i="5"/>
  <c r="BF71" i="5"/>
  <c r="BG71" i="5"/>
  <c r="AU69" i="5"/>
  <c r="AT69" i="5"/>
  <c r="W58" i="5"/>
  <c r="V58" i="5"/>
  <c r="BJ57" i="5"/>
  <c r="BI57" i="5"/>
  <c r="J47" i="5"/>
  <c r="K47" i="5"/>
  <c r="F47" i="5"/>
  <c r="T56" i="5"/>
  <c r="S56" i="5"/>
  <c r="AR66" i="5"/>
  <c r="AQ66" i="5"/>
  <c r="BJ66" i="5"/>
  <c r="BI66" i="5"/>
  <c r="AT35" i="5"/>
  <c r="AU35" i="5"/>
  <c r="K56" i="5"/>
  <c r="J56" i="5"/>
  <c r="F56" i="5"/>
  <c r="Z40" i="5"/>
  <c r="Y40" i="5"/>
  <c r="P29" i="5"/>
  <c r="Q29" i="5"/>
  <c r="AB25" i="5"/>
  <c r="AC25" i="5"/>
  <c r="AB21" i="5"/>
  <c r="AC21" i="5"/>
  <c r="AB17" i="5"/>
  <c r="AC17" i="5"/>
  <c r="Q55" i="5"/>
  <c r="P55" i="5"/>
  <c r="AU55" i="5"/>
  <c r="AT55" i="5"/>
  <c r="V43" i="5"/>
  <c r="W43" i="5"/>
  <c r="AO52" i="5"/>
  <c r="AN52" i="5"/>
  <c r="AX48" i="5"/>
  <c r="AW48" i="5"/>
  <c r="AZ48" i="5"/>
  <c r="BA48" i="5"/>
  <c r="M46" i="5"/>
  <c r="N46" i="5"/>
  <c r="W53" i="5"/>
  <c r="V53" i="5"/>
  <c r="AH42" i="5"/>
  <c r="AI42" i="5"/>
  <c r="AU25" i="5"/>
  <c r="AT25" i="5"/>
  <c r="Z15" i="5"/>
  <c r="Y15" i="5"/>
  <c r="J30" i="5"/>
  <c r="F30" i="5"/>
  <c r="K30" i="5"/>
  <c r="BI25" i="5"/>
  <c r="BJ25" i="5"/>
  <c r="AH38" i="5"/>
  <c r="AI38" i="5"/>
  <c r="AH34" i="5"/>
  <c r="AI34" i="5"/>
  <c r="AX28" i="5"/>
  <c r="AW28" i="5"/>
  <c r="P39" i="5"/>
  <c r="Q39" i="5"/>
  <c r="J39" i="5"/>
  <c r="K39" i="5"/>
  <c r="F39" i="5"/>
  <c r="AK33" i="5"/>
  <c r="AL33" i="5"/>
  <c r="Y20" i="5"/>
  <c r="Z20" i="5"/>
  <c r="AN13" i="5"/>
  <c r="AO13" i="5"/>
  <c r="BA45" i="5"/>
  <c r="AZ45" i="5"/>
  <c r="BJ28" i="5"/>
  <c r="BI28" i="5"/>
  <c r="AZ15" i="5"/>
  <c r="BA15" i="5"/>
  <c r="AW11" i="5"/>
  <c r="AX11" i="5"/>
  <c r="BD25" i="5"/>
  <c r="BC25" i="5"/>
  <c r="BD58" i="5"/>
  <c r="BC58" i="5"/>
  <c r="BJ45" i="5"/>
  <c r="BI45" i="5"/>
  <c r="AW35" i="5"/>
  <c r="AX35" i="5"/>
  <c r="AX63" i="5"/>
  <c r="AW63" i="5"/>
  <c r="BA67" i="5"/>
  <c r="AZ67" i="5"/>
  <c r="BI31" i="5"/>
  <c r="BJ31" i="5"/>
  <c r="AC37" i="5"/>
  <c r="AB37" i="5"/>
  <c r="N31" i="5"/>
  <c r="M31" i="5"/>
  <c r="AX45" i="5"/>
  <c r="AW45" i="5"/>
  <c r="AU11" i="5"/>
  <c r="AT11" i="5"/>
  <c r="AR24" i="5"/>
  <c r="AQ24" i="5"/>
  <c r="AO41" i="5"/>
  <c r="AN41" i="5"/>
  <c r="AO42" i="5"/>
  <c r="AN42" i="5"/>
  <c r="AQ47" i="5"/>
  <c r="AR47" i="5"/>
  <c r="AT47" i="5"/>
  <c r="AU47" i="5"/>
  <c r="AH47" i="5"/>
  <c r="AI47" i="5"/>
  <c r="AC54" i="5"/>
  <c r="AB54" i="5"/>
  <c r="AI65" i="5"/>
  <c r="AH65" i="5"/>
  <c r="Z54" i="5"/>
  <c r="Y54" i="5"/>
  <c r="AR74" i="5"/>
  <c r="AQ74" i="5"/>
  <c r="N17" i="5"/>
  <c r="M17" i="5"/>
  <c r="F12" i="5"/>
  <c r="K12" i="5"/>
  <c r="J12" i="5"/>
  <c r="W26" i="5"/>
  <c r="V26" i="5"/>
  <c r="V35" i="5"/>
  <c r="W35" i="5"/>
  <c r="P46" i="5"/>
  <c r="Q46" i="5"/>
  <c r="N28" i="5"/>
  <c r="H28" i="5" s="1"/>
  <c r="M28" i="5"/>
  <c r="G28" i="5" s="1"/>
  <c r="V44" i="5"/>
  <c r="W44" i="5"/>
  <c r="T25" i="5"/>
  <c r="S25" i="5"/>
  <c r="N45" i="5"/>
  <c r="M45" i="5"/>
  <c r="J36" i="5"/>
  <c r="K36" i="5"/>
  <c r="F36" i="5"/>
  <c r="S35" i="5"/>
  <c r="T35" i="5"/>
  <c r="P62" i="5"/>
  <c r="Q62" i="5"/>
  <c r="J60" i="5"/>
  <c r="K60" i="5"/>
  <c r="F60" i="5"/>
  <c r="N65" i="5"/>
  <c r="M65" i="5"/>
  <c r="V32" i="5"/>
  <c r="W32" i="5"/>
  <c r="M32" i="5"/>
  <c r="N32" i="5"/>
  <c r="BA9" i="5"/>
  <c r="AZ9" i="5"/>
  <c r="Q42" i="5"/>
  <c r="P42" i="5"/>
  <c r="K21" i="3" l="1"/>
  <c r="N20" i="3"/>
  <c r="L20" i="3"/>
  <c r="G17" i="5"/>
  <c r="H17" i="5"/>
  <c r="G48" i="5"/>
  <c r="H48" i="5"/>
  <c r="N18" i="3"/>
  <c r="L18" i="3"/>
  <c r="L17" i="3"/>
  <c r="N17" i="3"/>
  <c r="H68" i="5"/>
  <c r="G68" i="5"/>
  <c r="H22" i="5"/>
  <c r="G22" i="5"/>
  <c r="G42" i="5"/>
  <c r="H42" i="5"/>
  <c r="G37" i="5"/>
  <c r="H37" i="5"/>
  <c r="H62" i="5"/>
  <c r="G62" i="5"/>
  <c r="G31" i="5"/>
  <c r="H31" i="5"/>
  <c r="G12" i="5"/>
  <c r="H12" i="5"/>
  <c r="G71" i="5"/>
  <c r="H71" i="5"/>
  <c r="G10" i="5"/>
  <c r="H10" i="5"/>
  <c r="L15" i="3"/>
  <c r="N15" i="3"/>
  <c r="G60" i="5"/>
  <c r="H60" i="5"/>
  <c r="G47" i="5"/>
  <c r="H47" i="5"/>
  <c r="G40" i="5"/>
  <c r="H40" i="5"/>
  <c r="G33" i="5"/>
  <c r="H33" i="5"/>
  <c r="G34" i="5"/>
  <c r="H34" i="5"/>
  <c r="H66" i="5"/>
  <c r="G66" i="5"/>
  <c r="H65" i="5"/>
  <c r="G65" i="5"/>
  <c r="H57" i="5"/>
  <c r="G57" i="5"/>
  <c r="G39" i="5"/>
  <c r="H39" i="5"/>
  <c r="G56" i="5"/>
  <c r="H56" i="5"/>
  <c r="G43" i="5"/>
  <c r="H43" i="5"/>
  <c r="G72" i="5"/>
  <c r="H72" i="5"/>
  <c r="H61" i="5"/>
  <c r="G61" i="5"/>
  <c r="G15" i="5"/>
  <c r="H15" i="5"/>
  <c r="H52" i="5"/>
  <c r="G52" i="5"/>
  <c r="G70" i="5"/>
  <c r="H70" i="5"/>
  <c r="G13" i="5"/>
  <c r="H13" i="5"/>
  <c r="H9" i="5"/>
  <c r="G9" i="5"/>
  <c r="H58" i="5"/>
  <c r="G58" i="5"/>
  <c r="G18" i="5"/>
  <c r="H18" i="5"/>
  <c r="H29" i="5"/>
  <c r="G29" i="5"/>
  <c r="H64" i="5"/>
  <c r="G64" i="5"/>
  <c r="H23" i="5"/>
  <c r="G23" i="5"/>
  <c r="G30" i="5"/>
  <c r="H30" i="5"/>
  <c r="G59" i="5"/>
  <c r="H59" i="5"/>
  <c r="G55" i="5"/>
  <c r="H55" i="5"/>
  <c r="G50" i="5"/>
  <c r="H50" i="5"/>
  <c r="G63" i="5"/>
  <c r="H63" i="5"/>
  <c r="K22" i="3"/>
  <c r="H25" i="5"/>
  <c r="G25" i="5"/>
  <c r="H54" i="5"/>
  <c r="G54" i="5"/>
  <c r="G44" i="5"/>
  <c r="H44" i="5"/>
  <c r="G21" i="5"/>
  <c r="H21" i="5"/>
  <c r="G11" i="5"/>
  <c r="H11" i="5"/>
  <c r="J21" i="3"/>
  <c r="N11" i="3"/>
  <c r="L11" i="3"/>
  <c r="G35" i="5"/>
  <c r="H35" i="5"/>
  <c r="H26" i="5"/>
  <c r="G26" i="5"/>
  <c r="G14" i="5"/>
  <c r="H14" i="5"/>
  <c r="N16" i="3"/>
  <c r="L16" i="3"/>
  <c r="G32" i="5"/>
  <c r="H32" i="5"/>
  <c r="H19" i="5"/>
  <c r="G19" i="5"/>
  <c r="G20" i="5"/>
  <c r="H20" i="5"/>
  <c r="M22" i="3"/>
  <c r="N14" i="3"/>
  <c r="L14" i="3"/>
  <c r="H27" i="5"/>
  <c r="G27" i="5"/>
  <c r="H73" i="5"/>
  <c r="G73" i="5"/>
  <c r="N12" i="3"/>
  <c r="L12" i="3"/>
  <c r="J22" i="3"/>
  <c r="G46" i="5"/>
  <c r="H46" i="5"/>
  <c r="H24" i="5"/>
  <c r="G24" i="5"/>
  <c r="H53" i="5"/>
  <c r="G53" i="5"/>
  <c r="G36" i="5"/>
  <c r="H36" i="5"/>
  <c r="N13" i="3"/>
  <c r="L13" i="3"/>
  <c r="G67" i="5"/>
  <c r="H67" i="5"/>
  <c r="H16" i="5"/>
  <c r="G16" i="5"/>
  <c r="G45" i="5"/>
  <c r="H45" i="5"/>
  <c r="G49" i="5"/>
  <c r="H49" i="5"/>
  <c r="L19" i="3"/>
  <c r="N19" i="3"/>
  <c r="H74" i="5"/>
  <c r="G74" i="5"/>
  <c r="G41" i="5"/>
  <c r="H41" i="5"/>
  <c r="H51" i="5"/>
  <c r="G51" i="5"/>
  <c r="G69" i="5"/>
  <c r="H69" i="5"/>
  <c r="G38" i="5"/>
  <c r="H38" i="5"/>
  <c r="L22" i="3" l="1"/>
  <c r="N22" i="3"/>
  <c r="N21" i="3"/>
  <c r="L21" i="3"/>
</calcChain>
</file>

<file path=xl/sharedStrings.xml><?xml version="1.0" encoding="utf-8"?>
<sst xmlns="http://schemas.openxmlformats.org/spreadsheetml/2006/main" count="16933" uniqueCount="4629">
  <si>
    <t>Konjunktur auf einen Blick</t>
  </si>
  <si>
    <t>DIHK-Konjunkturumfrage Herbst 2026  ·  23.549 Antworten</t>
  </si>
  <si>
    <t>DIHK-Stimmungsindex</t>
  </si>
  <si>
    <t>Geschäftslage</t>
  </si>
  <si>
    <t>Geschäftserwartungen</t>
  </si>
  <si>
    <t>Exporterwartungen (Industrie)</t>
  </si>
  <si>
    <t>Investitionsabsichten</t>
  </si>
  <si>
    <t>Beschäftigungsabsichten</t>
  </si>
  <si>
    <t>▲ +6,6 zur Vorumfrage</t>
  </si>
  <si>
    <t>▲ +6 zur Vorumfrage</t>
  </si>
  <si>
    <t>▲ +7 zur Vorumfrage</t>
  </si>
  <si>
    <t>▲ +13 zur Vorumfrage</t>
  </si>
  <si>
    <t>▲ +5 zur Vorumfrage</t>
  </si>
  <si>
    <t>▲ +1 zur Vorumfrage</t>
  </si>
  <si>
    <t>Vorjahr 93,8  ·  Ø 109,7</t>
  </si>
  <si>
    <t>Vorjahr +0  ·  Ø +19</t>
  </si>
  <si>
    <t>Vorjahr −12  ·  Ø +2</t>
  </si>
  <si>
    <t>Vorjahr −10  ·  Ø +13</t>
  </si>
  <si>
    <t>Vorjahr −9  ·  Ø +2</t>
  </si>
  <si>
    <t>Vorjahr −13  ·  Ø −1</t>
  </si>
  <si>
    <t>Punkte, 100 = neutral</t>
  </si>
  <si>
    <t>Saldo in Punkten</t>
  </si>
  <si>
    <t>Kernaussagen</t>
  </si>
  <si>
    <t>DIHK-Stimmungsindex seit 2010 (Gesamtwirtschaft)</t>
  </si>
  <si>
    <t>●</t>
  </si>
  <si>
    <t>Geschäftslage: 26 % gut, 23 % schlecht – Saldo +3 (Vorumfrage −3).</t>
  </si>
  <si>
    <t>Sektoren: beste Stimmung in Industrie (97,5), schwächste im Handel (79,5).</t>
  </si>
  <si>
    <t>Sektoren im Vergleich</t>
  </si>
  <si>
    <t>Geschäftsrisiken in %</t>
  </si>
  <si>
    <t>Investitionsmotive in %</t>
  </si>
  <si>
    <t>Index</t>
  </si>
  <si>
    <t>Lage</t>
  </si>
  <si>
    <t>Erw.</t>
  </si>
  <si>
    <t>Inv.</t>
  </si>
  <si>
    <t>Besch.</t>
  </si>
  <si>
    <t>Gesamtwirtschaft</t>
  </si>
  <si>
    <t>Industrie</t>
  </si>
  <si>
    <t>Baugewerbe</t>
  </si>
  <si>
    <t>Handel</t>
  </si>
  <si>
    <t>Dienstleistungen</t>
  </si>
  <si>
    <t>Index = Stimmungsindex; übrige Werte: Salden in Punkten (aktuelle Umfrage).</t>
  </si>
  <si>
    <t>Auswahl A – Branche</t>
  </si>
  <si>
    <t>Zeitreihen von</t>
  </si>
  <si>
    <t>Jahresbeginn 2007</t>
  </si>
  <si>
    <t>Auswahl B – Branche</t>
  </si>
  <si>
    <t>Alle Branchen</t>
  </si>
  <si>
    <t>bis (Umfrage)</t>
  </si>
  <si>
    <t>Herbst 2026</t>
  </si>
  <si>
    <t>Salden in Punkten</t>
  </si>
  <si>
    <t>Indikator</t>
  </si>
  <si>
    <t>Auswahl</t>
  </si>
  <si>
    <t>positiv</t>
  </si>
  <si>
    <t>neutral</t>
  </si>
  <si>
    <t>negativ</t>
  </si>
  <si>
    <t>Δ Vor-umfrage</t>
  </si>
  <si>
    <t>Δ Vorjahr</t>
  </si>
  <si>
    <t>Schnitt seit 2003</t>
  </si>
  <si>
    <t>n</t>
  </si>
  <si>
    <t>Exporterwartungen</t>
  </si>
  <si>
    <t>Stimmungsindex</t>
  </si>
  <si>
    <t>Stimmungsindex = Wurzel aus (100 + Saldo Lage) × (100 + Saldo Erwartungen). n = Antworten zur jeweiligen Frage.</t>
  </si>
  <si>
    <t>Legende Zeitreihen</t>
  </si>
  <si>
    <t>┄┄ Schnitt seit 2003 (A)</t>
  </si>
  <si>
    <t>Hinweise</t>
  </si>
  <si>
    <t>• Zeitreihen: Legende oben; B abschaltbar mit „(kein Vergleich)“.</t>
  </si>
  <si>
    <t>• Anteile, Risiken, Motive: nur Auswahl A.</t>
  </si>
  <si>
    <t>• Zeitreihen: Zeitraum oben wählbar (von/bis), ab Herbst 2003.</t>
  </si>
  <si>
    <t>• Risiken/Motive: Anteile in %, Mehrfachnennungen.</t>
  </si>
  <si>
    <t>• n &lt; 30: Werte schwanken stark.</t>
  </si>
  <si>
    <t>Branche</t>
  </si>
  <si>
    <t>Umfrage</t>
  </si>
  <si>
    <t>Datenverarbeitungsgeräte, elektrische und optische Erzeugnisse</t>
  </si>
  <si>
    <t>Kraftfahrzeugbau</t>
  </si>
  <si>
    <t>Saldo</t>
  </si>
  <si>
    <t>Vorumfrage</t>
  </si>
  <si>
    <t>Vorjahr</t>
  </si>
  <si>
    <t>Salden in Punkten; Δ VU = Veränderung zur Vorumfrage, Δ VJ = zum Vorjahr (bei Risiken/Motiven in Prozentpunkten; Risiken: rot = häufiger genannt). Filterpfeile zum Sortieren/Filtern; Spalte „Nr.“ aufsteigend sortieren = ursprüngliche Reihenfolge.</t>
  </si>
  <si>
    <t>Grau und kursiv: weniger als 30 Antworten – Werte mit Vorsicht interpretieren.</t>
  </si>
  <si>
    <t>Stimmung und Standardfragen (Salden in Punkten)</t>
  </si>
  <si>
    <t>Geschäftsrisiken (Anteile in %)</t>
  </si>
  <si>
    <t>Investitionsmotive (Anteile in %)</t>
  </si>
  <si>
    <t>Nr.</t>
  </si>
  <si>
    <t>Wirtschafts-zweig</t>
  </si>
  <si>
    <t>n (Lage)</t>
  </si>
  <si>
    <t>Energie/Rohstoffe</t>
  </si>
  <si>
    <t>Arbeitskosten</t>
  </si>
  <si>
    <t>Inlandsnachfrage</t>
  </si>
  <si>
    <t>Wirtschaftspolitik</t>
  </si>
  <si>
    <t>Fachkräftemangel</t>
  </si>
  <si>
    <t>Auslandsnachfrage</t>
  </si>
  <si>
    <t>Finanzierung</t>
  </si>
  <si>
    <t>Wechselkurs</t>
  </si>
  <si>
    <t>Ersatzbedarf</t>
  </si>
  <si>
    <t>Rationalisierung</t>
  </si>
  <si>
    <t>Innovation</t>
  </si>
  <si>
    <t>Umweltschutz</t>
  </si>
  <si>
    <t>Kapazität</t>
  </si>
  <si>
    <t>Δ VU</t>
  </si>
  <si>
    <t>Δ VJ</t>
  </si>
  <si>
    <t>%</t>
  </si>
  <si>
    <t>Erwartungen</t>
  </si>
  <si>
    <t>Export</t>
  </si>
  <si>
    <t>Investitionen</t>
  </si>
  <si>
    <t>Beschäftigung</t>
  </si>
  <si>
    <t>Frühsommer 2020</t>
  </si>
  <si>
    <t>HB 26</t>
  </si>
  <si>
    <t>FS 26</t>
  </si>
  <si>
    <t>Energie, Rohstoffe</t>
  </si>
  <si>
    <t>Produktinnovation</t>
  </si>
  <si>
    <t>Kapazitätserweiterung</t>
  </si>
  <si>
    <t>Industrie (ohne Baugewerbe)</t>
  </si>
  <si>
    <t>Gewinnung von Steinen und Erden, Bergbau</t>
  </si>
  <si>
    <t>Nahrungs- und Futtermittelindustrie</t>
  </si>
  <si>
    <t>Getränkeindustrie</t>
  </si>
  <si>
    <t>Textil-, Bekleidungs- und Ledergewerbe</t>
  </si>
  <si>
    <t>Textilgewerbe</t>
  </si>
  <si>
    <t>Holzgewerbe (ohne Möbel)</t>
  </si>
  <si>
    <t>Papiergewerbe</t>
  </si>
  <si>
    <t>Druckgewerbe</t>
  </si>
  <si>
    <t>Chemische Industrie</t>
  </si>
  <si>
    <t>Pharmazeutische Industrie</t>
  </si>
  <si>
    <t>Gummi- und Kunststoffindustrie</t>
  </si>
  <si>
    <t>Glas, Keramik, Steineverarbeitung</t>
  </si>
  <si>
    <t>Metallerzeugung und -bearbeitung</t>
  </si>
  <si>
    <t>Metallerzeugnisse</t>
  </si>
  <si>
    <t>Elektrotechnik</t>
  </si>
  <si>
    <t>DV-Geräte, Elektronik, Optik</t>
  </si>
  <si>
    <t>Elektrische Ausrüstungen</t>
  </si>
  <si>
    <t>Maschinenbau</t>
  </si>
  <si>
    <t>Möbel</t>
  </si>
  <si>
    <t>Sonstige Waren</t>
  </si>
  <si>
    <t>Reparatur von Maschinen</t>
  </si>
  <si>
    <t>Energieversorgung</t>
  </si>
  <si>
    <t>Abwasser und Abfall</t>
  </si>
  <si>
    <t>Hochbau</t>
  </si>
  <si>
    <t>Tiefbau</t>
  </si>
  <si>
    <t>Ausbaugewerbe</t>
  </si>
  <si>
    <t>Großhandel und Handelsvermittlung</t>
  </si>
  <si>
    <t>Einzelhandel</t>
  </si>
  <si>
    <t>Dienstleistungen (ohne Handel)</t>
  </si>
  <si>
    <t>Verkehr und Lagerei</t>
  </si>
  <si>
    <t>Landverkehr</t>
  </si>
  <si>
    <t>Lagerei und Verkehrsdienstleistungen</t>
  </si>
  <si>
    <t>Gastgewerbe</t>
  </si>
  <si>
    <t>Beherbergung</t>
  </si>
  <si>
    <t>Gastronomie</t>
  </si>
  <si>
    <t>Verlagswesen</t>
  </si>
  <si>
    <t>Medien- und Filmwirtschaft</t>
  </si>
  <si>
    <t>IT-Dienstleistungen</t>
  </si>
  <si>
    <t>Informationsdienstleistungen</t>
  </si>
  <si>
    <t>Finanz- und Versicherungsdienstleistungen</t>
  </si>
  <si>
    <t>Kreditgewerbe</t>
  </si>
  <si>
    <t>Versicherungswirtschaft</t>
  </si>
  <si>
    <t>Immobilienwirtschaft</t>
  </si>
  <si>
    <t>Forschung und Entwicklung</t>
  </si>
  <si>
    <t>Werbung und Marktforschung</t>
  </si>
  <si>
    <t>Leasing/Vermietungsleistungen</t>
  </si>
  <si>
    <t>Vermittlung und Überlassung von Arbeitskräften</t>
  </si>
  <si>
    <t>Reisevermittlung</t>
  </si>
  <si>
    <t>Rechts- und Steuerberatung, Wirtschaftsprüfung</t>
  </si>
  <si>
    <t>Unternehmensberatung</t>
  </si>
  <si>
    <t>Architektur- u. Ingenieurbüros</t>
  </si>
  <si>
    <t>Sonstige Freiberufler</t>
  </si>
  <si>
    <t>Sonst. Unternehmensdienste</t>
  </si>
  <si>
    <t>Sicherheitswirtschaft</t>
  </si>
  <si>
    <t>Gebäudebetreuung, Garten- und Landschaftsbau</t>
  </si>
  <si>
    <t>Bildungswirtschaft</t>
  </si>
  <si>
    <t>Gesundheits- und soziale Dienste</t>
  </si>
  <si>
    <t>Kunst, Unterhaltung, Erholung</t>
  </si>
  <si>
    <t>Sonstige personenbezogene Dienstleistungen</t>
  </si>
  <si>
    <t>Informationswirtschaft</t>
  </si>
  <si>
    <t>Schlüssel</t>
  </si>
  <si>
    <t>Frage</t>
  </si>
  <si>
    <t>Herbst 2003</t>
  </si>
  <si>
    <t>Jahresbeginn 2004</t>
  </si>
  <si>
    <t>Frühsommer 2004</t>
  </si>
  <si>
    <t>Herbst 2004</t>
  </si>
  <si>
    <t>Jahresbeginn 2005</t>
  </si>
  <si>
    <t>Frühsommer 2005</t>
  </si>
  <si>
    <t>Herbst 2005</t>
  </si>
  <si>
    <t>Jahresbeginn 2006</t>
  </si>
  <si>
    <t>Frühsommer 2006</t>
  </si>
  <si>
    <t>Herbst 2006</t>
  </si>
  <si>
    <t>Frühsommer 2007</t>
  </si>
  <si>
    <t>Herbst 2007</t>
  </si>
  <si>
    <t>Jahresbeginn 2008</t>
  </si>
  <si>
    <t>Frühsommer 2008</t>
  </si>
  <si>
    <t>Herbst 2008</t>
  </si>
  <si>
    <t>Jahresbeginn 2009</t>
  </si>
  <si>
    <t>Frühsommer 2009</t>
  </si>
  <si>
    <t>Herbst 2009</t>
  </si>
  <si>
    <t>Jahresbeginn 2010</t>
  </si>
  <si>
    <t>Frühsommer 2010</t>
  </si>
  <si>
    <t>Herbst 2010</t>
  </si>
  <si>
    <t>Jahresbeginn 2011</t>
  </si>
  <si>
    <t>Frühsommer 2011</t>
  </si>
  <si>
    <t>Herbst 2011</t>
  </si>
  <si>
    <t>Jahresbeginn 2012</t>
  </si>
  <si>
    <t>Frühsommer 2012</t>
  </si>
  <si>
    <t>Herbst 2012</t>
  </si>
  <si>
    <t>Jahresbeginn 2013</t>
  </si>
  <si>
    <t>Frühsommer 2013</t>
  </si>
  <si>
    <t>Herbst 2013</t>
  </si>
  <si>
    <t>Jahresbeginn 2014</t>
  </si>
  <si>
    <t>Frühsommer 2014</t>
  </si>
  <si>
    <t>Herbst 2014</t>
  </si>
  <si>
    <t>Jahresbeginn 2015</t>
  </si>
  <si>
    <t>Frühsommer 2015</t>
  </si>
  <si>
    <t>Herbst 2015</t>
  </si>
  <si>
    <t>Jahresbeginn 2016</t>
  </si>
  <si>
    <t>Frühsommer 2016</t>
  </si>
  <si>
    <t>Herbst 2016</t>
  </si>
  <si>
    <t>Jahresbeginn 2017</t>
  </si>
  <si>
    <t>Frühsommer 2017</t>
  </si>
  <si>
    <t>Herbst 2017</t>
  </si>
  <si>
    <t>Jahresbeginn 2018</t>
  </si>
  <si>
    <t>Frühsommer 2018</t>
  </si>
  <si>
    <t>Herbst 2018</t>
  </si>
  <si>
    <t>Jahresbeginn 2019</t>
  </si>
  <si>
    <t>Frühsommer 2019</t>
  </si>
  <si>
    <t>Herbst 2019</t>
  </si>
  <si>
    <t>Jahresbeginn 2020</t>
  </si>
  <si>
    <t>Herbst 2020</t>
  </si>
  <si>
    <t>Jahresbeginn 2021</t>
  </si>
  <si>
    <t>Frühsommer 2021</t>
  </si>
  <si>
    <t>Herbst 2021</t>
  </si>
  <si>
    <t>Jahresbeginn 2022</t>
  </si>
  <si>
    <t>Frühsommer 2022</t>
  </si>
  <si>
    <t>Herbst 2022</t>
  </si>
  <si>
    <t>Jahresbeginn 2023</t>
  </si>
  <si>
    <t>Frühsommer 2023</t>
  </si>
  <si>
    <t>Herbst 2023</t>
  </si>
  <si>
    <t>Jahresbeginn 2024</t>
  </si>
  <si>
    <t>Frühsommer 2024</t>
  </si>
  <si>
    <t>Herbst 2024</t>
  </si>
  <si>
    <t>Jahresbeginn 2025</t>
  </si>
  <si>
    <t>Frühsommer 2025</t>
  </si>
  <si>
    <t>Herbst 2025</t>
  </si>
  <si>
    <t>Jahresbeginn 2026</t>
  </si>
  <si>
    <t>Frühsommer 2026</t>
  </si>
  <si>
    <t>Sonst. Fahrzeugbau</t>
  </si>
  <si>
    <t>Schmuck, Musikinstrumente, Sportgeräte, Spielwaren und sonstige Waren</t>
  </si>
  <si>
    <t>Reparatur und Installation von Maschinen und Ausrüstungen</t>
  </si>
  <si>
    <t>Abwasser- und Abfallentsorgung, Beseitigung von Umweltverschmutzungen</t>
  </si>
  <si>
    <t>Architektur- und Ingenieurbüros, naturwissenschaftliche Untersuchung</t>
  </si>
  <si>
    <t>Sonstige freiberufliche, wissenschaftliche und technische Tätigkeiten</t>
  </si>
  <si>
    <t>Sonstige wirtschaftliche Dienstleistungen für Unternehmen</t>
  </si>
  <si>
    <t>Kunst, Unterhaltung, Erholung (alt: Freizeitwirtschaft)</t>
  </si>
  <si>
    <t>Antworten (n)</t>
  </si>
  <si>
    <t>positiv %</t>
  </si>
  <si>
    <t>neutral %</t>
  </si>
  <si>
    <t>negativ %</t>
  </si>
  <si>
    <t>Risiko</t>
  </si>
  <si>
    <t>Antworten (n) aktuell</t>
  </si>
  <si>
    <t>Durchschnitt</t>
  </si>
  <si>
    <t>Energie- und Rohstoffpreise</t>
  </si>
  <si>
    <t>Wirtschaftspolitische Rahmenbedingungen</t>
  </si>
  <si>
    <t>Motiv</t>
  </si>
  <si>
    <t>Schnitt (alle Umfragen)</t>
  </si>
  <si>
    <t>Wirtschaftszweig</t>
  </si>
  <si>
    <t>Kurzname für Diagramme (änderbar)</t>
  </si>
  <si>
    <t>Ebene</t>
  </si>
  <si>
    <t>Umfragen (chronologisch)</t>
  </si>
  <si>
    <t>Auswahl B (mit Option ohne Vergleich)</t>
  </si>
  <si>
    <t>Gesamt</t>
  </si>
  <si>
    <t>(kein Vergleich)</t>
  </si>
  <si>
    <t>Steine, Erden, Bergbau</t>
  </si>
  <si>
    <t>Nahrungs- u. Futtermittel</t>
  </si>
  <si>
    <t>Textil, Bekleidung, Leder</t>
  </si>
  <si>
    <t>Glas, Keramik, Steine</t>
  </si>
  <si>
    <t>Metallerzeugung</t>
  </si>
  <si>
    <t>Bau</t>
  </si>
  <si>
    <t>Großhandel u. Handelsvermittl.</t>
  </si>
  <si>
    <t>Dienstleister</t>
  </si>
  <si>
    <t>Lagerei und Verkehrs-DL</t>
  </si>
  <si>
    <t>Finanz- und Versicherungs-DL</t>
  </si>
  <si>
    <t>Arbeitskräftevermittlung</t>
  </si>
  <si>
    <t>Rechts- und Steuerberatung</t>
  </si>
  <si>
    <t>Gebäudebetreuung, Gartenbau</t>
  </si>
  <si>
    <t>Gesundheit und Soziales</t>
  </si>
  <si>
    <t>Querschnitt</t>
  </si>
  <si>
    <t>Sonst. personennahe Dienstl.</t>
  </si>
  <si>
    <t>Hilfsblatt für Dashboard und Diagramme – nicht verändern</t>
  </si>
  <si>
    <t>Start Zeitraum</t>
  </si>
  <si>
    <t>Ende Zeitraum</t>
  </si>
  <si>
    <t>Spalte Salden</t>
  </si>
  <si>
    <t>Spalte Salden VU</t>
  </si>
  <si>
    <t>Spalte Salden VJ</t>
  </si>
  <si>
    <t>Spalte Risiken</t>
  </si>
  <si>
    <t>Spalte Risiken VU</t>
  </si>
  <si>
    <t>Spalte Motive</t>
  </si>
  <si>
    <t>Spalte Motive VU</t>
  </si>
  <si>
    <t>Schlüssel A</t>
  </si>
  <si>
    <t>Schlüssel B</t>
  </si>
  <si>
    <t>Kurzlabel A</t>
  </si>
  <si>
    <t>Kurzlabel B</t>
  </si>
  <si>
    <t>Kurz Umfrage</t>
  </si>
  <si>
    <t>Kurz VU</t>
  </si>
  <si>
    <t>Kurz VJ</t>
  </si>
  <si>
    <t>Zeile A</t>
  </si>
  <si>
    <t>Zeile B</t>
  </si>
  <si>
    <t>Ø langjährig</t>
  </si>
  <si>
    <t>Anteile A</t>
  </si>
  <si>
    <t xml:space="preserve"> </t>
  </si>
  <si>
    <t xml:space="preserve">  </t>
  </si>
  <si>
    <t xml:space="preserve">   </t>
  </si>
  <si>
    <t xml:space="preserve">    </t>
  </si>
  <si>
    <t>Zeitreihen gesamt (Zeitraum oben im Dashboard wählbar)</t>
  </si>
  <si>
    <t>Achse</t>
  </si>
  <si>
    <t>Schnitt seit 2003 (A)</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</si>
  <si>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</si>
  <si>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</si>
  <si>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</si>
  <si>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</si>
  <si>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</si>
  <si>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</si>
  <si>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</si>
  <si>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</si>
  <si>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</si>
  <si>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</si>
  <si>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</si>
  <si>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</si>
  <si>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</si>
  <si>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</si>
  <si>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</si>
  <si>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</si>
  <si>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</si>
  <si>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</si>
  <si>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</si>
  <si>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</si>
  <si>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</si>
  <si>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</si>
  <si>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</si>
  <si>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Hilfsblatt für die Zeitreihen der Übersichtsblätter – nicht verändern</t>
  </si>
  <si>
    <t>Auslandsnachfrage*</t>
  </si>
  <si>
    <t>Wechselkurs*</t>
  </si>
  <si>
    <t>Alle Branchen|Lage</t>
  </si>
  <si>
    <t>Industrie (ohne Baugewerbe)|Lage</t>
  </si>
  <si>
    <t>Gewinnung von Steinen und Erden, Bergbau|Lage</t>
  </si>
  <si>
    <t>Nahrungs- und Futtermittelindustrie|Lage</t>
  </si>
  <si>
    <t>Getränkeindustrie|Lage</t>
  </si>
  <si>
    <t>Textil-, Bekleidungs- und Ledergewerbe|Lage</t>
  </si>
  <si>
    <t>Textilgewerbe|Lage</t>
  </si>
  <si>
    <t>Holzgewerbe (ohne Möbel)|Lage</t>
  </si>
  <si>
    <t>Papiergewerbe|Lage</t>
  </si>
  <si>
    <t>Druckgewerbe|Lage</t>
  </si>
  <si>
    <t>Chemische Industrie|Lage</t>
  </si>
  <si>
    <t>Pharmazeutische Industrie|Lage</t>
  </si>
  <si>
    <t>Gummi- und Kunststoffindustrie|Lage</t>
  </si>
  <si>
    <t>Glas, Keramik, Steineverarbeitung|Lage</t>
  </si>
  <si>
    <t>Metallerzeugung und -bearbeitung|Lage</t>
  </si>
  <si>
    <t>Metallerzeugnisse|Lage</t>
  </si>
  <si>
    <t>Elektrotechnik|Lage</t>
  </si>
  <si>
    <t>Datenverarbeitungsgeräte, elektrische und optische Erzeugnisse|Lage</t>
  </si>
  <si>
    <t>Elektrische Ausrüstungen|Lage</t>
  </si>
  <si>
    <t>Maschinenbau|Lage</t>
  </si>
  <si>
    <t>Kraftfahrzeugbau|Lage</t>
  </si>
  <si>
    <t>Sonst. Fahrzeugbau|Lage</t>
  </si>
  <si>
    <t>Möbel|Lage</t>
  </si>
  <si>
    <t>Schmuck, Musikinstrumente, Sportgeräte, Spielwaren und sonstige Waren|Lage</t>
  </si>
  <si>
    <t>Reparatur und Installation von Maschinen und Ausrüstungen|Lage</t>
  </si>
  <si>
    <t>Energieversorgung|Lage</t>
  </si>
  <si>
    <t>Abwasser- und Abfallentsorgung, Beseitigung von Umweltverschmutzungen|Lage</t>
  </si>
  <si>
    <t>Baugewerbe|Lage</t>
  </si>
  <si>
    <t>Hochbau|Lage</t>
  </si>
  <si>
    <t>Tiefbau|Lage</t>
  </si>
  <si>
    <t>Ausbaugewerbe|Lage</t>
  </si>
  <si>
    <t>Handel|Lage</t>
  </si>
  <si>
    <t>Großhandel und Handelsvermittlung|Lage</t>
  </si>
  <si>
    <t>Einzelhandel|Lage</t>
  </si>
  <si>
    <t>Dienstleistungen (ohne Handel)|Lage</t>
  </si>
  <si>
    <t>Verkehr und Lagerei|Lage</t>
  </si>
  <si>
    <t>Landverkehr|Lage</t>
  </si>
  <si>
    <t>Lagerei und Verkehrsdienstleistungen|Lage</t>
  </si>
  <si>
    <t>Gastgewerbe|Lage</t>
  </si>
  <si>
    <t>Beherbergung|Lage</t>
  </si>
  <si>
    <t>Gastronomie|Lage</t>
  </si>
  <si>
    <t>Verlagswesen|Lage</t>
  </si>
  <si>
    <t>Medien- und Filmwirtschaft|Lage</t>
  </si>
  <si>
    <t>IT-Dienstleistungen|Lage</t>
  </si>
  <si>
    <t>Informationsdienstleistungen|Lage</t>
  </si>
  <si>
    <t>Finanz- und Versicherungsdienstleistungen|Lage</t>
  </si>
  <si>
    <t>Kreditgewerbe|Lage</t>
  </si>
  <si>
    <t>Versicherungswirtschaft|Lage</t>
  </si>
  <si>
    <t>Immobilienwirtschaft|Lage</t>
  </si>
  <si>
    <t>Forschung und Entwicklung|Lage</t>
  </si>
  <si>
    <t>Werbung und Marktforschung|Lage</t>
  </si>
  <si>
    <t>Leasing/Vermietungsleistungen|Lage</t>
  </si>
  <si>
    <t>Vermittlung und Überlassung von Arbeitskräften|Lage</t>
  </si>
  <si>
    <t>Reisevermittlung|Lage</t>
  </si>
  <si>
    <t>Rechts- und Steuerberatung, Wirtschaftsprüfung|Lage</t>
  </si>
  <si>
    <t>Unternehmensberatung|Lage</t>
  </si>
  <si>
    <t>Architektur- und Ingenieurbüros, naturwissenschaftliche Untersuchung|Lage</t>
  </si>
  <si>
    <t>Sonstige freiberufliche, wissenschaftliche und technische Tätigkeiten|Lage</t>
  </si>
  <si>
    <t>Sonstige wirtschaftliche Dienstleistungen für Unternehmen|Lage</t>
  </si>
  <si>
    <t>Sicherheitswirtschaft|Lage</t>
  </si>
  <si>
    <t>Gebäudebetreuung, Garten- und Landschaftsbau|Lage</t>
  </si>
  <si>
    <t>Bildungswirtschaft|Lage</t>
  </si>
  <si>
    <t>Gesundheits- und soziale Dienste|Lage</t>
  </si>
  <si>
    <t>Kunst, Unterhaltung, Erholung (alt: Freizeitwirtschaft)|Lage</t>
  </si>
  <si>
    <t>Sonstige personenbezogene Dienstleistungen|Lage</t>
  </si>
  <si>
    <t>Informationswirtschaft|Lage</t>
  </si>
  <si>
    <t>Alle Branchen|Erwartungen</t>
  </si>
  <si>
    <t>Industrie (ohne Baugewerbe)|Erwartungen</t>
  </si>
  <si>
    <t>Gewinnung von Steinen und Erden, Bergbau|Erwartungen</t>
  </si>
  <si>
    <t>Nahrungs- und Futtermittelindustrie|Erwartungen</t>
  </si>
  <si>
    <t>Getränkeindustrie|Erwartungen</t>
  </si>
  <si>
    <t>Textil-, Bekleidungs- und Ledergewerbe|Erwartungen</t>
  </si>
  <si>
    <t>Textilgewerbe|Erwartungen</t>
  </si>
  <si>
    <t>Holzgewerbe (ohne Möbel)|Erwartungen</t>
  </si>
  <si>
    <t>Papiergewerbe|Erwartungen</t>
  </si>
  <si>
    <t>Druckgewerbe|Erwartungen</t>
  </si>
  <si>
    <t>Chemische Industrie|Erwartungen</t>
  </si>
  <si>
    <t>Pharmazeutische Industrie|Erwartungen</t>
  </si>
  <si>
    <t>Gummi- und Kunststoffindustrie|Erwartungen</t>
  </si>
  <si>
    <t>Glas, Keramik, Steineverarbeitung|Erwartungen</t>
  </si>
  <si>
    <t>Metallerzeugung und -bearbeitung|Erwartungen</t>
  </si>
  <si>
    <t>Metallerzeugnisse|Erwartungen</t>
  </si>
  <si>
    <t>Elektrotechnik|Erwartungen</t>
  </si>
  <si>
    <t>Datenverarbeitungsgeräte, elektrische und optische Erzeugnisse|Erwartungen</t>
  </si>
  <si>
    <t>Elektrische Ausrüstungen|Erwartungen</t>
  </si>
  <si>
    <t>Maschinenbau|Erwartungen</t>
  </si>
  <si>
    <t>Kraftfahrzeugbau|Erwartungen</t>
  </si>
  <si>
    <t>Sonst. Fahrzeugbau|Erwartungen</t>
  </si>
  <si>
    <t>Möbel|Erwartungen</t>
  </si>
  <si>
    <t>Schmuck, Musikinstrumente, Sportgeräte, Spielwaren und sonstige Waren|Erwartungen</t>
  </si>
  <si>
    <t>Reparatur und Installation von Maschinen und Ausrüstungen|Erwartungen</t>
  </si>
  <si>
    <t>Energieversorgung|Erwartungen</t>
  </si>
  <si>
    <t>Abwasser- und Abfallentsorgung, Beseitigung von Umweltverschmutzungen|Erwartungen</t>
  </si>
  <si>
    <t>Baugewerbe|Erwartungen</t>
  </si>
  <si>
    <t>Hochbau|Erwartungen</t>
  </si>
  <si>
    <t>Tiefbau|Erwartungen</t>
  </si>
  <si>
    <t>Ausbaugewerbe|Erwartungen</t>
  </si>
  <si>
    <t>Handel|Erwartungen</t>
  </si>
  <si>
    <t>Großhandel und Handelsvermittlung|Erwartungen</t>
  </si>
  <si>
    <t>Einzelhandel|Erwartungen</t>
  </si>
  <si>
    <t>Dienstleistungen (ohne Handel)|Erwartungen</t>
  </si>
  <si>
    <t>Verkehr und Lagerei|Erwartungen</t>
  </si>
  <si>
    <t>Landverkehr|Erwartungen</t>
  </si>
  <si>
    <t>Lagerei und Verkehrsdienstleistungen|Erwartungen</t>
  </si>
  <si>
    <t>Gastgewerbe|Erwartungen</t>
  </si>
  <si>
    <t>Beherbergung|Erwartungen</t>
  </si>
  <si>
    <t>Gastronomie|Erwartungen</t>
  </si>
  <si>
    <t>Verlagswesen|Erwartungen</t>
  </si>
  <si>
    <t>Medien- und Filmwirtschaft|Erwartungen</t>
  </si>
  <si>
    <t>IT-Dienstleistungen|Erwartungen</t>
  </si>
  <si>
    <t>Informationsdienstleistungen|Erwartungen</t>
  </si>
  <si>
    <t>Finanz- und Versicherungsdienstleistungen|Erwartungen</t>
  </si>
  <si>
    <t>Kreditgewerbe|Erwartungen</t>
  </si>
  <si>
    <t>Versicherungswirtschaft|Erwartungen</t>
  </si>
  <si>
    <t>Immobilienwirtschaft|Erwartungen</t>
  </si>
  <si>
    <t>Forschung und Entwicklung|Erwartungen</t>
  </si>
  <si>
    <t>Werbung und Marktforschung|Erwartungen</t>
  </si>
  <si>
    <t>Leasing/Vermietungsleistungen|Erwartungen</t>
  </si>
  <si>
    <t>Vermittlung und Überlassung von Arbeitskräften|Erwartungen</t>
  </si>
  <si>
    <t>Reisevermittlung|Erwartungen</t>
  </si>
  <si>
    <t>Rechts- und Steuerberatung, Wirtschaftsprüfung|Erwartungen</t>
  </si>
  <si>
    <t>Unternehmensberatung|Erwartungen</t>
  </si>
  <si>
    <t>Architektur- und Ingenieurbüros, naturwissenschaftliche Untersuchung|Erwartungen</t>
  </si>
  <si>
    <t>Sonstige freiberufliche, wissenschaftliche und technische Tätigkeiten|Erwartungen</t>
  </si>
  <si>
    <t>Sonstige wirtschaftliche Dienstleistungen für Unternehmen|Erwartungen</t>
  </si>
  <si>
    <t>Sicherheitswirtschaft|Erwartungen</t>
  </si>
  <si>
    <t>Gebäudebetreuung, Garten- und Landschaftsbau|Erwartungen</t>
  </si>
  <si>
    <t>Bildungswirtschaft|Erwartungen</t>
  </si>
  <si>
    <t>Gesundheits- und soziale Dienste|Erwartungen</t>
  </si>
  <si>
    <t>Kunst, Unterhaltung, Erholung (alt: Freizeitwirtschaft)|Erwartungen</t>
  </si>
  <si>
    <t>Sonstige personenbezogene Dienstleistungen|Erwartungen</t>
  </si>
  <si>
    <t>Informationswirtschaft|Erwartungen</t>
  </si>
  <si>
    <t>Alle Branchen|Export</t>
  </si>
  <si>
    <t>Industrie (ohne Baugewerbe)|Export</t>
  </si>
  <si>
    <t>Gewinnung von Steinen und Erden, Bergbau|Export</t>
  </si>
  <si>
    <t>Nahrungs- und Futtermittelindustrie|Export</t>
  </si>
  <si>
    <t>Getränkeindustrie|Export</t>
  </si>
  <si>
    <t>Textil-, Bekleidungs- und Ledergewerbe|Export</t>
  </si>
  <si>
    <t>Textilgewerbe|Export</t>
  </si>
  <si>
    <t>Holzgewerbe (ohne Möbel)|Export</t>
  </si>
  <si>
    <t>Papiergewerbe|Export</t>
  </si>
  <si>
    <t>Druckgewerbe|Export</t>
  </si>
  <si>
    <t>Chemische Industrie|Export</t>
  </si>
  <si>
    <t>Pharmazeutische Industrie|Export</t>
  </si>
  <si>
    <t>Gummi- und Kunststoffindustrie|Export</t>
  </si>
  <si>
    <t>Glas, Keramik, Steineverarbeitung|Export</t>
  </si>
  <si>
    <t>Metallerzeugung und -bearbeitung|Export</t>
  </si>
  <si>
    <t>Metallerzeugnisse|Export</t>
  </si>
  <si>
    <t>Elektrotechnik|Export</t>
  </si>
  <si>
    <t>Datenverarbeitungsgeräte, elektrische und optische Erzeugnisse|Export</t>
  </si>
  <si>
    <t>Elektrische Ausrüstungen|Export</t>
  </si>
  <si>
    <t>Maschinenbau|Export</t>
  </si>
  <si>
    <t>Kraftfahrzeugbau|Export</t>
  </si>
  <si>
    <t>Sonst. Fahrzeugbau|Export</t>
  </si>
  <si>
    <t>Möbel|Export</t>
  </si>
  <si>
    <t>Schmuck, Musikinstrumente, Sportgeräte, Spielwaren und sonstige Waren|Export</t>
  </si>
  <si>
    <t>Reparatur und Installation von Maschinen und Ausrüstungen|Export</t>
  </si>
  <si>
    <t>Energieversorgung|Export</t>
  </si>
  <si>
    <t>Abwasser- und Abfallentsorgung, Beseitigung von Umweltverschmutzungen|Export</t>
  </si>
  <si>
    <t>Baugewerbe|Export</t>
  </si>
  <si>
    <t>Hochbau|Export</t>
  </si>
  <si>
    <t>Tiefbau|Export</t>
  </si>
  <si>
    <t>Ausbaugewerbe|Export</t>
  </si>
  <si>
    <t>Handel|Export</t>
  </si>
  <si>
    <t>Großhandel und Handelsvermittlung|Export</t>
  </si>
  <si>
    <t>Einzelhandel|Export</t>
  </si>
  <si>
    <t>Dienstleistungen (ohne Handel)|Export</t>
  </si>
  <si>
    <t>Verkehr und Lagerei|Export</t>
  </si>
  <si>
    <t>Landverkehr|Export</t>
  </si>
  <si>
    <t>Lagerei und Verkehrsdienstleistungen|Export</t>
  </si>
  <si>
    <t>Gastgewerbe|Export</t>
  </si>
  <si>
    <t>Beherbergung|Export</t>
  </si>
  <si>
    <t>Gastronomie|Export</t>
  </si>
  <si>
    <t>Verlagswesen|Export</t>
  </si>
  <si>
    <t>Medien- und Filmwirtschaft|Export</t>
  </si>
  <si>
    <t>IT-Dienstleistungen|Export</t>
  </si>
  <si>
    <t>Informationsdienstleistungen|Export</t>
  </si>
  <si>
    <t>Finanz- und Versicherungsdienstleistungen|Export</t>
  </si>
  <si>
    <t>Kreditgewerbe|Export</t>
  </si>
  <si>
    <t>Versicherungswirtschaft|Export</t>
  </si>
  <si>
    <t>Immobilienwirtschaft|Export</t>
  </si>
  <si>
    <t>Forschung und Entwicklung|Export</t>
  </si>
  <si>
    <t>Werbung und Marktforschung|Export</t>
  </si>
  <si>
    <t>Leasing/Vermietungsleistungen|Export</t>
  </si>
  <si>
    <t>Vermittlung und Überlassung von Arbeitskräften|Export</t>
  </si>
  <si>
    <t>Reisevermittlung|Export</t>
  </si>
  <si>
    <t>Rechts- und Steuerberatung, Wirtschaftsprüfung|Export</t>
  </si>
  <si>
    <t>Unternehmensberatung|Export</t>
  </si>
  <si>
    <t>Architektur- und Ingenieurbüros, naturwissenschaftliche Untersuchung|Export</t>
  </si>
  <si>
    <t>Sonstige freiberufliche, wissenschaftliche und technische Tätigkeiten|Export</t>
  </si>
  <si>
    <t>Sonstige wirtschaftliche Dienstleistungen für Unternehmen|Export</t>
  </si>
  <si>
    <t>Sicherheitswirtschaft|Export</t>
  </si>
  <si>
    <t>Gebäudebetreuung, Garten- und Landschaftsbau|Export</t>
  </si>
  <si>
    <t>Bildungswirtschaft|Export</t>
  </si>
  <si>
    <t>Gesundheits- und soziale Dienste|Export</t>
  </si>
  <si>
    <t>Kunst, Unterhaltung, Erholung (alt: Freizeitwirtschaft)|Export</t>
  </si>
  <si>
    <t>Sonstige personenbezogene Dienstleistungen|Export</t>
  </si>
  <si>
    <t>Informationswirtschaft|Export</t>
  </si>
  <si>
    <t>Alle Branchen|Investitionen</t>
  </si>
  <si>
    <t>Industrie (ohne Baugewerbe)|Investitionen</t>
  </si>
  <si>
    <t>Gewinnung von Steinen und Erden, Bergbau|Investitionen</t>
  </si>
  <si>
    <t>Nahrungs- und Futtermittelindustrie|Investitionen</t>
  </si>
  <si>
    <t>Getränkeindustrie|Investitionen</t>
  </si>
  <si>
    <t>Textil-, Bekleidungs- und Ledergewerbe|Investitionen</t>
  </si>
  <si>
    <t>Textilgewerbe|Investitionen</t>
  </si>
  <si>
    <t>Holzgewerbe (ohne Möbel)|Investitionen</t>
  </si>
  <si>
    <t>Papiergewerbe|Investitionen</t>
  </si>
  <si>
    <t>Druckgewerbe|Investitionen</t>
  </si>
  <si>
    <t>Chemische Industrie|Investitionen</t>
  </si>
  <si>
    <t>Pharmazeutische Industrie|Investitionen</t>
  </si>
  <si>
    <t>Gummi- und Kunststoffindustrie|Investitionen</t>
  </si>
  <si>
    <t>Glas, Keramik, Steineverarbeitung|Investitionen</t>
  </si>
  <si>
    <t>Metallerzeugung und -bearbeitung|Investitionen</t>
  </si>
  <si>
    <t>Metallerzeugnisse|Investitionen</t>
  </si>
  <si>
    <t>Elektrotechnik|Investitionen</t>
  </si>
  <si>
    <t>Datenverarbeitungsgeräte, elektrische und optische Erzeugnisse|Investitionen</t>
  </si>
  <si>
    <t>Elektrische Ausrüstungen|Investitionen</t>
  </si>
  <si>
    <t>Maschinenbau|Investitionen</t>
  </si>
  <si>
    <t>Kraftfahrzeugbau|Investitionen</t>
  </si>
  <si>
    <t>Sonst. Fahrzeugbau|Investitionen</t>
  </si>
  <si>
    <t>Möbel|Investitionen</t>
  </si>
  <si>
    <t>Schmuck, Musikinstrumente, Sportgeräte, Spielwaren und sonstige Waren|Investitionen</t>
  </si>
  <si>
    <t>Reparatur und Installation von Maschinen und Ausrüstungen|Investitionen</t>
  </si>
  <si>
    <t>Energieversorgung|Investitionen</t>
  </si>
  <si>
    <t>Abwasser- und Abfallentsorgung, Beseitigung von Umweltverschmutzungen|Investitionen</t>
  </si>
  <si>
    <t>Baugewerbe|Investitionen</t>
  </si>
  <si>
    <t>Hochbau|Investitionen</t>
  </si>
  <si>
    <t>Tiefbau|Investitionen</t>
  </si>
  <si>
    <t>Ausbaugewerbe|Investitionen</t>
  </si>
  <si>
    <t>Handel|Investitionen</t>
  </si>
  <si>
    <t>Großhandel und Handelsvermittlung|Investitionen</t>
  </si>
  <si>
    <t>Einzelhandel|Investitionen</t>
  </si>
  <si>
    <t>Dienstleistungen (ohne Handel)|Investitionen</t>
  </si>
  <si>
    <t>Verkehr und Lagerei|Investitionen</t>
  </si>
  <si>
    <t>Landverkehr|Investitionen</t>
  </si>
  <si>
    <t>Lagerei und Verkehrsdienstleistungen|Investitionen</t>
  </si>
  <si>
    <t>Gastgewerbe|Investitionen</t>
  </si>
  <si>
    <t>Beherbergung|Investitionen</t>
  </si>
  <si>
    <t>Gastronomie|Investitionen</t>
  </si>
  <si>
    <t>Verlagswesen|Investitionen</t>
  </si>
  <si>
    <t>Medien- und Filmwirtschaft|Investitionen</t>
  </si>
  <si>
    <t>IT-Dienstleistungen|Investitionen</t>
  </si>
  <si>
    <t>Informationsdienstleistungen|Investitionen</t>
  </si>
  <si>
    <t>Finanz- und Versicherungsdienstleistungen|Investitionen</t>
  </si>
  <si>
    <t>Kreditgewerbe|Investitionen</t>
  </si>
  <si>
    <t>Versicherungswirtschaft|Investitionen</t>
  </si>
  <si>
    <t>Immobilienwirtschaft|Investitionen</t>
  </si>
  <si>
    <t>Forschung und Entwicklung|Investitionen</t>
  </si>
  <si>
    <t>Werbung und Marktforschung|Investitionen</t>
  </si>
  <si>
    <t>Leasing/Vermietungsleistungen|Investitionen</t>
  </si>
  <si>
    <t>Vermittlung und Überlassung von Arbeitskräften|Investitionen</t>
  </si>
  <si>
    <t>Reisevermittlung|Investitionen</t>
  </si>
  <si>
    <t>Rechts- und Steuerberatung, Wirtschaftsprüfung|Investitionen</t>
  </si>
  <si>
    <t>Unternehmensberatung|Investitionen</t>
  </si>
  <si>
    <t>Architektur- und Ingenieurbüros, naturwissenschaftliche Untersuchung|Investitionen</t>
  </si>
  <si>
    <t>Sonstige freiberufliche, wissenschaftliche und technische Tätigkeiten|Investitionen</t>
  </si>
  <si>
    <t>Sonstige wirtschaftliche Dienstleistungen für Unternehmen|Investitionen</t>
  </si>
  <si>
    <t>Sicherheitswirtschaft|Investitionen</t>
  </si>
  <si>
    <t>Gebäudebetreuung, Garten- und Landschaftsbau|Investitionen</t>
  </si>
  <si>
    <t>Bildungswirtschaft|Investitionen</t>
  </si>
  <si>
    <t>Gesundheits- und soziale Dienste|Investitionen</t>
  </si>
  <si>
    <t>Kunst, Unterhaltung, Erholung (alt: Freizeitwirtschaft)|Investitionen</t>
  </si>
  <si>
    <t>Sonstige personenbezogene Dienstleistungen|Investitionen</t>
  </si>
  <si>
    <t>Informationswirtschaft|Investitionen</t>
  </si>
  <si>
    <t>Alle Branchen|Beschäftigung</t>
  </si>
  <si>
    <t>Industrie (ohne Baugewerbe)|Beschäftigung</t>
  </si>
  <si>
    <t>Gewinnung von Steinen und Erden, Bergbau|Beschäftigung</t>
  </si>
  <si>
    <t>Nahrungs- und Futtermittelindustrie|Beschäftigung</t>
  </si>
  <si>
    <t>Getränkeindustrie|Beschäftigung</t>
  </si>
  <si>
    <t>Textil-, Bekleidungs- und Ledergewerbe|Beschäftigung</t>
  </si>
  <si>
    <t>Textilgewerbe|Beschäftigung</t>
  </si>
  <si>
    <t>Holzgewerbe (ohne Möbel)|Beschäftigung</t>
  </si>
  <si>
    <t>Papiergewerbe|Beschäftigung</t>
  </si>
  <si>
    <t>Druckgewerbe|Beschäftigung</t>
  </si>
  <si>
    <t>Chemische Industrie|Beschäftigung</t>
  </si>
  <si>
    <t>Pharmazeutische Industrie|Beschäftigung</t>
  </si>
  <si>
    <t>Gummi- und Kunststoffindustrie|Beschäftigung</t>
  </si>
  <si>
    <t>Glas, Keramik, Steineverarbeitung|Beschäftigung</t>
  </si>
  <si>
    <t>Metallerzeugung und -bearbeitung|Beschäftigung</t>
  </si>
  <si>
    <t>Metallerzeugnisse|Beschäftigung</t>
  </si>
  <si>
    <t>Elektrotechnik|Beschäftigung</t>
  </si>
  <si>
    <t>Datenverarbeitungsgeräte, elektrische und optische Erzeugnisse|Beschäftigung</t>
  </si>
  <si>
    <t>Elektrische Ausrüstungen|Beschäftigung</t>
  </si>
  <si>
    <t>Maschinenbau|Beschäftigung</t>
  </si>
  <si>
    <t>Kraftfahrzeugbau|Beschäftigung</t>
  </si>
  <si>
    <t>Sonst. Fahrzeugbau|Beschäftigung</t>
  </si>
  <si>
    <t>Möbel|Beschäftigung</t>
  </si>
  <si>
    <t>Schmuck, Musikinstrumente, Sportgeräte, Spielwaren und sonstige Waren|Beschäftigung</t>
  </si>
  <si>
    <t>Reparatur und Installation von Maschinen und Ausrüstungen|Beschäftigung</t>
  </si>
  <si>
    <t>Energieversorgung|Beschäftigung</t>
  </si>
  <si>
    <t>Abwasser- und Abfallentsorgung, Beseitigung von Umweltverschmutzungen|Beschäftigung</t>
  </si>
  <si>
    <t>Baugewerbe|Beschäftigung</t>
  </si>
  <si>
    <t>Hochbau|Beschäftigung</t>
  </si>
  <si>
    <t>Tiefbau|Beschäftigung</t>
  </si>
  <si>
    <t>Ausbaugewerbe|Beschäftigung</t>
  </si>
  <si>
    <t>Handel|Beschäftigung</t>
  </si>
  <si>
    <t>Großhandel und Handelsvermittlung|Beschäftigung</t>
  </si>
  <si>
    <t>Einzelhandel|Beschäftigung</t>
  </si>
  <si>
    <t>Dienstleistungen (ohne Handel)|Beschäftigung</t>
  </si>
  <si>
    <t>Verkehr und Lagerei|Beschäftigung</t>
  </si>
  <si>
    <t>Landverkehr|Beschäftigung</t>
  </si>
  <si>
    <t>Lagerei und Verkehrsdienstleistungen|Beschäftigung</t>
  </si>
  <si>
    <t>Gastgewerbe|Beschäftigung</t>
  </si>
  <si>
    <t>Beherbergung|Beschäftigung</t>
  </si>
  <si>
    <t>Gastronomie|Beschäftigung</t>
  </si>
  <si>
    <t>Verlagswesen|Beschäftigung</t>
  </si>
  <si>
    <t>Medien- und Filmwirtschaft|Beschäftigung</t>
  </si>
  <si>
    <t>IT-Dienstleistungen|Beschäftigung</t>
  </si>
  <si>
    <t>Informationsdienstleistungen|Beschäftigung</t>
  </si>
  <si>
    <t>Finanz- und Versicherungsdienstleistungen|Beschäftigung</t>
  </si>
  <si>
    <t>Kreditgewerbe|Beschäftigung</t>
  </si>
  <si>
    <t>Versicherungswirtschaft|Beschäftigung</t>
  </si>
  <si>
    <t>Immobilienwirtschaft|Beschäftigung</t>
  </si>
  <si>
    <t>Forschung und Entwicklung|Beschäftigung</t>
  </si>
  <si>
    <t>Werbung und Marktforschung|Beschäftigung</t>
  </si>
  <si>
    <t>Leasing/Vermietungsleistungen|Beschäftigung</t>
  </si>
  <si>
    <t>Vermittlung und Überlassung von Arbeitskräften|Beschäftigung</t>
  </si>
  <si>
    <t>Reisevermittlung|Beschäftigung</t>
  </si>
  <si>
    <t>Rechts- und Steuerberatung, Wirtschaftsprüfung|Beschäftigung</t>
  </si>
  <si>
    <t>Unternehmensberatung|Beschäftigung</t>
  </si>
  <si>
    <t>Architektur- und Ingenieurbüros, naturwissenschaftliche Untersuchung|Beschäftigung</t>
  </si>
  <si>
    <t>Sonstige freiberufliche, wissenschaftliche und technische Tätigkeiten|Beschäftigung</t>
  </si>
  <si>
    <t>Sonstige wirtschaftliche Dienstleistungen für Unternehmen|Beschäftigung</t>
  </si>
  <si>
    <t>Sicherheitswirtschaft|Beschäftigung</t>
  </si>
  <si>
    <t>Gebäudebetreuung, Garten- und Landschaftsbau|Beschäftigung</t>
  </si>
  <si>
    <t>Bildungswirtschaft|Beschäftigung</t>
  </si>
  <si>
    <t>Gesundheits- und soziale Dienste|Beschäftigung</t>
  </si>
  <si>
    <t>Kunst, Unterhaltung, Erholung (alt: Freizeitwirtschaft)|Beschäftigung</t>
  </si>
  <si>
    <t>Sonstige personenbezogene Dienstleistungen|Beschäftigung</t>
  </si>
  <si>
    <t>Informationswirtschaft|Beschäftigung</t>
  </si>
  <si>
    <t>Abwasser- und Abfallentsorgung, Beseitigung von Umweltverschmutzungen|Beschäftigung|Jahresbeginn 2024</t>
  </si>
  <si>
    <t>Abwasser- und Abfallentsorgung, Beseitigung von Umweltverschmutzungen|Beschäftigung|Frühsommer 2024</t>
  </si>
  <si>
    <t>Abwasser- und Abfallentsorgung, Beseitigung von Umweltverschmutzungen|Beschäftigung|Herbst 2024</t>
  </si>
  <si>
    <t>Abwasser- und Abfallentsorgung, Beseitigung von Umweltverschmutzungen|Beschäftigung|Jahresbeginn 2025</t>
  </si>
  <si>
    <t>Abwasser- und Abfallentsorgung, Beseitigung von Umweltverschmutzungen|Beschäftigung|Frühsommer 2025</t>
  </si>
  <si>
    <t>Abwasser- und Abfallentsorgung, Beseitigung von Umweltverschmutzungen|Beschäftigung|Herbst 2025</t>
  </si>
  <si>
    <t>Abwasser- und Abfallentsorgung, Beseitigung von Umweltverschmutzungen|Beschäftigung|Jahresbeginn 2026</t>
  </si>
  <si>
    <t>Abwasser- und Abfallentsorgung, Beseitigung von Umweltverschmutzungen|Beschäftigung|Frühsommer 2026</t>
  </si>
  <si>
    <t>Abwasser- und Abfallentsorgung, Beseitigung von Umweltverschmutzungen|Beschäftigung|Herbst 2026</t>
  </si>
  <si>
    <t>Abwasser- und Abfallentsorgung, Beseitigung von Umweltverschmutzungen|Erwartungen|Jahresbeginn 2024</t>
  </si>
  <si>
    <t>Abwasser- und Abfallentsorgung, Beseitigung von Umweltverschmutzungen|Erwartungen|Frühsommer 2024</t>
  </si>
  <si>
    <t>Abwasser- und Abfallentsorgung, Beseitigung von Umweltverschmutzungen|Erwartungen|Herbst 2024</t>
  </si>
  <si>
    <t>Abwasser- und Abfallentsorgung, Beseitigung von Umweltverschmutzungen|Erwartungen|Jahresbeginn 2025</t>
  </si>
  <si>
    <t>Abwasser- und Abfallentsorgung, Beseitigung von Umweltverschmutzungen|Erwartungen|Frühsommer 2025</t>
  </si>
  <si>
    <t>Abwasser- und Abfallentsorgung, Beseitigung von Umweltverschmutzungen|Erwartungen|Herbst 2025</t>
  </si>
  <si>
    <t>Abwasser- und Abfallentsorgung, Beseitigung von Umweltverschmutzungen|Erwartungen|Jahresbeginn 2026</t>
  </si>
  <si>
    <t>Abwasser- und Abfallentsorgung, Beseitigung von Umweltverschmutzungen|Erwartungen|Frühsommer 2026</t>
  </si>
  <si>
    <t>Abwasser- und Abfallentsorgung, Beseitigung von Umweltverschmutzungen|Erwartungen|Herbst 2026</t>
  </si>
  <si>
    <t>Abwasser- und Abfallentsorgung, Beseitigung von Umweltverschmutzungen|Export|Jahresbeginn 2024</t>
  </si>
  <si>
    <t>Abwasser- und Abfallentsorgung, Beseitigung von Umweltverschmutzungen|Export|Frühsommer 2024</t>
  </si>
  <si>
    <t>Abwasser- und Abfallentsorgung, Beseitigung von Umweltverschmutzungen|Export|Herbst 2024</t>
  </si>
  <si>
    <t>Abwasser- und Abfallentsorgung, Beseitigung von Umweltverschmutzungen|Export|Jahresbeginn 2025</t>
  </si>
  <si>
    <t>Abwasser- und Abfallentsorgung, Beseitigung von Umweltverschmutzungen|Export|Frühsommer 2025</t>
  </si>
  <si>
    <t>Abwasser- und Abfallentsorgung, Beseitigung von Umweltverschmutzungen|Export|Herbst 2025</t>
  </si>
  <si>
    <t>Abwasser- und Abfallentsorgung, Beseitigung von Umweltverschmutzungen|Export|Jahresbeginn 2026</t>
  </si>
  <si>
    <t>Abwasser- und Abfallentsorgung, Beseitigung von Umweltverschmutzungen|Export|Frühsommer 2026</t>
  </si>
  <si>
    <t>Abwasser- und Abfallentsorgung, Beseitigung von Umweltverschmutzungen|Export|Herbst 2026</t>
  </si>
  <si>
    <t>Abwasser- und Abfallentsorgung, Beseitigung von Umweltverschmutzungen|Investitionen|Jahresbeginn 2024</t>
  </si>
  <si>
    <t>Abwasser- und Abfallentsorgung, Beseitigung von Umweltverschmutzungen|Investitionen|Frühsommer 2024</t>
  </si>
  <si>
    <t>Abwasser- und Abfallentsorgung, Beseitigung von Umweltverschmutzungen|Investitionen|Herbst 2024</t>
  </si>
  <si>
    <t>Abwasser- und Abfallentsorgung, Beseitigung von Umweltverschmutzungen|Investitionen|Jahresbeginn 2025</t>
  </si>
  <si>
    <t>Abwasser- und Abfallentsorgung, Beseitigung von Umweltverschmutzungen|Investitionen|Frühsommer 2025</t>
  </si>
  <si>
    <t>Abwasser- und Abfallentsorgung, Beseitigung von Umweltverschmutzungen|Investitionen|Herbst 2025</t>
  </si>
  <si>
    <t>Abwasser- und Abfallentsorgung, Beseitigung von Umweltverschmutzungen|Investitionen|Jahresbeginn 2026</t>
  </si>
  <si>
    <t>Abwasser- und Abfallentsorgung, Beseitigung von Umweltverschmutzungen|Investitionen|Frühsommer 2026</t>
  </si>
  <si>
    <t>Abwasser- und Abfallentsorgung, Beseitigung von Umweltverschmutzungen|Investitionen|Herbst 2026</t>
  </si>
  <si>
    <t>Abwasser- und Abfallentsorgung, Beseitigung von Umweltverschmutzungen|Lage|Jahresbeginn 2024</t>
  </si>
  <si>
    <t>Abwasser- und Abfallentsorgung, Beseitigung von Umweltverschmutzungen|Lage|Frühsommer 2024</t>
  </si>
  <si>
    <t>Abwasser- und Abfallentsorgung, Beseitigung von Umweltverschmutzungen|Lage|Herbst 2024</t>
  </si>
  <si>
    <t>Abwasser- und Abfallentsorgung, Beseitigung von Umweltverschmutzungen|Lage|Jahresbeginn 2025</t>
  </si>
  <si>
    <t>Abwasser- und Abfallentsorgung, Beseitigung von Umweltverschmutzungen|Lage|Frühsommer 2025</t>
  </si>
  <si>
    <t>Abwasser- und Abfallentsorgung, Beseitigung von Umweltverschmutzungen|Lage|Herbst 2025</t>
  </si>
  <si>
    <t>Abwasser- und Abfallentsorgung, Beseitigung von Umweltverschmutzungen|Lage|Jahresbeginn 2026</t>
  </si>
  <si>
    <t>Abwasser- und Abfallentsorgung, Beseitigung von Umweltverschmutzungen|Lage|Frühsommer 2026</t>
  </si>
  <si>
    <t>Abwasser- und Abfallentsorgung, Beseitigung von Umweltverschmutzungen|Lage|Herbst 2026</t>
  </si>
  <si>
    <t>Alle Branchen|Beschäftigung|Jahresbeginn 2024</t>
  </si>
  <si>
    <t>Alle Branchen|Beschäftigung|Frühsommer 2024</t>
  </si>
  <si>
    <t>Alle Branchen|Beschäftigung|Herbst 2024</t>
  </si>
  <si>
    <t>Alle Branchen|Beschäftigung|Jahresbeginn 2025</t>
  </si>
  <si>
    <t>Alle Branchen|Beschäftigung|Frühsommer 2025</t>
  </si>
  <si>
    <t>Alle Branchen|Beschäftigung|Herbst 2025</t>
  </si>
  <si>
    <t>Alle Branchen|Beschäftigung|Jahresbeginn 2026</t>
  </si>
  <si>
    <t>Alle Branchen|Beschäftigung|Frühsommer 2026</t>
  </si>
  <si>
    <t>Alle Branchen|Beschäftigung|Herbst 2026</t>
  </si>
  <si>
    <t>Alle Branchen|Erwartungen|Jahresbeginn 2024</t>
  </si>
  <si>
    <t>Alle Branchen|Erwartungen|Frühsommer 2024</t>
  </si>
  <si>
    <t>Alle Branchen|Erwartungen|Herbst 2024</t>
  </si>
  <si>
    <t>Alle Branchen|Erwartungen|Jahresbeginn 2025</t>
  </si>
  <si>
    <t>Alle Branchen|Erwartungen|Frühsommer 2025</t>
  </si>
  <si>
    <t>Alle Branchen|Erwartungen|Herbst 2025</t>
  </si>
  <si>
    <t>Alle Branchen|Erwartungen|Jahresbeginn 2026</t>
  </si>
  <si>
    <t>Alle Branchen|Erwartungen|Frühsommer 2026</t>
  </si>
  <si>
    <t>Alle Branchen|Erwartungen|Herbst 2026</t>
  </si>
  <si>
    <t>Alle Branchen|Export|Jahresbeginn 2024</t>
  </si>
  <si>
    <t>Alle Branchen|Export|Frühsommer 2024</t>
  </si>
  <si>
    <t>Alle Branchen|Export|Herbst 2024</t>
  </si>
  <si>
    <t>Alle Branchen|Export|Jahresbeginn 2025</t>
  </si>
  <si>
    <t>Alle Branchen|Export|Frühsommer 2025</t>
  </si>
  <si>
    <t>Alle Branchen|Export|Herbst 2025</t>
  </si>
  <si>
    <t>Alle Branchen|Export|Jahresbeginn 2026</t>
  </si>
  <si>
    <t>Alle Branchen|Export|Frühsommer 2026</t>
  </si>
  <si>
    <t>Alle Branchen|Export|Herbst 2026</t>
  </si>
  <si>
    <t>Alle Branchen|Investitionen|Jahresbeginn 2024</t>
  </si>
  <si>
    <t>Alle Branchen|Investitionen|Frühsommer 2024</t>
  </si>
  <si>
    <t>Alle Branchen|Investitionen|Herbst 2024</t>
  </si>
  <si>
    <t>Alle Branchen|Investitionen|Jahresbeginn 2025</t>
  </si>
  <si>
    <t>Alle Branchen|Investitionen|Frühsommer 2025</t>
  </si>
  <si>
    <t>Alle Branchen|Investitionen|Herbst 2025</t>
  </si>
  <si>
    <t>Alle Branchen|Investitionen|Jahresbeginn 2026</t>
  </si>
  <si>
    <t>Alle Branchen|Investitionen|Frühsommer 2026</t>
  </si>
  <si>
    <t>Alle Branchen|Investitionen|Herbst 2026</t>
  </si>
  <si>
    <t>Alle Branchen|Lage|Jahresbeginn 2024</t>
  </si>
  <si>
    <t>Alle Branchen|Lage|Frühsommer 2024</t>
  </si>
  <si>
    <t>Alle Branchen|Lage|Herbst 2024</t>
  </si>
  <si>
    <t>Alle Branchen|Lage|Jahresbeginn 2025</t>
  </si>
  <si>
    <t>Alle Branchen|Lage|Frühsommer 2025</t>
  </si>
  <si>
    <t>Alle Branchen|Lage|Herbst 2025</t>
  </si>
  <si>
    <t>Alle Branchen|Lage|Jahresbeginn 2026</t>
  </si>
  <si>
    <t>Alle Branchen|Lage|Frühsommer 2026</t>
  </si>
  <si>
    <t>Alle Branchen|Lage|Herbst 2026</t>
  </si>
  <si>
    <t>Architektur- und Ingenieurbüros, naturwissenschaftliche Untersuchung|Beschäftigung|Jahresbeginn 2024</t>
  </si>
  <si>
    <t>Architektur- und Ingenieurbüros, naturwissenschaftliche Untersuchung|Beschäftigung|Frühsommer 2024</t>
  </si>
  <si>
    <t>Architektur- und Ingenieurbüros, naturwissenschaftliche Untersuchung|Beschäftigung|Herbst 2024</t>
  </si>
  <si>
    <t>Architektur- und Ingenieurbüros, naturwissenschaftliche Untersuchung|Beschäftigung|Jahresbeginn 2025</t>
  </si>
  <si>
    <t>Architektur- und Ingenieurbüros, naturwissenschaftliche Untersuchung|Beschäftigung|Frühsommer 2025</t>
  </si>
  <si>
    <t>Architektur- und Ingenieurbüros, naturwissenschaftliche Untersuchung|Beschäftigung|Herbst 2025</t>
  </si>
  <si>
    <t>Architektur- und Ingenieurbüros, naturwissenschaftliche Untersuchung|Beschäftigung|Jahresbeginn 2026</t>
  </si>
  <si>
    <t>Architektur- und Ingenieurbüros, naturwissenschaftliche Untersuchung|Beschäftigung|Frühsommer 2026</t>
  </si>
  <si>
    <t>Architektur- und Ingenieurbüros, naturwissenschaftliche Untersuchung|Beschäftigung|Herbst 2026</t>
  </si>
  <si>
    <t>Architektur- und Ingenieurbüros, naturwissenschaftliche Untersuchung|Erwartungen|Jahresbeginn 2024</t>
  </si>
  <si>
    <t>Architektur- und Ingenieurbüros, naturwissenschaftliche Untersuchung|Erwartungen|Frühsommer 2024</t>
  </si>
  <si>
    <t>Architektur- und Ingenieurbüros, naturwissenschaftliche Untersuchung|Erwartungen|Herbst 2024</t>
  </si>
  <si>
    <t>Architektur- und Ingenieurbüros, naturwissenschaftliche Untersuchung|Erwartungen|Jahresbeginn 2025</t>
  </si>
  <si>
    <t>Architektur- und Ingenieurbüros, naturwissenschaftliche Untersuchung|Erwartungen|Frühsommer 2025</t>
  </si>
  <si>
    <t>Architektur- und Ingenieurbüros, naturwissenschaftliche Untersuchung|Erwartungen|Herbst 2025</t>
  </si>
  <si>
    <t>Architektur- und Ingenieurbüros, naturwissenschaftliche Untersuchung|Erwartungen|Jahresbeginn 2026</t>
  </si>
  <si>
    <t>Architektur- und Ingenieurbüros, naturwissenschaftliche Untersuchung|Erwartungen|Frühsommer 2026</t>
  </si>
  <si>
    <t>Architektur- und Ingenieurbüros, naturwissenschaftliche Untersuchung|Erwartungen|Herbst 2026</t>
  </si>
  <si>
    <t>Architektur- und Ingenieurbüros, naturwissenschaftliche Untersuchung|Export|Jahresbeginn 2024</t>
  </si>
  <si>
    <t>Architektur- und Ingenieurbüros, naturwissenschaftliche Untersuchung|Export|Frühsommer 2024</t>
  </si>
  <si>
    <t>Architektur- und Ingenieurbüros, naturwissenschaftliche Untersuchung|Export|Herbst 2024</t>
  </si>
  <si>
    <t>Architektur- und Ingenieurbüros, naturwissenschaftliche Untersuchung|Export|Jahresbeginn 2025</t>
  </si>
  <si>
    <t>Architektur- und Ingenieurbüros, naturwissenschaftliche Untersuchung|Export|Frühsommer 2025</t>
  </si>
  <si>
    <t>Architektur- und Ingenieurbüros, naturwissenschaftliche Untersuchung|Export|Herbst 2025</t>
  </si>
  <si>
    <t>Architektur- und Ingenieurbüros, naturwissenschaftliche Untersuchung|Export|Jahresbeginn 2026</t>
  </si>
  <si>
    <t>Architektur- und Ingenieurbüros, naturwissenschaftliche Untersuchung|Export|Frühsommer 2026</t>
  </si>
  <si>
    <t>Architektur- und Ingenieurbüros, naturwissenschaftliche Untersuchung|Export|Herbst 2026</t>
  </si>
  <si>
    <t>Architektur- und Ingenieurbüros, naturwissenschaftliche Untersuchung|Investitionen|Jahresbeginn 2024</t>
  </si>
  <si>
    <t>Architektur- und Ingenieurbüros, naturwissenschaftliche Untersuchung|Investitionen|Frühsommer 2024</t>
  </si>
  <si>
    <t>Architektur- und Ingenieurbüros, naturwissenschaftliche Untersuchung|Investitionen|Herbst 2024</t>
  </si>
  <si>
    <t>Architektur- und Ingenieurbüros, naturwissenschaftliche Untersuchung|Investitionen|Jahresbeginn 2025</t>
  </si>
  <si>
    <t>Architektur- und Ingenieurbüros, naturwissenschaftliche Untersuchung|Investitionen|Frühsommer 2025</t>
  </si>
  <si>
    <t>Architektur- und Ingenieurbüros, naturwissenschaftliche Untersuchung|Investitionen|Herbst 2025</t>
  </si>
  <si>
    <t>Architektur- und Ingenieurbüros, naturwissenschaftliche Untersuchung|Investitionen|Jahresbeginn 2026</t>
  </si>
  <si>
    <t>Architektur- und Ingenieurbüros, naturwissenschaftliche Untersuchung|Investitionen|Frühsommer 2026</t>
  </si>
  <si>
    <t>Architektur- und Ingenieurbüros, naturwissenschaftliche Untersuchung|Investitionen|Herbst 2026</t>
  </si>
  <si>
    <t>Architektur- und Ingenieurbüros, naturwissenschaftliche Untersuchung|Lage|Jahresbeginn 2024</t>
  </si>
  <si>
    <t>Architektur- und Ingenieurbüros, naturwissenschaftliche Untersuchung|Lage|Frühsommer 2024</t>
  </si>
  <si>
    <t>Architektur- und Ingenieurbüros, naturwissenschaftliche Untersuchung|Lage|Herbst 2024</t>
  </si>
  <si>
    <t>Architektur- und Ingenieurbüros, naturwissenschaftliche Untersuchung|Lage|Jahresbeginn 2025</t>
  </si>
  <si>
    <t>Architektur- und Ingenieurbüros, naturwissenschaftliche Untersuchung|Lage|Frühsommer 2025</t>
  </si>
  <si>
    <t>Architektur- und Ingenieurbüros, naturwissenschaftliche Untersuchung|Lage|Herbst 2025</t>
  </si>
  <si>
    <t>Architektur- und Ingenieurbüros, naturwissenschaftliche Untersuchung|Lage|Jahresbeginn 2026</t>
  </si>
  <si>
    <t>Architektur- und Ingenieurbüros, naturwissenschaftliche Untersuchung|Lage|Frühsommer 2026</t>
  </si>
  <si>
    <t>Architektur- und Ingenieurbüros, naturwissenschaftliche Untersuchung|Lage|Herbst 2026</t>
  </si>
  <si>
    <t>Ausbaugewerbe|Beschäftigung|Jahresbeginn 2024</t>
  </si>
  <si>
    <t>Ausbaugewerbe|Beschäftigung|Frühsommer 2024</t>
  </si>
  <si>
    <t>Ausbaugewerbe|Beschäftigung|Herbst 2024</t>
  </si>
  <si>
    <t>Ausbaugewerbe|Beschäftigung|Jahresbeginn 2025</t>
  </si>
  <si>
    <t>Ausbaugewerbe|Beschäftigung|Frühsommer 2025</t>
  </si>
  <si>
    <t>Ausbaugewerbe|Beschäftigung|Herbst 2025</t>
  </si>
  <si>
    <t>Ausbaugewerbe|Beschäftigung|Jahresbeginn 2026</t>
  </si>
  <si>
    <t>Ausbaugewerbe|Beschäftigung|Frühsommer 2026</t>
  </si>
  <si>
    <t>Ausbaugewerbe|Beschäftigung|Herbst 2026</t>
  </si>
  <si>
    <t>Ausbaugewerbe|Erwartungen|Jahresbeginn 2024</t>
  </si>
  <si>
    <t>Ausbaugewerbe|Erwartungen|Frühsommer 2024</t>
  </si>
  <si>
    <t>Ausbaugewerbe|Erwartungen|Herbst 2024</t>
  </si>
  <si>
    <t>Ausbaugewerbe|Erwartungen|Jahresbeginn 2025</t>
  </si>
  <si>
    <t>Ausbaugewerbe|Erwartungen|Frühsommer 2025</t>
  </si>
  <si>
    <t>Ausbaugewerbe|Erwartungen|Herbst 2025</t>
  </si>
  <si>
    <t>Ausbaugewerbe|Erwartungen|Jahresbeginn 2026</t>
  </si>
  <si>
    <t>Ausbaugewerbe|Erwartungen|Frühsommer 2026</t>
  </si>
  <si>
    <t>Ausbaugewerbe|Erwartungen|Herbst 2026</t>
  </si>
  <si>
    <t>Ausbaugewerbe|Export|Jahresbeginn 2024</t>
  </si>
  <si>
    <t>Ausbaugewerbe|Export|Frühsommer 2024</t>
  </si>
  <si>
    <t>Ausbaugewerbe|Export|Herbst 2024</t>
  </si>
  <si>
    <t>Ausbaugewerbe|Export|Jahresbeginn 2025</t>
  </si>
  <si>
    <t>Ausbaugewerbe|Export|Frühsommer 2025</t>
  </si>
  <si>
    <t>Ausbaugewerbe|Export|Herbst 2025</t>
  </si>
  <si>
    <t>Ausbaugewerbe|Export|Jahresbeginn 2026</t>
  </si>
  <si>
    <t>Ausbaugewerbe|Export|Frühsommer 2026</t>
  </si>
  <si>
    <t>Ausbaugewerbe|Export|Herbst 2026</t>
  </si>
  <si>
    <t>Ausbaugewerbe|Investitionen|Jahresbeginn 2024</t>
  </si>
  <si>
    <t>Ausbaugewerbe|Investitionen|Frühsommer 2024</t>
  </si>
  <si>
    <t>Ausbaugewerbe|Investitionen|Herbst 2024</t>
  </si>
  <si>
    <t>Ausbaugewerbe|Investitionen|Jahresbeginn 2025</t>
  </si>
  <si>
    <t>Ausbaugewerbe|Investitionen|Frühsommer 2025</t>
  </si>
  <si>
    <t>Ausbaugewerbe|Investitionen|Herbst 2025</t>
  </si>
  <si>
    <t>Ausbaugewerbe|Investitionen|Jahresbeginn 2026</t>
  </si>
  <si>
    <t>Ausbaugewerbe|Investitionen|Frühsommer 2026</t>
  </si>
  <si>
    <t>Ausbaugewerbe|Investitionen|Herbst 2026</t>
  </si>
  <si>
    <t>Ausbaugewerbe|Lage|Jahresbeginn 2024</t>
  </si>
  <si>
    <t>Ausbaugewerbe|Lage|Frühsommer 2024</t>
  </si>
  <si>
    <t>Ausbaugewerbe|Lage|Herbst 2024</t>
  </si>
  <si>
    <t>Ausbaugewerbe|Lage|Jahresbeginn 2025</t>
  </si>
  <si>
    <t>Ausbaugewerbe|Lage|Frühsommer 2025</t>
  </si>
  <si>
    <t>Ausbaugewerbe|Lage|Herbst 2025</t>
  </si>
  <si>
    <t>Ausbaugewerbe|Lage|Jahresbeginn 2026</t>
  </si>
  <si>
    <t>Ausbaugewerbe|Lage|Frühsommer 2026</t>
  </si>
  <si>
    <t>Ausbaugewerbe|Lage|Herbst 2026</t>
  </si>
  <si>
    <t>Baugewerbe|Beschäftigung|Jahresbeginn 2024</t>
  </si>
  <si>
    <t>Baugewerbe|Beschäftigung|Frühsommer 2024</t>
  </si>
  <si>
    <t>Baugewerbe|Beschäftigung|Herbst 2024</t>
  </si>
  <si>
    <t>Baugewerbe|Beschäftigung|Jahresbeginn 2025</t>
  </si>
  <si>
    <t>Baugewerbe|Beschäftigung|Frühsommer 2025</t>
  </si>
  <si>
    <t>Baugewerbe|Beschäftigung|Herbst 2025</t>
  </si>
  <si>
    <t>Baugewerbe|Beschäftigung|Jahresbeginn 2026</t>
  </si>
  <si>
    <t>Baugewerbe|Beschäftigung|Frühsommer 2026</t>
  </si>
  <si>
    <t>Baugewerbe|Beschäftigung|Herbst 2026</t>
  </si>
  <si>
    <t>Baugewerbe|Erwartungen|Jahresbeginn 2024</t>
  </si>
  <si>
    <t>Baugewerbe|Erwartungen|Frühsommer 2024</t>
  </si>
  <si>
    <t>Baugewerbe|Erwartungen|Herbst 2024</t>
  </si>
  <si>
    <t>Baugewerbe|Erwartungen|Jahresbeginn 2025</t>
  </si>
  <si>
    <t>Baugewerbe|Erwartungen|Frühsommer 2025</t>
  </si>
  <si>
    <t>Baugewerbe|Erwartungen|Herbst 2025</t>
  </si>
  <si>
    <t>Baugewerbe|Erwartungen|Jahresbeginn 2026</t>
  </si>
  <si>
    <t>Baugewerbe|Erwartungen|Frühsommer 2026</t>
  </si>
  <si>
    <t>Baugewerbe|Erwartungen|Herbst 2026</t>
  </si>
  <si>
    <t>Baugewerbe|Export|Jahresbeginn 2024</t>
  </si>
  <si>
    <t>Baugewerbe|Export|Frühsommer 2024</t>
  </si>
  <si>
    <t>Baugewerbe|Export|Herbst 2024</t>
  </si>
  <si>
    <t>Baugewerbe|Export|Jahresbeginn 2025</t>
  </si>
  <si>
    <t>Baugewerbe|Export|Frühsommer 2025</t>
  </si>
  <si>
    <t>Baugewerbe|Export|Herbst 2025</t>
  </si>
  <si>
    <t>Baugewerbe|Export|Jahresbeginn 2026</t>
  </si>
  <si>
    <t>Baugewerbe|Export|Frühsommer 2026</t>
  </si>
  <si>
    <t>Baugewerbe|Export|Herbst 2026</t>
  </si>
  <si>
    <t>Baugewerbe|Investitionen|Jahresbeginn 2024</t>
  </si>
  <si>
    <t>Baugewerbe|Investitionen|Frühsommer 2024</t>
  </si>
  <si>
    <t>Baugewerbe|Investitionen|Herbst 2024</t>
  </si>
  <si>
    <t>Baugewerbe|Investitionen|Jahresbeginn 2025</t>
  </si>
  <si>
    <t>Baugewerbe|Investitionen|Frühsommer 2025</t>
  </si>
  <si>
    <t>Baugewerbe|Investitionen|Herbst 2025</t>
  </si>
  <si>
    <t>Baugewerbe|Investitionen|Jahresbeginn 2026</t>
  </si>
  <si>
    <t>Baugewerbe|Investitionen|Frühsommer 2026</t>
  </si>
  <si>
    <t>Baugewerbe|Investitionen|Herbst 2026</t>
  </si>
  <si>
    <t>Baugewerbe|Lage|Jahresbeginn 2024</t>
  </si>
  <si>
    <t>Baugewerbe|Lage|Frühsommer 2024</t>
  </si>
  <si>
    <t>Baugewerbe|Lage|Herbst 2024</t>
  </si>
  <si>
    <t>Baugewerbe|Lage|Jahresbeginn 2025</t>
  </si>
  <si>
    <t>Baugewerbe|Lage|Frühsommer 2025</t>
  </si>
  <si>
    <t>Baugewerbe|Lage|Herbst 2025</t>
  </si>
  <si>
    <t>Baugewerbe|Lage|Jahresbeginn 2026</t>
  </si>
  <si>
    <t>Baugewerbe|Lage|Frühsommer 2026</t>
  </si>
  <si>
    <t>Baugewerbe|Lage|Herbst 2026</t>
  </si>
  <si>
    <t>Beherbergung|Beschäftigung|Jahresbeginn 2024</t>
  </si>
  <si>
    <t>Beherbergung|Beschäftigung|Frühsommer 2024</t>
  </si>
  <si>
    <t>Beherbergung|Beschäftigung|Herbst 2024</t>
  </si>
  <si>
    <t>Beherbergung|Beschäftigung|Jahresbeginn 2025</t>
  </si>
  <si>
    <t>Beherbergung|Beschäftigung|Frühsommer 2025</t>
  </si>
  <si>
    <t>Beherbergung|Beschäftigung|Herbst 2025</t>
  </si>
  <si>
    <t>Beherbergung|Beschäftigung|Jahresbeginn 2026</t>
  </si>
  <si>
    <t>Beherbergung|Beschäftigung|Frühsommer 2026</t>
  </si>
  <si>
    <t>Beherbergung|Beschäftigung|Herbst 2026</t>
  </si>
  <si>
    <t>Beherbergung|Erwartungen|Jahresbeginn 2024</t>
  </si>
  <si>
    <t>Beherbergung|Erwartungen|Frühsommer 2024</t>
  </si>
  <si>
    <t>Beherbergung|Erwartungen|Herbst 2024</t>
  </si>
  <si>
    <t>Beherbergung|Erwartungen|Jahresbeginn 2025</t>
  </si>
  <si>
    <t>Beherbergung|Erwartungen|Frühsommer 2025</t>
  </si>
  <si>
    <t>Beherbergung|Erwartungen|Herbst 2025</t>
  </si>
  <si>
    <t>Beherbergung|Erwartungen|Jahresbeginn 2026</t>
  </si>
  <si>
    <t>Beherbergung|Erwartungen|Frühsommer 2026</t>
  </si>
  <si>
    <t>Beherbergung|Erwartungen|Herbst 2026</t>
  </si>
  <si>
    <t>Beherbergung|Export|Jahresbeginn 2024</t>
  </si>
  <si>
    <t>Beherbergung|Export|Frühsommer 2024</t>
  </si>
  <si>
    <t>Beherbergung|Export|Herbst 2024</t>
  </si>
  <si>
    <t>Beherbergung|Export|Jahresbeginn 2025</t>
  </si>
  <si>
    <t>Beherbergung|Export|Frühsommer 2025</t>
  </si>
  <si>
    <t>Beherbergung|Export|Herbst 2025</t>
  </si>
  <si>
    <t>Beherbergung|Export|Jahresbeginn 2026</t>
  </si>
  <si>
    <t>Beherbergung|Export|Frühsommer 2026</t>
  </si>
  <si>
    <t>Beherbergung|Export|Herbst 2026</t>
  </si>
  <si>
    <t>Beherbergung|Investitionen|Jahresbeginn 2024</t>
  </si>
  <si>
    <t>Beherbergung|Investitionen|Frühsommer 2024</t>
  </si>
  <si>
    <t>Beherbergung|Investitionen|Herbst 2024</t>
  </si>
  <si>
    <t>Beherbergung|Investitionen|Jahresbeginn 2025</t>
  </si>
  <si>
    <t>Beherbergung|Investitionen|Frühsommer 2025</t>
  </si>
  <si>
    <t>Beherbergung|Investitionen|Herbst 2025</t>
  </si>
  <si>
    <t>Beherbergung|Investitionen|Jahresbeginn 2026</t>
  </si>
  <si>
    <t>Beherbergung|Investitionen|Frühsommer 2026</t>
  </si>
  <si>
    <t>Beherbergung|Investitionen|Herbst 2026</t>
  </si>
  <si>
    <t>Beherbergung|Lage|Jahresbeginn 2024</t>
  </si>
  <si>
    <t>Beherbergung|Lage|Frühsommer 2024</t>
  </si>
  <si>
    <t>Beherbergung|Lage|Herbst 2024</t>
  </si>
  <si>
    <t>Beherbergung|Lage|Jahresbeginn 2025</t>
  </si>
  <si>
    <t>Beherbergung|Lage|Frühsommer 2025</t>
  </si>
  <si>
    <t>Beherbergung|Lage|Herbst 2025</t>
  </si>
  <si>
    <t>Beherbergung|Lage|Jahresbeginn 2026</t>
  </si>
  <si>
    <t>Beherbergung|Lage|Frühsommer 2026</t>
  </si>
  <si>
    <t>Beherbergung|Lage|Herbst 2026</t>
  </si>
  <si>
    <t>Bildungswirtschaft|Beschäftigung|Jahresbeginn 2024</t>
  </si>
  <si>
    <t>Bildungswirtschaft|Beschäftigung|Frühsommer 2024</t>
  </si>
  <si>
    <t>Bildungswirtschaft|Beschäftigung|Herbst 2024</t>
  </si>
  <si>
    <t>Bildungswirtschaft|Beschäftigung|Jahresbeginn 2025</t>
  </si>
  <si>
    <t>Bildungswirtschaft|Beschäftigung|Frühsommer 2025</t>
  </si>
  <si>
    <t>Bildungswirtschaft|Beschäftigung|Herbst 2025</t>
  </si>
  <si>
    <t>Bildungswirtschaft|Beschäftigung|Jahresbeginn 2026</t>
  </si>
  <si>
    <t>Bildungswirtschaft|Beschäftigung|Frühsommer 2026</t>
  </si>
  <si>
    <t>Bildungswirtschaft|Beschäftigung|Herbst 2026</t>
  </si>
  <si>
    <t>Bildungswirtschaft|Erwartungen|Jahresbeginn 2024</t>
  </si>
  <si>
    <t>Bildungswirtschaft|Erwartungen|Frühsommer 2024</t>
  </si>
  <si>
    <t>Bildungswirtschaft|Erwartungen|Herbst 2024</t>
  </si>
  <si>
    <t>Bildungswirtschaft|Erwartungen|Jahresbeginn 2025</t>
  </si>
  <si>
    <t>Bildungswirtschaft|Erwartungen|Frühsommer 2025</t>
  </si>
  <si>
    <t>Bildungswirtschaft|Erwartungen|Herbst 2025</t>
  </si>
  <si>
    <t>Bildungswirtschaft|Erwartungen|Jahresbeginn 2026</t>
  </si>
  <si>
    <t>Bildungswirtschaft|Erwartungen|Frühsommer 2026</t>
  </si>
  <si>
    <t>Bildungswirtschaft|Erwartungen|Herbst 2026</t>
  </si>
  <si>
    <t>Bildungswirtschaft|Export|Jahresbeginn 2024</t>
  </si>
  <si>
    <t>Bildungswirtschaft|Export|Frühsommer 2024</t>
  </si>
  <si>
    <t>Bildungswirtschaft|Export|Herbst 2024</t>
  </si>
  <si>
    <t>Bildungswirtschaft|Export|Jahresbeginn 2025</t>
  </si>
  <si>
    <t>Bildungswirtschaft|Export|Frühsommer 2025</t>
  </si>
  <si>
    <t>Bildungswirtschaft|Export|Herbst 2025</t>
  </si>
  <si>
    <t>Bildungswirtschaft|Export|Jahresbeginn 2026</t>
  </si>
  <si>
    <t>Bildungswirtschaft|Export|Frühsommer 2026</t>
  </si>
  <si>
    <t>Bildungswirtschaft|Export|Herbst 2026</t>
  </si>
  <si>
    <t>Bildungswirtschaft|Investitionen|Jahresbeginn 2024</t>
  </si>
  <si>
    <t>Bildungswirtschaft|Investitionen|Frühsommer 2024</t>
  </si>
  <si>
    <t>Bildungswirtschaft|Investitionen|Herbst 2024</t>
  </si>
  <si>
    <t>Bildungswirtschaft|Investitionen|Jahresbeginn 2025</t>
  </si>
  <si>
    <t>Bildungswirtschaft|Investitionen|Frühsommer 2025</t>
  </si>
  <si>
    <t>Bildungswirtschaft|Investitionen|Herbst 2025</t>
  </si>
  <si>
    <t>Bildungswirtschaft|Investitionen|Jahresbeginn 2026</t>
  </si>
  <si>
    <t>Bildungswirtschaft|Investitionen|Frühsommer 2026</t>
  </si>
  <si>
    <t>Bildungswirtschaft|Investitionen|Herbst 2026</t>
  </si>
  <si>
    <t>Bildungswirtschaft|Lage|Jahresbeginn 2024</t>
  </si>
  <si>
    <t>Bildungswirtschaft|Lage|Frühsommer 2024</t>
  </si>
  <si>
    <t>Bildungswirtschaft|Lage|Herbst 2024</t>
  </si>
  <si>
    <t>Bildungswirtschaft|Lage|Jahresbeginn 2025</t>
  </si>
  <si>
    <t>Bildungswirtschaft|Lage|Frühsommer 2025</t>
  </si>
  <si>
    <t>Bildungswirtschaft|Lage|Herbst 2025</t>
  </si>
  <si>
    <t>Bildungswirtschaft|Lage|Jahresbeginn 2026</t>
  </si>
  <si>
    <t>Bildungswirtschaft|Lage|Frühsommer 2026</t>
  </si>
  <si>
    <t>Bildungswirtschaft|Lage|Herbst 2026</t>
  </si>
  <si>
    <t>Chemische Industrie|Beschäftigung|Jahresbeginn 2024</t>
  </si>
  <si>
    <t>Chemische Industrie|Beschäftigung|Frühsommer 2024</t>
  </si>
  <si>
    <t>Chemische Industrie|Beschäftigung|Herbst 2024</t>
  </si>
  <si>
    <t>Chemische Industrie|Beschäftigung|Jahresbeginn 2025</t>
  </si>
  <si>
    <t>Chemische Industrie|Beschäftigung|Frühsommer 2025</t>
  </si>
  <si>
    <t>Chemische Industrie|Beschäftigung|Herbst 2025</t>
  </si>
  <si>
    <t>Chemische Industrie|Beschäftigung|Jahresbeginn 2026</t>
  </si>
  <si>
    <t>Chemische Industrie|Beschäftigung|Frühsommer 2026</t>
  </si>
  <si>
    <t>Chemische Industrie|Beschäftigung|Herbst 2026</t>
  </si>
  <si>
    <t>Chemische Industrie|Erwartungen|Jahresbeginn 2024</t>
  </si>
  <si>
    <t>Chemische Industrie|Erwartungen|Frühsommer 2024</t>
  </si>
  <si>
    <t>Chemische Industrie|Erwartungen|Herbst 2024</t>
  </si>
  <si>
    <t>Chemische Industrie|Erwartungen|Jahresbeginn 2025</t>
  </si>
  <si>
    <t>Chemische Industrie|Erwartungen|Frühsommer 2025</t>
  </si>
  <si>
    <t>Chemische Industrie|Erwartungen|Herbst 2025</t>
  </si>
  <si>
    <t>Chemische Industrie|Erwartungen|Jahresbeginn 2026</t>
  </si>
  <si>
    <t>Chemische Industrie|Erwartungen|Frühsommer 2026</t>
  </si>
  <si>
    <t>Chemische Industrie|Erwartungen|Herbst 2026</t>
  </si>
  <si>
    <t>Chemische Industrie|Export|Jahresbeginn 2024</t>
  </si>
  <si>
    <t>Chemische Industrie|Export|Frühsommer 2024</t>
  </si>
  <si>
    <t>Chemische Industrie|Export|Herbst 2024</t>
  </si>
  <si>
    <t>Chemische Industrie|Export|Jahresbeginn 2025</t>
  </si>
  <si>
    <t>Chemische Industrie|Export|Frühsommer 2025</t>
  </si>
  <si>
    <t>Chemische Industrie|Export|Herbst 2025</t>
  </si>
  <si>
    <t>Chemische Industrie|Export|Jahresbeginn 2026</t>
  </si>
  <si>
    <t>Chemische Industrie|Export|Frühsommer 2026</t>
  </si>
  <si>
    <t>Chemische Industrie|Export|Herbst 2026</t>
  </si>
  <si>
    <t>Chemische Industrie|Investitionen|Jahresbeginn 2024</t>
  </si>
  <si>
    <t>Chemische Industrie|Investitionen|Frühsommer 2024</t>
  </si>
  <si>
    <t>Chemische Industrie|Investitionen|Herbst 2024</t>
  </si>
  <si>
    <t>Chemische Industrie|Investitionen|Jahresbeginn 2025</t>
  </si>
  <si>
    <t>Chemische Industrie|Investitionen|Frühsommer 2025</t>
  </si>
  <si>
    <t>Chemische Industrie|Investitionen|Herbst 2025</t>
  </si>
  <si>
    <t>Chemische Industrie|Investitionen|Jahresbeginn 2026</t>
  </si>
  <si>
    <t>Chemische Industrie|Investitionen|Frühsommer 2026</t>
  </si>
  <si>
    <t>Chemische Industrie|Investitionen|Herbst 2026</t>
  </si>
  <si>
    <t>Chemische Industrie|Lage|Jahresbeginn 2024</t>
  </si>
  <si>
    <t>Chemische Industrie|Lage|Frühsommer 2024</t>
  </si>
  <si>
    <t>Chemische Industrie|Lage|Herbst 2024</t>
  </si>
  <si>
    <t>Chemische Industrie|Lage|Jahresbeginn 2025</t>
  </si>
  <si>
    <t>Chemische Industrie|Lage|Frühsommer 2025</t>
  </si>
  <si>
    <t>Chemische Industrie|Lage|Herbst 2025</t>
  </si>
  <si>
    <t>Chemische Industrie|Lage|Jahresbeginn 2026</t>
  </si>
  <si>
    <t>Chemische Industrie|Lage|Frühsommer 2026</t>
  </si>
  <si>
    <t>Chemische Industrie|Lage|Herbst 2026</t>
  </si>
  <si>
    <t>Datenverarbeitungsgeräte, elektrische und optische Erzeugnisse|Beschäftigung|Jahresbeginn 2024</t>
  </si>
  <si>
    <t>Datenverarbeitungsgeräte, elektrische und optische Erzeugnisse|Beschäftigung|Frühsommer 2024</t>
  </si>
  <si>
    <t>Datenverarbeitungsgeräte, elektrische und optische Erzeugnisse|Beschäftigung|Herbst 2024</t>
  </si>
  <si>
    <t>Datenverarbeitungsgeräte, elektrische und optische Erzeugnisse|Beschäftigung|Jahresbeginn 2025</t>
  </si>
  <si>
    <t>Datenverarbeitungsgeräte, elektrische und optische Erzeugnisse|Beschäftigung|Frühsommer 2025</t>
  </si>
  <si>
    <t>Datenverarbeitungsgeräte, elektrische und optische Erzeugnisse|Beschäftigung|Herbst 2025</t>
  </si>
  <si>
    <t>Datenverarbeitungsgeräte, elektrische und optische Erzeugnisse|Beschäftigung|Jahresbeginn 2026</t>
  </si>
  <si>
    <t>Datenverarbeitungsgeräte, elektrische und optische Erzeugnisse|Beschäftigung|Frühsommer 2026</t>
  </si>
  <si>
    <t>Datenverarbeitungsgeräte, elektrische und optische Erzeugnisse|Beschäftigung|Herbst 2026</t>
  </si>
  <si>
    <t>Datenverarbeitungsgeräte, elektrische und optische Erzeugnisse|Erwartungen|Jahresbeginn 2024</t>
  </si>
  <si>
    <t>Datenverarbeitungsgeräte, elektrische und optische Erzeugnisse|Erwartungen|Frühsommer 2024</t>
  </si>
  <si>
    <t>Datenverarbeitungsgeräte, elektrische und optische Erzeugnisse|Erwartungen|Herbst 2024</t>
  </si>
  <si>
    <t>Datenverarbeitungsgeräte, elektrische und optische Erzeugnisse|Erwartungen|Jahresbeginn 2025</t>
  </si>
  <si>
    <t>Datenverarbeitungsgeräte, elektrische und optische Erzeugnisse|Erwartungen|Frühsommer 2025</t>
  </si>
  <si>
    <t>Datenverarbeitungsgeräte, elektrische und optische Erzeugnisse|Erwartungen|Herbst 2025</t>
  </si>
  <si>
    <t>Datenverarbeitungsgeräte, elektrische und optische Erzeugnisse|Erwartungen|Jahresbeginn 2026</t>
  </si>
  <si>
    <t>Datenverarbeitungsgeräte, elektrische und optische Erzeugnisse|Erwartungen|Frühsommer 2026</t>
  </si>
  <si>
    <t>Datenverarbeitungsgeräte, elektrische und optische Erzeugnisse|Erwartungen|Herbst 2026</t>
  </si>
  <si>
    <t>Datenverarbeitungsgeräte, elektrische und optische Erzeugnisse|Export|Jahresbeginn 2024</t>
  </si>
  <si>
    <t>Datenverarbeitungsgeräte, elektrische und optische Erzeugnisse|Export|Frühsommer 2024</t>
  </si>
  <si>
    <t>Datenverarbeitungsgeräte, elektrische und optische Erzeugnisse|Export|Herbst 2024</t>
  </si>
  <si>
    <t>Datenverarbeitungsgeräte, elektrische und optische Erzeugnisse|Export|Jahresbeginn 2025</t>
  </si>
  <si>
    <t>Datenverarbeitungsgeräte, elektrische und optische Erzeugnisse|Export|Frühsommer 2025</t>
  </si>
  <si>
    <t>Datenverarbeitungsgeräte, elektrische und optische Erzeugnisse|Export|Herbst 2025</t>
  </si>
  <si>
    <t>Datenverarbeitungsgeräte, elektrische und optische Erzeugnisse|Export|Jahresbeginn 2026</t>
  </si>
  <si>
    <t>Datenverarbeitungsgeräte, elektrische und optische Erzeugnisse|Export|Frühsommer 2026</t>
  </si>
  <si>
    <t>Datenverarbeitungsgeräte, elektrische und optische Erzeugnisse|Export|Herbst 2026</t>
  </si>
  <si>
    <t>Datenverarbeitungsgeräte, elektrische und optische Erzeugnisse|Investitionen|Jahresbeginn 2024</t>
  </si>
  <si>
    <t>Datenverarbeitungsgeräte, elektrische und optische Erzeugnisse|Investitionen|Frühsommer 2024</t>
  </si>
  <si>
    <t>Datenverarbeitungsgeräte, elektrische und optische Erzeugnisse|Investitionen|Herbst 2024</t>
  </si>
  <si>
    <t>Datenverarbeitungsgeräte, elektrische und optische Erzeugnisse|Investitionen|Jahresbeginn 2025</t>
  </si>
  <si>
    <t>Datenverarbeitungsgeräte, elektrische und optische Erzeugnisse|Investitionen|Frühsommer 2025</t>
  </si>
  <si>
    <t>Datenverarbeitungsgeräte, elektrische und optische Erzeugnisse|Investitionen|Herbst 2025</t>
  </si>
  <si>
    <t>Datenverarbeitungsgeräte, elektrische und optische Erzeugnisse|Investitionen|Jahresbeginn 2026</t>
  </si>
  <si>
    <t>Datenverarbeitungsgeräte, elektrische und optische Erzeugnisse|Investitionen|Frühsommer 2026</t>
  </si>
  <si>
    <t>Datenverarbeitungsgeräte, elektrische und optische Erzeugnisse|Investitionen|Herbst 2026</t>
  </si>
  <si>
    <t>Datenverarbeitungsgeräte, elektrische und optische Erzeugnisse|Lage|Jahresbeginn 2024</t>
  </si>
  <si>
    <t>Datenverarbeitungsgeräte, elektrische und optische Erzeugnisse|Lage|Frühsommer 2024</t>
  </si>
  <si>
    <t>Datenverarbeitungsgeräte, elektrische und optische Erzeugnisse|Lage|Herbst 2024</t>
  </si>
  <si>
    <t>Datenverarbeitungsgeräte, elektrische und optische Erzeugnisse|Lage|Jahresbeginn 2025</t>
  </si>
  <si>
    <t>Datenverarbeitungsgeräte, elektrische und optische Erzeugnisse|Lage|Frühsommer 2025</t>
  </si>
  <si>
    <t>Datenverarbeitungsgeräte, elektrische und optische Erzeugnisse|Lage|Herbst 2025</t>
  </si>
  <si>
    <t>Datenverarbeitungsgeräte, elektrische und optische Erzeugnisse|Lage|Jahresbeginn 2026</t>
  </si>
  <si>
    <t>Datenverarbeitungsgeräte, elektrische und optische Erzeugnisse|Lage|Frühsommer 2026</t>
  </si>
  <si>
    <t>Datenverarbeitungsgeräte, elektrische und optische Erzeugnisse|Lage|Herbst 2026</t>
  </si>
  <si>
    <t>Dienstleistungen (ohne Handel)|Beschäftigung|Jahresbeginn 2024</t>
  </si>
  <si>
    <t>Dienstleistungen (ohne Handel)|Beschäftigung|Frühsommer 2024</t>
  </si>
  <si>
    <t>Dienstleistungen (ohne Handel)|Beschäftigung|Herbst 2024</t>
  </si>
  <si>
    <t>Dienstleistungen (ohne Handel)|Beschäftigung|Jahresbeginn 2025</t>
  </si>
  <si>
    <t>Dienstleistungen (ohne Handel)|Beschäftigung|Frühsommer 2025</t>
  </si>
  <si>
    <t>Dienstleistungen (ohne Handel)|Beschäftigung|Herbst 2025</t>
  </si>
  <si>
    <t>Dienstleistungen (ohne Handel)|Beschäftigung|Jahresbeginn 2026</t>
  </si>
  <si>
    <t>Dienstleistungen (ohne Handel)|Beschäftigung|Frühsommer 2026</t>
  </si>
  <si>
    <t>Dienstleistungen (ohne Handel)|Beschäftigung|Herbst 2026</t>
  </si>
  <si>
    <t>Dienstleistungen (ohne Handel)|Erwartungen|Jahresbeginn 2024</t>
  </si>
  <si>
    <t>Dienstleistungen (ohne Handel)|Erwartungen|Frühsommer 2024</t>
  </si>
  <si>
    <t>Dienstleistungen (ohne Handel)|Erwartungen|Herbst 2024</t>
  </si>
  <si>
    <t>Dienstleistungen (ohne Handel)|Erwartungen|Jahresbeginn 2025</t>
  </si>
  <si>
    <t>Dienstleistungen (ohne Handel)|Erwartungen|Frühsommer 2025</t>
  </si>
  <si>
    <t>Dienstleistungen (ohne Handel)|Erwartungen|Herbst 2025</t>
  </si>
  <si>
    <t>Dienstleistungen (ohne Handel)|Erwartungen|Jahresbeginn 2026</t>
  </si>
  <si>
    <t>Dienstleistungen (ohne Handel)|Erwartungen|Frühsommer 2026</t>
  </si>
  <si>
    <t>Dienstleistungen (ohne Handel)|Erwartungen|Herbst 2026</t>
  </si>
  <si>
    <t>Dienstleistungen (ohne Handel)|Export|Jahresbeginn 2024</t>
  </si>
  <si>
    <t>Dienstleistungen (ohne Handel)|Export|Frühsommer 2024</t>
  </si>
  <si>
    <t>Dienstleistungen (ohne Handel)|Export|Herbst 2024</t>
  </si>
  <si>
    <t>Dienstleistungen (ohne Handel)|Export|Jahresbeginn 2025</t>
  </si>
  <si>
    <t>Dienstleistungen (ohne Handel)|Export|Frühsommer 2025</t>
  </si>
  <si>
    <t>Dienstleistungen (ohne Handel)|Export|Herbst 2025</t>
  </si>
  <si>
    <t>Dienstleistungen (ohne Handel)|Export|Jahresbeginn 2026</t>
  </si>
  <si>
    <t>Dienstleistungen (ohne Handel)|Export|Frühsommer 2026</t>
  </si>
  <si>
    <t>Dienstleistungen (ohne Handel)|Export|Herbst 2026</t>
  </si>
  <si>
    <t>Dienstleistungen (ohne Handel)|Investitionen|Jahresbeginn 2024</t>
  </si>
  <si>
    <t>Dienstleistungen (ohne Handel)|Investitionen|Frühsommer 2024</t>
  </si>
  <si>
    <t>Dienstleistungen (ohne Handel)|Investitionen|Herbst 2024</t>
  </si>
  <si>
    <t>Dienstleistungen (ohne Handel)|Investitionen|Jahresbeginn 2025</t>
  </si>
  <si>
    <t>Dienstleistungen (ohne Handel)|Investitionen|Frühsommer 2025</t>
  </si>
  <si>
    <t>Dienstleistungen (ohne Handel)|Investitionen|Herbst 2025</t>
  </si>
  <si>
    <t>Dienstleistungen (ohne Handel)|Investitionen|Jahresbeginn 2026</t>
  </si>
  <si>
    <t>Dienstleistungen (ohne Handel)|Investitionen|Frühsommer 2026</t>
  </si>
  <si>
    <t>Dienstleistungen (ohne Handel)|Investitionen|Herbst 2026</t>
  </si>
  <si>
    <t>Dienstleistungen (ohne Handel)|Lage|Jahresbeginn 2024</t>
  </si>
  <si>
    <t>Dienstleistungen (ohne Handel)|Lage|Frühsommer 2024</t>
  </si>
  <si>
    <t>Dienstleistungen (ohne Handel)|Lage|Herbst 2024</t>
  </si>
  <si>
    <t>Dienstleistungen (ohne Handel)|Lage|Jahresbeginn 2025</t>
  </si>
  <si>
    <t>Dienstleistungen (ohne Handel)|Lage|Frühsommer 2025</t>
  </si>
  <si>
    <t>Dienstleistungen (ohne Handel)|Lage|Herbst 2025</t>
  </si>
  <si>
    <t>Dienstleistungen (ohne Handel)|Lage|Jahresbeginn 2026</t>
  </si>
  <si>
    <t>Dienstleistungen (ohne Handel)|Lage|Frühsommer 2026</t>
  </si>
  <si>
    <t>Dienstleistungen (ohne Handel)|Lage|Herbst 2026</t>
  </si>
  <si>
    <t>Druckgewerbe|Beschäftigung|Jahresbeginn 2024</t>
  </si>
  <si>
    <t>Druckgewerbe|Beschäftigung|Frühsommer 2024</t>
  </si>
  <si>
    <t>Druckgewerbe|Beschäftigung|Herbst 2024</t>
  </si>
  <si>
    <t>Druckgewerbe|Beschäftigung|Jahresbeginn 2025</t>
  </si>
  <si>
    <t>Druckgewerbe|Beschäftigung|Frühsommer 2025</t>
  </si>
  <si>
    <t>Druckgewerbe|Beschäftigung|Herbst 2025</t>
  </si>
  <si>
    <t>Druckgewerbe|Beschäftigung|Jahresbeginn 2026</t>
  </si>
  <si>
    <t>Druckgewerbe|Beschäftigung|Frühsommer 2026</t>
  </si>
  <si>
    <t>Druckgewerbe|Beschäftigung|Herbst 2026</t>
  </si>
  <si>
    <t>Druckgewerbe|Erwartungen|Jahresbeginn 2024</t>
  </si>
  <si>
    <t>Druckgewerbe|Erwartungen|Frühsommer 2024</t>
  </si>
  <si>
    <t>Druckgewerbe|Erwartungen|Herbst 2024</t>
  </si>
  <si>
    <t>Druckgewerbe|Erwartungen|Jahresbeginn 2025</t>
  </si>
  <si>
    <t>Druckgewerbe|Erwartungen|Frühsommer 2025</t>
  </si>
  <si>
    <t>Druckgewerbe|Erwartungen|Herbst 2025</t>
  </si>
  <si>
    <t>Druckgewerbe|Erwartungen|Jahresbeginn 2026</t>
  </si>
  <si>
    <t>Druckgewerbe|Erwartungen|Frühsommer 2026</t>
  </si>
  <si>
    <t>Druckgewerbe|Erwartungen|Herbst 2026</t>
  </si>
  <si>
    <t>Druckgewerbe|Export|Jahresbeginn 2024</t>
  </si>
  <si>
    <t>Druckgewerbe|Export|Frühsommer 2024</t>
  </si>
  <si>
    <t>Druckgewerbe|Export|Herbst 2024</t>
  </si>
  <si>
    <t>Druckgewerbe|Export|Jahresbeginn 2025</t>
  </si>
  <si>
    <t>Druckgewerbe|Export|Frühsommer 2025</t>
  </si>
  <si>
    <t>Druckgewerbe|Export|Herbst 2025</t>
  </si>
  <si>
    <t>Druckgewerbe|Export|Jahresbeginn 2026</t>
  </si>
  <si>
    <t>Druckgewerbe|Export|Frühsommer 2026</t>
  </si>
  <si>
    <t>Druckgewerbe|Export|Herbst 2026</t>
  </si>
  <si>
    <t>Druckgewerbe|Investitionen|Jahresbeginn 2024</t>
  </si>
  <si>
    <t>Druckgewerbe|Investitionen|Frühsommer 2024</t>
  </si>
  <si>
    <t>Druckgewerbe|Investitionen|Herbst 2024</t>
  </si>
  <si>
    <t>Druckgewerbe|Investitionen|Jahresbeginn 2025</t>
  </si>
  <si>
    <t>Druckgewerbe|Investitionen|Frühsommer 2025</t>
  </si>
  <si>
    <t>Druckgewerbe|Investitionen|Herbst 2025</t>
  </si>
  <si>
    <t>Druckgewerbe|Investitionen|Jahresbeginn 2026</t>
  </si>
  <si>
    <t>Druckgewerbe|Investitionen|Frühsommer 2026</t>
  </si>
  <si>
    <t>Druckgewerbe|Investitionen|Herbst 2026</t>
  </si>
  <si>
    <t>Druckgewerbe|Lage|Jahresbeginn 2024</t>
  </si>
  <si>
    <t>Druckgewerbe|Lage|Frühsommer 2024</t>
  </si>
  <si>
    <t>Druckgewerbe|Lage|Herbst 2024</t>
  </si>
  <si>
    <t>Druckgewerbe|Lage|Jahresbeginn 2025</t>
  </si>
  <si>
    <t>Druckgewerbe|Lage|Frühsommer 2025</t>
  </si>
  <si>
    <t>Druckgewerbe|Lage|Herbst 2025</t>
  </si>
  <si>
    <t>Druckgewerbe|Lage|Jahresbeginn 2026</t>
  </si>
  <si>
    <t>Druckgewerbe|Lage|Frühsommer 2026</t>
  </si>
  <si>
    <t>Druckgewerbe|Lage|Herbst 2026</t>
  </si>
  <si>
    <t>Einzelhandel|Beschäftigung|Jahresbeginn 2024</t>
  </si>
  <si>
    <t>Einzelhandel|Beschäftigung|Frühsommer 2024</t>
  </si>
  <si>
    <t>Einzelhandel|Beschäftigung|Herbst 2024</t>
  </si>
  <si>
    <t>Einzelhandel|Beschäftigung|Jahresbeginn 2025</t>
  </si>
  <si>
    <t>Einzelhandel|Beschäftigung|Frühsommer 2025</t>
  </si>
  <si>
    <t>Einzelhandel|Beschäftigung|Herbst 2025</t>
  </si>
  <si>
    <t>Einzelhandel|Beschäftigung|Jahresbeginn 2026</t>
  </si>
  <si>
    <t>Einzelhandel|Beschäftigung|Frühsommer 2026</t>
  </si>
  <si>
    <t>Einzelhandel|Beschäftigung|Herbst 2026</t>
  </si>
  <si>
    <t>Einzelhandel|Erwartungen|Jahresbeginn 2024</t>
  </si>
  <si>
    <t>Einzelhandel|Erwartungen|Frühsommer 2024</t>
  </si>
  <si>
    <t>Einzelhandel|Erwartungen|Herbst 2024</t>
  </si>
  <si>
    <t>Einzelhandel|Erwartungen|Jahresbeginn 2025</t>
  </si>
  <si>
    <t>Einzelhandel|Erwartungen|Frühsommer 2025</t>
  </si>
  <si>
    <t>Einzelhandel|Erwartungen|Herbst 2025</t>
  </si>
  <si>
    <t>Einzelhandel|Erwartungen|Jahresbeginn 2026</t>
  </si>
  <si>
    <t>Einzelhandel|Erwartungen|Frühsommer 2026</t>
  </si>
  <si>
    <t>Einzelhandel|Erwartungen|Herbst 2026</t>
  </si>
  <si>
    <t>Einzelhandel|Export|Jahresbeginn 2024</t>
  </si>
  <si>
    <t>Einzelhandel|Export|Frühsommer 2024</t>
  </si>
  <si>
    <t>Einzelhandel|Export|Herbst 2024</t>
  </si>
  <si>
    <t>Einzelhandel|Export|Jahresbeginn 2025</t>
  </si>
  <si>
    <t>Einzelhandel|Export|Frühsommer 2025</t>
  </si>
  <si>
    <t>Einzelhandel|Export|Herbst 2025</t>
  </si>
  <si>
    <t>Einzelhandel|Export|Jahresbeginn 2026</t>
  </si>
  <si>
    <t>Einzelhandel|Export|Frühsommer 2026</t>
  </si>
  <si>
    <t>Einzelhandel|Export|Herbst 2026</t>
  </si>
  <si>
    <t>Einzelhandel|Investitionen|Jahresbeginn 2024</t>
  </si>
  <si>
    <t>Einzelhandel|Investitionen|Frühsommer 2024</t>
  </si>
  <si>
    <t>Einzelhandel|Investitionen|Herbst 2024</t>
  </si>
  <si>
    <t>Einzelhandel|Investitionen|Jahresbeginn 2025</t>
  </si>
  <si>
    <t>Einzelhandel|Investitionen|Frühsommer 2025</t>
  </si>
  <si>
    <t>Einzelhandel|Investitionen|Herbst 2025</t>
  </si>
  <si>
    <t>Einzelhandel|Investitionen|Jahresbeginn 2026</t>
  </si>
  <si>
    <t>Einzelhandel|Investitionen|Frühsommer 2026</t>
  </si>
  <si>
    <t>Einzelhandel|Investitionen|Herbst 2026</t>
  </si>
  <si>
    <t>Einzelhandel|Lage|Jahresbeginn 2024</t>
  </si>
  <si>
    <t>Einzelhandel|Lage|Frühsommer 2024</t>
  </si>
  <si>
    <t>Einzelhandel|Lage|Herbst 2024</t>
  </si>
  <si>
    <t>Einzelhandel|Lage|Jahresbeginn 2025</t>
  </si>
  <si>
    <t>Einzelhandel|Lage|Frühsommer 2025</t>
  </si>
  <si>
    <t>Einzelhandel|Lage|Herbst 2025</t>
  </si>
  <si>
    <t>Einzelhandel|Lage|Jahresbeginn 2026</t>
  </si>
  <si>
    <t>Einzelhandel|Lage|Frühsommer 2026</t>
  </si>
  <si>
    <t>Einzelhandel|Lage|Herbst 2026</t>
  </si>
  <si>
    <t>Elektrische Ausrüstungen|Beschäftigung|Jahresbeginn 2024</t>
  </si>
  <si>
    <t>Elektrische Ausrüstungen|Beschäftigung|Frühsommer 2024</t>
  </si>
  <si>
    <t>Elektrische Ausrüstungen|Beschäftigung|Herbst 2024</t>
  </si>
  <si>
    <t>Elektrische Ausrüstungen|Beschäftigung|Jahresbeginn 2025</t>
  </si>
  <si>
    <t>Elektrische Ausrüstungen|Beschäftigung|Frühsommer 2025</t>
  </si>
  <si>
    <t>Elektrische Ausrüstungen|Beschäftigung|Herbst 2025</t>
  </si>
  <si>
    <t>Elektrische Ausrüstungen|Beschäftigung|Jahresbeginn 2026</t>
  </si>
  <si>
    <t>Elektrische Ausrüstungen|Beschäftigung|Frühsommer 2026</t>
  </si>
  <si>
    <t>Elektrische Ausrüstungen|Beschäftigung|Herbst 2026</t>
  </si>
  <si>
    <t>Elektrische Ausrüstungen|Erwartungen|Jahresbeginn 2024</t>
  </si>
  <si>
    <t>Elektrische Ausrüstungen|Erwartungen|Frühsommer 2024</t>
  </si>
  <si>
    <t>Elektrische Ausrüstungen|Erwartungen|Herbst 2024</t>
  </si>
  <si>
    <t>Elektrische Ausrüstungen|Erwartungen|Jahresbeginn 2025</t>
  </si>
  <si>
    <t>Elektrische Ausrüstungen|Erwartungen|Frühsommer 2025</t>
  </si>
  <si>
    <t>Elektrische Ausrüstungen|Erwartungen|Herbst 2025</t>
  </si>
  <si>
    <t>Elektrische Ausrüstungen|Erwartungen|Jahresbeginn 2026</t>
  </si>
  <si>
    <t>Elektrische Ausrüstungen|Erwartungen|Frühsommer 2026</t>
  </si>
  <si>
    <t>Elektrische Ausrüstungen|Erwartungen|Herbst 2026</t>
  </si>
  <si>
    <t>Elektrische Ausrüstungen|Export|Jahresbeginn 2024</t>
  </si>
  <si>
    <t>Elektrische Ausrüstungen|Export|Frühsommer 2024</t>
  </si>
  <si>
    <t>Elektrische Ausrüstungen|Export|Herbst 2024</t>
  </si>
  <si>
    <t>Elektrische Ausrüstungen|Export|Jahresbeginn 2025</t>
  </si>
  <si>
    <t>Elektrische Ausrüstungen|Export|Frühsommer 2025</t>
  </si>
  <si>
    <t>Elektrische Ausrüstungen|Export|Herbst 2025</t>
  </si>
  <si>
    <t>Elektrische Ausrüstungen|Export|Jahresbeginn 2026</t>
  </si>
  <si>
    <t>Elektrische Ausrüstungen|Export|Frühsommer 2026</t>
  </si>
  <si>
    <t>Elektrische Ausrüstungen|Export|Herbst 2026</t>
  </si>
  <si>
    <t>Elektrische Ausrüstungen|Investitionen|Jahresbeginn 2024</t>
  </si>
  <si>
    <t>Elektrische Ausrüstungen|Investitionen|Frühsommer 2024</t>
  </si>
  <si>
    <t>Elektrische Ausrüstungen|Investitionen|Herbst 2024</t>
  </si>
  <si>
    <t>Elektrische Ausrüstungen|Investitionen|Jahresbeginn 2025</t>
  </si>
  <si>
    <t>Elektrische Ausrüstungen|Investitionen|Frühsommer 2025</t>
  </si>
  <si>
    <t>Elektrische Ausrüstungen|Investitionen|Herbst 2025</t>
  </si>
  <si>
    <t>Elektrische Ausrüstungen|Investitionen|Jahresbeginn 2026</t>
  </si>
  <si>
    <t>Elektrische Ausrüstungen|Investitionen|Frühsommer 2026</t>
  </si>
  <si>
    <t>Elektrische Ausrüstungen|Investitionen|Herbst 2026</t>
  </si>
  <si>
    <t>Elektrische Ausrüstungen|Lage|Jahresbeginn 2024</t>
  </si>
  <si>
    <t>Elektrische Ausrüstungen|Lage|Frühsommer 2024</t>
  </si>
  <si>
    <t>Elektrische Ausrüstungen|Lage|Herbst 2024</t>
  </si>
  <si>
    <t>Elektrische Ausrüstungen|Lage|Jahresbeginn 2025</t>
  </si>
  <si>
    <t>Elektrische Ausrüstungen|Lage|Frühsommer 2025</t>
  </si>
  <si>
    <t>Elektrische Ausrüstungen|Lage|Herbst 2025</t>
  </si>
  <si>
    <t>Elektrische Ausrüstungen|Lage|Jahresbeginn 2026</t>
  </si>
  <si>
    <t>Elektrische Ausrüstungen|Lage|Frühsommer 2026</t>
  </si>
  <si>
    <t>Elektrische Ausrüstungen|Lage|Herbst 2026</t>
  </si>
  <si>
    <t>Elektrotechnik|Beschäftigung|Jahresbeginn 2024</t>
  </si>
  <si>
    <t>Elektrotechnik|Beschäftigung|Frühsommer 2024</t>
  </si>
  <si>
    <t>Elektrotechnik|Beschäftigung|Herbst 2024</t>
  </si>
  <si>
    <t>Elektrotechnik|Beschäftigung|Jahresbeginn 2025</t>
  </si>
  <si>
    <t>Elektrotechnik|Beschäftigung|Frühsommer 2025</t>
  </si>
  <si>
    <t>Elektrotechnik|Beschäftigung|Herbst 2025</t>
  </si>
  <si>
    <t>Elektrotechnik|Beschäftigung|Jahresbeginn 2026</t>
  </si>
  <si>
    <t>Elektrotechnik|Beschäftigung|Frühsommer 2026</t>
  </si>
  <si>
    <t>Elektrotechnik|Beschäftigung|Herbst 2026</t>
  </si>
  <si>
    <t>Elektrotechnik|Erwartungen|Jahresbeginn 2024</t>
  </si>
  <si>
    <t>Elektrotechnik|Erwartungen|Frühsommer 2024</t>
  </si>
  <si>
    <t>Elektrotechnik|Erwartungen|Herbst 2024</t>
  </si>
  <si>
    <t>Elektrotechnik|Erwartungen|Jahresbeginn 2025</t>
  </si>
  <si>
    <t>Elektrotechnik|Erwartungen|Frühsommer 2025</t>
  </si>
  <si>
    <t>Elektrotechnik|Erwartungen|Herbst 2025</t>
  </si>
  <si>
    <t>Elektrotechnik|Erwartungen|Jahresbeginn 2026</t>
  </si>
  <si>
    <t>Elektrotechnik|Erwartungen|Frühsommer 2026</t>
  </si>
  <si>
    <t>Elektrotechnik|Erwartungen|Herbst 2026</t>
  </si>
  <si>
    <t>Elektrotechnik|Export|Jahresbeginn 2024</t>
  </si>
  <si>
    <t>Elektrotechnik|Export|Frühsommer 2024</t>
  </si>
  <si>
    <t>Elektrotechnik|Export|Herbst 2024</t>
  </si>
  <si>
    <t>Elektrotechnik|Export|Jahresbeginn 2025</t>
  </si>
  <si>
    <t>Elektrotechnik|Export|Frühsommer 2025</t>
  </si>
  <si>
    <t>Elektrotechnik|Export|Herbst 2025</t>
  </si>
  <si>
    <t>Elektrotechnik|Export|Jahresbeginn 2026</t>
  </si>
  <si>
    <t>Elektrotechnik|Export|Frühsommer 2026</t>
  </si>
  <si>
    <t>Elektrotechnik|Export|Herbst 2026</t>
  </si>
  <si>
    <t>Elektrotechnik|Investitionen|Jahresbeginn 2024</t>
  </si>
  <si>
    <t>Elektrotechnik|Investitionen|Frühsommer 2024</t>
  </si>
  <si>
    <t>Elektrotechnik|Investitionen|Herbst 2024</t>
  </si>
  <si>
    <t>Elektrotechnik|Investitionen|Jahresbeginn 2025</t>
  </si>
  <si>
    <t>Elektrotechnik|Investitionen|Frühsommer 2025</t>
  </si>
  <si>
    <t>Elektrotechnik|Investitionen|Herbst 2025</t>
  </si>
  <si>
    <t>Elektrotechnik|Investitionen|Jahresbeginn 2026</t>
  </si>
  <si>
    <t>Elektrotechnik|Investitionen|Frühsommer 2026</t>
  </si>
  <si>
    <t>Elektrotechnik|Investitionen|Herbst 2026</t>
  </si>
  <si>
    <t>Elektrotechnik|Lage|Jahresbeginn 2024</t>
  </si>
  <si>
    <t>Elektrotechnik|Lage|Frühsommer 2024</t>
  </si>
  <si>
    <t>Elektrotechnik|Lage|Herbst 2024</t>
  </si>
  <si>
    <t>Elektrotechnik|Lage|Jahresbeginn 2025</t>
  </si>
  <si>
    <t>Elektrotechnik|Lage|Frühsommer 2025</t>
  </si>
  <si>
    <t>Elektrotechnik|Lage|Herbst 2025</t>
  </si>
  <si>
    <t>Elektrotechnik|Lage|Jahresbeginn 2026</t>
  </si>
  <si>
    <t>Elektrotechnik|Lage|Frühsommer 2026</t>
  </si>
  <si>
    <t>Elektrotechnik|Lage|Herbst 2026</t>
  </si>
  <si>
    <t>Energieversorgung|Beschäftigung|Jahresbeginn 2024</t>
  </si>
  <si>
    <t>Energieversorgung|Beschäftigung|Frühsommer 2024</t>
  </si>
  <si>
    <t>Energieversorgung|Beschäftigung|Herbst 2024</t>
  </si>
  <si>
    <t>Energieversorgung|Beschäftigung|Jahresbeginn 2025</t>
  </si>
  <si>
    <t>Energieversorgung|Beschäftigung|Frühsommer 2025</t>
  </si>
  <si>
    <t>Energieversorgung|Beschäftigung|Herbst 2025</t>
  </si>
  <si>
    <t>Energieversorgung|Beschäftigung|Jahresbeginn 2026</t>
  </si>
  <si>
    <t>Energieversorgung|Beschäftigung|Frühsommer 2026</t>
  </si>
  <si>
    <t>Energieversorgung|Beschäftigung|Herbst 2026</t>
  </si>
  <si>
    <t>Energieversorgung|Erwartungen|Jahresbeginn 2024</t>
  </si>
  <si>
    <t>Energieversorgung|Erwartungen|Frühsommer 2024</t>
  </si>
  <si>
    <t>Energieversorgung|Erwartungen|Herbst 2024</t>
  </si>
  <si>
    <t>Energieversorgung|Erwartungen|Jahresbeginn 2025</t>
  </si>
  <si>
    <t>Energieversorgung|Erwartungen|Frühsommer 2025</t>
  </si>
  <si>
    <t>Energieversorgung|Erwartungen|Herbst 2025</t>
  </si>
  <si>
    <t>Energieversorgung|Erwartungen|Jahresbeginn 2026</t>
  </si>
  <si>
    <t>Energieversorgung|Erwartungen|Frühsommer 2026</t>
  </si>
  <si>
    <t>Energieversorgung|Erwartungen|Herbst 2026</t>
  </si>
  <si>
    <t>Energieversorgung|Export|Jahresbeginn 2024</t>
  </si>
  <si>
    <t>Energieversorgung|Export|Frühsommer 2024</t>
  </si>
  <si>
    <t>Energieversorgung|Export|Herbst 2024</t>
  </si>
  <si>
    <t>Energieversorgung|Export|Jahresbeginn 2025</t>
  </si>
  <si>
    <t>Energieversorgung|Export|Frühsommer 2025</t>
  </si>
  <si>
    <t>Energieversorgung|Export|Herbst 2025</t>
  </si>
  <si>
    <t>Energieversorgung|Export|Jahresbeginn 2026</t>
  </si>
  <si>
    <t>Energieversorgung|Export|Frühsommer 2026</t>
  </si>
  <si>
    <t>Energieversorgung|Export|Herbst 2026</t>
  </si>
  <si>
    <t>Energieversorgung|Investitionen|Jahresbeginn 2024</t>
  </si>
  <si>
    <t>Energieversorgung|Investitionen|Frühsommer 2024</t>
  </si>
  <si>
    <t>Energieversorgung|Investitionen|Herbst 2024</t>
  </si>
  <si>
    <t>Energieversorgung|Investitionen|Jahresbeginn 2025</t>
  </si>
  <si>
    <t>Energieversorgung|Investitionen|Frühsommer 2025</t>
  </si>
  <si>
    <t>Energieversorgung|Investitionen|Herbst 2025</t>
  </si>
  <si>
    <t>Energieversorgung|Investitionen|Jahresbeginn 2026</t>
  </si>
  <si>
    <t>Energieversorgung|Investitionen|Frühsommer 2026</t>
  </si>
  <si>
    <t>Energieversorgung|Investitionen|Herbst 2026</t>
  </si>
  <si>
    <t>Energieversorgung|Lage|Jahresbeginn 2024</t>
  </si>
  <si>
    <t>Energieversorgung|Lage|Frühsommer 2024</t>
  </si>
  <si>
    <t>Energieversorgung|Lage|Herbst 2024</t>
  </si>
  <si>
    <t>Energieversorgung|Lage|Jahresbeginn 2025</t>
  </si>
  <si>
    <t>Energieversorgung|Lage|Frühsommer 2025</t>
  </si>
  <si>
    <t>Energieversorgung|Lage|Herbst 2025</t>
  </si>
  <si>
    <t>Energieversorgung|Lage|Jahresbeginn 2026</t>
  </si>
  <si>
    <t>Energieversorgung|Lage|Frühsommer 2026</t>
  </si>
  <si>
    <t>Energieversorgung|Lage|Herbst 2026</t>
  </si>
  <si>
    <t>Finanz- und Versicherungsdienstleistungen|Beschäftigung|Jahresbeginn 2024</t>
  </si>
  <si>
    <t>Finanz- und Versicherungsdienstleistungen|Beschäftigung|Frühsommer 2024</t>
  </si>
  <si>
    <t>Finanz- und Versicherungsdienstleistungen|Beschäftigung|Herbst 2024</t>
  </si>
  <si>
    <t>Finanz- und Versicherungsdienstleistungen|Beschäftigung|Jahresbeginn 2025</t>
  </si>
  <si>
    <t>Finanz- und Versicherungsdienstleistungen|Beschäftigung|Frühsommer 2025</t>
  </si>
  <si>
    <t>Finanz- und Versicherungsdienstleistungen|Beschäftigung|Herbst 2025</t>
  </si>
  <si>
    <t>Finanz- und Versicherungsdienstleistungen|Beschäftigung|Jahresbeginn 2026</t>
  </si>
  <si>
    <t>Finanz- und Versicherungsdienstleistungen|Beschäftigung|Frühsommer 2026</t>
  </si>
  <si>
    <t>Finanz- und Versicherungsdienstleistungen|Beschäftigung|Herbst 2026</t>
  </si>
  <si>
    <t>Finanz- und Versicherungsdienstleistungen|Erwartungen|Jahresbeginn 2024</t>
  </si>
  <si>
    <t>Finanz- und Versicherungsdienstleistungen|Erwartungen|Frühsommer 2024</t>
  </si>
  <si>
    <t>Finanz- und Versicherungsdienstleistungen|Erwartungen|Herbst 2024</t>
  </si>
  <si>
    <t>Finanz- und Versicherungsdienstleistungen|Erwartungen|Jahresbeginn 2025</t>
  </si>
  <si>
    <t>Finanz- und Versicherungsdienstleistungen|Erwartungen|Frühsommer 2025</t>
  </si>
  <si>
    <t>Finanz- und Versicherungsdienstleistungen|Erwartungen|Herbst 2025</t>
  </si>
  <si>
    <t>Finanz- und Versicherungsdienstleistungen|Erwartungen|Jahresbeginn 2026</t>
  </si>
  <si>
    <t>Finanz- und Versicherungsdienstleistungen|Erwartungen|Frühsommer 2026</t>
  </si>
  <si>
    <t>Finanz- und Versicherungsdienstleistungen|Erwartungen|Herbst 2026</t>
  </si>
  <si>
    <t>Finanz- und Versicherungsdienstleistungen|Export|Jahresbeginn 2024</t>
  </si>
  <si>
    <t>Finanz- und Versicherungsdienstleistungen|Export|Frühsommer 2024</t>
  </si>
  <si>
    <t>Finanz- und Versicherungsdienstleistungen|Export|Herbst 2024</t>
  </si>
  <si>
    <t>Finanz- und Versicherungsdienstleistungen|Export|Jahresbeginn 2025</t>
  </si>
  <si>
    <t>Finanz- und Versicherungsdienstleistungen|Export|Frühsommer 2025</t>
  </si>
  <si>
    <t>Finanz- und Versicherungsdienstleistungen|Export|Herbst 2025</t>
  </si>
  <si>
    <t>Finanz- und Versicherungsdienstleistungen|Export|Jahresbeginn 2026</t>
  </si>
  <si>
    <t>Finanz- und Versicherungsdienstleistungen|Export|Frühsommer 2026</t>
  </si>
  <si>
    <t>Finanz- und Versicherungsdienstleistungen|Export|Herbst 2026</t>
  </si>
  <si>
    <t>Finanz- und Versicherungsdienstleistungen|Investitionen|Jahresbeginn 2024</t>
  </si>
  <si>
    <t>Finanz- und Versicherungsdienstleistungen|Investitionen|Frühsommer 2024</t>
  </si>
  <si>
    <t>Finanz- und Versicherungsdienstleistungen|Investitionen|Herbst 2024</t>
  </si>
  <si>
    <t>Finanz- und Versicherungsdienstleistungen|Investitionen|Jahresbeginn 2025</t>
  </si>
  <si>
    <t>Finanz- und Versicherungsdienstleistungen|Investitionen|Frühsommer 2025</t>
  </si>
  <si>
    <t>Finanz- und Versicherungsdienstleistungen|Investitionen|Herbst 2025</t>
  </si>
  <si>
    <t>Finanz- und Versicherungsdienstleistungen|Investitionen|Jahresbeginn 2026</t>
  </si>
  <si>
    <t>Finanz- und Versicherungsdienstleistungen|Investitionen|Frühsommer 2026</t>
  </si>
  <si>
    <t>Finanz- und Versicherungsdienstleistungen|Investitionen|Herbst 2026</t>
  </si>
  <si>
    <t>Finanz- und Versicherungsdienstleistungen|Lage|Jahresbeginn 2024</t>
  </si>
  <si>
    <t>Finanz- und Versicherungsdienstleistungen|Lage|Frühsommer 2024</t>
  </si>
  <si>
    <t>Finanz- und Versicherungsdienstleistungen|Lage|Herbst 2024</t>
  </si>
  <si>
    <t>Finanz- und Versicherungsdienstleistungen|Lage|Jahresbeginn 2025</t>
  </si>
  <si>
    <t>Finanz- und Versicherungsdienstleistungen|Lage|Frühsommer 2025</t>
  </si>
  <si>
    <t>Finanz- und Versicherungsdienstleistungen|Lage|Herbst 2025</t>
  </si>
  <si>
    <t>Finanz- und Versicherungsdienstleistungen|Lage|Jahresbeginn 2026</t>
  </si>
  <si>
    <t>Finanz- und Versicherungsdienstleistungen|Lage|Frühsommer 2026</t>
  </si>
  <si>
    <t>Finanz- und Versicherungsdienstleistungen|Lage|Herbst 2026</t>
  </si>
  <si>
    <t>Forschung und Entwicklung|Beschäftigung|Jahresbeginn 2024</t>
  </si>
  <si>
    <t>Forschung und Entwicklung|Beschäftigung|Frühsommer 2024</t>
  </si>
  <si>
    <t>Forschung und Entwicklung|Beschäftigung|Herbst 2024</t>
  </si>
  <si>
    <t>Forschung und Entwicklung|Beschäftigung|Jahresbeginn 2025</t>
  </si>
  <si>
    <t>Forschung und Entwicklung|Beschäftigung|Frühsommer 2025</t>
  </si>
  <si>
    <t>Forschung und Entwicklung|Beschäftigung|Herbst 2025</t>
  </si>
  <si>
    <t>Forschung und Entwicklung|Beschäftigung|Jahresbeginn 2026</t>
  </si>
  <si>
    <t>Forschung und Entwicklung|Beschäftigung|Frühsommer 2026</t>
  </si>
  <si>
    <t>Forschung und Entwicklung|Beschäftigung|Herbst 2026</t>
  </si>
  <si>
    <t>Forschung und Entwicklung|Erwartungen|Jahresbeginn 2024</t>
  </si>
  <si>
    <t>Forschung und Entwicklung|Erwartungen|Frühsommer 2024</t>
  </si>
  <si>
    <t>Forschung und Entwicklung|Erwartungen|Herbst 2024</t>
  </si>
  <si>
    <t>Forschung und Entwicklung|Erwartungen|Jahresbeginn 2025</t>
  </si>
  <si>
    <t>Forschung und Entwicklung|Erwartungen|Frühsommer 2025</t>
  </si>
  <si>
    <t>Forschung und Entwicklung|Erwartungen|Herbst 2025</t>
  </si>
  <si>
    <t>Forschung und Entwicklung|Erwartungen|Jahresbeginn 2026</t>
  </si>
  <si>
    <t>Forschung und Entwicklung|Erwartungen|Frühsommer 2026</t>
  </si>
  <si>
    <t>Forschung und Entwicklung|Erwartungen|Herbst 2026</t>
  </si>
  <si>
    <t>Forschung und Entwicklung|Export|Jahresbeginn 2024</t>
  </si>
  <si>
    <t>Forschung und Entwicklung|Export|Frühsommer 2024</t>
  </si>
  <si>
    <t>Forschung und Entwicklung|Export|Herbst 2024</t>
  </si>
  <si>
    <t>Forschung und Entwicklung|Export|Jahresbeginn 2025</t>
  </si>
  <si>
    <t>Forschung und Entwicklung|Export|Frühsommer 2025</t>
  </si>
  <si>
    <t>Forschung und Entwicklung|Export|Herbst 2025</t>
  </si>
  <si>
    <t>Forschung und Entwicklung|Export|Jahresbeginn 2026</t>
  </si>
  <si>
    <t>Forschung und Entwicklung|Export|Frühsommer 2026</t>
  </si>
  <si>
    <t>Forschung und Entwicklung|Export|Herbst 2026</t>
  </si>
  <si>
    <t>Forschung und Entwicklung|Investitionen|Jahresbeginn 2024</t>
  </si>
  <si>
    <t>Forschung und Entwicklung|Investitionen|Frühsommer 2024</t>
  </si>
  <si>
    <t>Forschung und Entwicklung|Investitionen|Herbst 2024</t>
  </si>
  <si>
    <t>Forschung und Entwicklung|Investitionen|Jahresbeginn 2025</t>
  </si>
  <si>
    <t>Forschung und Entwicklung|Investitionen|Frühsommer 2025</t>
  </si>
  <si>
    <t>Forschung und Entwicklung|Investitionen|Herbst 2025</t>
  </si>
  <si>
    <t>Forschung und Entwicklung|Investitionen|Jahresbeginn 2026</t>
  </si>
  <si>
    <t>Forschung und Entwicklung|Investitionen|Frühsommer 2026</t>
  </si>
  <si>
    <t>Forschung und Entwicklung|Investitionen|Herbst 2026</t>
  </si>
  <si>
    <t>Forschung und Entwicklung|Lage|Jahresbeginn 2024</t>
  </si>
  <si>
    <t>Forschung und Entwicklung|Lage|Frühsommer 2024</t>
  </si>
  <si>
    <t>Forschung und Entwicklung|Lage|Herbst 2024</t>
  </si>
  <si>
    <t>Forschung und Entwicklung|Lage|Jahresbeginn 2025</t>
  </si>
  <si>
    <t>Forschung und Entwicklung|Lage|Frühsommer 2025</t>
  </si>
  <si>
    <t>Forschung und Entwicklung|Lage|Herbst 2025</t>
  </si>
  <si>
    <t>Forschung und Entwicklung|Lage|Jahresbeginn 2026</t>
  </si>
  <si>
    <t>Forschung und Entwicklung|Lage|Frühsommer 2026</t>
  </si>
  <si>
    <t>Forschung und Entwicklung|Lage|Herbst 2026</t>
  </si>
  <si>
    <t>Gastgewerbe|Beschäftigung|Jahresbeginn 2024</t>
  </si>
  <si>
    <t>Gastgewerbe|Beschäftigung|Frühsommer 2024</t>
  </si>
  <si>
    <t>Gastgewerbe|Beschäftigung|Herbst 2024</t>
  </si>
  <si>
    <t>Gastgewerbe|Beschäftigung|Jahresbeginn 2025</t>
  </si>
  <si>
    <t>Gastgewerbe|Beschäftigung|Frühsommer 2025</t>
  </si>
  <si>
    <t>Gastgewerbe|Beschäftigung|Herbst 2025</t>
  </si>
  <si>
    <t>Gastgewerbe|Beschäftigung|Jahresbeginn 2026</t>
  </si>
  <si>
    <t>Gastgewerbe|Beschäftigung|Frühsommer 2026</t>
  </si>
  <si>
    <t>Gastgewerbe|Beschäftigung|Herbst 2026</t>
  </si>
  <si>
    <t>Gastgewerbe|Erwartungen|Jahresbeginn 2024</t>
  </si>
  <si>
    <t>Gastgewerbe|Erwartungen|Frühsommer 2024</t>
  </si>
  <si>
    <t>Gastgewerbe|Erwartungen|Herbst 2024</t>
  </si>
  <si>
    <t>Gastgewerbe|Erwartungen|Jahresbeginn 2025</t>
  </si>
  <si>
    <t>Gastgewerbe|Erwartungen|Frühsommer 2025</t>
  </si>
  <si>
    <t>Gastgewerbe|Erwartungen|Herbst 2025</t>
  </si>
  <si>
    <t>Gastgewerbe|Erwartungen|Jahresbeginn 2026</t>
  </si>
  <si>
    <t>Gastgewerbe|Erwartungen|Frühsommer 2026</t>
  </si>
  <si>
    <t>Gastgewerbe|Erwartungen|Herbst 2026</t>
  </si>
  <si>
    <t>Gastgewerbe|Export|Jahresbeginn 2024</t>
  </si>
  <si>
    <t>Gastgewerbe|Export|Frühsommer 2024</t>
  </si>
  <si>
    <t>Gastgewerbe|Export|Herbst 2024</t>
  </si>
  <si>
    <t>Gastgewerbe|Export|Jahresbeginn 2025</t>
  </si>
  <si>
    <t>Gastgewerbe|Export|Frühsommer 2025</t>
  </si>
  <si>
    <t>Gastgewerbe|Export|Herbst 2025</t>
  </si>
  <si>
    <t>Gastgewerbe|Export|Jahresbeginn 2026</t>
  </si>
  <si>
    <t>Gastgewerbe|Export|Frühsommer 2026</t>
  </si>
  <si>
    <t>Gastgewerbe|Export|Herbst 2026</t>
  </si>
  <si>
    <t>Gastgewerbe|Investitionen|Jahresbeginn 2024</t>
  </si>
  <si>
    <t>Gastgewerbe|Investitionen|Frühsommer 2024</t>
  </si>
  <si>
    <t>Gastgewerbe|Investitionen|Herbst 2024</t>
  </si>
  <si>
    <t>Gastgewerbe|Investitionen|Jahresbeginn 2025</t>
  </si>
  <si>
    <t>Gastgewerbe|Investitionen|Frühsommer 2025</t>
  </si>
  <si>
    <t>Gastgewerbe|Investitionen|Herbst 2025</t>
  </si>
  <si>
    <t>Gastgewerbe|Investitionen|Jahresbeginn 2026</t>
  </si>
  <si>
    <t>Gastgewerbe|Investitionen|Frühsommer 2026</t>
  </si>
  <si>
    <t>Gastgewerbe|Investitionen|Herbst 2026</t>
  </si>
  <si>
    <t>Gastgewerbe|Lage|Jahresbeginn 2024</t>
  </si>
  <si>
    <t>Gastgewerbe|Lage|Frühsommer 2024</t>
  </si>
  <si>
    <t>Gastgewerbe|Lage|Herbst 2024</t>
  </si>
  <si>
    <t>Gastgewerbe|Lage|Jahresbeginn 2025</t>
  </si>
  <si>
    <t>Gastgewerbe|Lage|Frühsommer 2025</t>
  </si>
  <si>
    <t>Gastgewerbe|Lage|Herbst 2025</t>
  </si>
  <si>
    <t>Gastgewerbe|Lage|Jahresbeginn 2026</t>
  </si>
  <si>
    <t>Gastgewerbe|Lage|Frühsommer 2026</t>
  </si>
  <si>
    <t>Gastgewerbe|Lage|Herbst 2026</t>
  </si>
  <si>
    <t>Gastronomie|Beschäftigung|Jahresbeginn 2024</t>
  </si>
  <si>
    <t>Gastronomie|Beschäftigung|Frühsommer 2024</t>
  </si>
  <si>
    <t>Gastronomie|Beschäftigung|Herbst 2024</t>
  </si>
  <si>
    <t>Gastronomie|Beschäftigung|Jahresbeginn 2025</t>
  </si>
  <si>
    <t>Gastronomie|Beschäftigung|Frühsommer 2025</t>
  </si>
  <si>
    <t>Gastronomie|Beschäftigung|Herbst 2025</t>
  </si>
  <si>
    <t>Gastronomie|Beschäftigung|Jahresbeginn 2026</t>
  </si>
  <si>
    <t>Gastronomie|Beschäftigung|Frühsommer 2026</t>
  </si>
  <si>
    <t>Gastronomie|Beschäftigung|Herbst 2026</t>
  </si>
  <si>
    <t>Gastronomie|Erwartungen|Jahresbeginn 2024</t>
  </si>
  <si>
    <t>Gastronomie|Erwartungen|Frühsommer 2024</t>
  </si>
  <si>
    <t>Gastronomie|Erwartungen|Herbst 2024</t>
  </si>
  <si>
    <t>Gastronomie|Erwartungen|Jahresbeginn 2025</t>
  </si>
  <si>
    <t>Gastronomie|Erwartungen|Frühsommer 2025</t>
  </si>
  <si>
    <t>Gastronomie|Erwartungen|Herbst 2025</t>
  </si>
  <si>
    <t>Gastronomie|Erwartungen|Jahresbeginn 2026</t>
  </si>
  <si>
    <t>Gastronomie|Erwartungen|Frühsommer 2026</t>
  </si>
  <si>
    <t>Gastronomie|Erwartungen|Herbst 2026</t>
  </si>
  <si>
    <t>Gastronomie|Export|Jahresbeginn 2024</t>
  </si>
  <si>
    <t>Gastronomie|Export|Frühsommer 2024</t>
  </si>
  <si>
    <t>Gastronomie|Export|Herbst 2024</t>
  </si>
  <si>
    <t>Gastronomie|Export|Jahresbeginn 2025</t>
  </si>
  <si>
    <t>Gastronomie|Export|Frühsommer 2025</t>
  </si>
  <si>
    <t>Gastronomie|Export|Herbst 2025</t>
  </si>
  <si>
    <t>Gastronomie|Export|Jahresbeginn 2026</t>
  </si>
  <si>
    <t>Gastronomie|Export|Frühsommer 2026</t>
  </si>
  <si>
    <t>Gastronomie|Export|Herbst 2026</t>
  </si>
  <si>
    <t>Gastronomie|Investitionen|Jahresbeginn 2024</t>
  </si>
  <si>
    <t>Gastronomie|Investitionen|Frühsommer 2024</t>
  </si>
  <si>
    <t>Gastronomie|Investitionen|Herbst 2024</t>
  </si>
  <si>
    <t>Gastronomie|Investitionen|Jahresbeginn 2025</t>
  </si>
  <si>
    <t>Gastronomie|Investitionen|Frühsommer 2025</t>
  </si>
  <si>
    <t>Gastronomie|Investitionen|Herbst 2025</t>
  </si>
  <si>
    <t>Gastronomie|Investitionen|Jahresbeginn 2026</t>
  </si>
  <si>
    <t>Gastronomie|Investitionen|Frühsommer 2026</t>
  </si>
  <si>
    <t>Gastronomie|Investitionen|Herbst 2026</t>
  </si>
  <si>
    <t>Gastronomie|Lage|Jahresbeginn 2024</t>
  </si>
  <si>
    <t>Gastronomie|Lage|Frühsommer 2024</t>
  </si>
  <si>
    <t>Gastronomie|Lage|Herbst 2024</t>
  </si>
  <si>
    <t>Gastronomie|Lage|Jahresbeginn 2025</t>
  </si>
  <si>
    <t>Gastronomie|Lage|Frühsommer 2025</t>
  </si>
  <si>
    <t>Gastronomie|Lage|Herbst 2025</t>
  </si>
  <si>
    <t>Gastronomie|Lage|Jahresbeginn 2026</t>
  </si>
  <si>
    <t>Gastronomie|Lage|Frühsommer 2026</t>
  </si>
  <si>
    <t>Gastronomie|Lage|Herbst 2026</t>
  </si>
  <si>
    <t>Gebäudebetreuung, Garten- und Landschaftsbau|Beschäftigung|Jahresbeginn 2024</t>
  </si>
  <si>
    <t>Gebäudebetreuung, Garten- und Landschaftsbau|Beschäftigung|Frühsommer 2024</t>
  </si>
  <si>
    <t>Gebäudebetreuung, Garten- und Landschaftsbau|Beschäftigung|Herbst 2024</t>
  </si>
  <si>
    <t>Gebäudebetreuung, Garten- und Landschaftsbau|Beschäftigung|Jahresbeginn 2025</t>
  </si>
  <si>
    <t>Gebäudebetreuung, Garten- und Landschaftsbau|Beschäftigung|Frühsommer 2025</t>
  </si>
  <si>
    <t>Gebäudebetreuung, Garten- und Landschaftsbau|Beschäftigung|Herbst 2025</t>
  </si>
  <si>
    <t>Gebäudebetreuung, Garten- und Landschaftsbau|Beschäftigung|Jahresbeginn 2026</t>
  </si>
  <si>
    <t>Gebäudebetreuung, Garten- und Landschaftsbau|Beschäftigung|Frühsommer 2026</t>
  </si>
  <si>
    <t>Gebäudebetreuung, Garten- und Landschaftsbau|Beschäftigung|Herbst 2026</t>
  </si>
  <si>
    <t>Gebäudebetreuung, Garten- und Landschaftsbau|Erwartungen|Jahresbeginn 2024</t>
  </si>
  <si>
    <t>Gebäudebetreuung, Garten- und Landschaftsbau|Erwartungen|Frühsommer 2024</t>
  </si>
  <si>
    <t>Gebäudebetreuung, Garten- und Landschaftsbau|Erwartungen|Herbst 2024</t>
  </si>
  <si>
    <t>Gebäudebetreuung, Garten- und Landschaftsbau|Erwartungen|Jahresbeginn 2025</t>
  </si>
  <si>
    <t>Gebäudebetreuung, Garten- und Landschaftsbau|Erwartungen|Frühsommer 2025</t>
  </si>
  <si>
    <t>Gebäudebetreuung, Garten- und Landschaftsbau|Erwartungen|Herbst 2025</t>
  </si>
  <si>
    <t>Gebäudebetreuung, Garten- und Landschaftsbau|Erwartungen|Jahresbeginn 2026</t>
  </si>
  <si>
    <t>Gebäudebetreuung, Garten- und Landschaftsbau|Erwartungen|Frühsommer 2026</t>
  </si>
  <si>
    <t>Gebäudebetreuung, Garten- und Landschaftsbau|Erwartungen|Herbst 2026</t>
  </si>
  <si>
    <t>Gebäudebetreuung, Garten- und Landschaftsbau|Export|Jahresbeginn 2024</t>
  </si>
  <si>
    <t>Gebäudebetreuung, Garten- und Landschaftsbau|Export|Frühsommer 2024</t>
  </si>
  <si>
    <t>Gebäudebetreuung, Garten- und Landschaftsbau|Export|Herbst 2024</t>
  </si>
  <si>
    <t>Gebäudebetreuung, Garten- und Landschaftsbau|Export|Jahresbeginn 2025</t>
  </si>
  <si>
    <t>Gebäudebetreuung, Garten- und Landschaftsbau|Export|Frühsommer 2025</t>
  </si>
  <si>
    <t>Gebäudebetreuung, Garten- und Landschaftsbau|Export|Herbst 2025</t>
  </si>
  <si>
    <t>Gebäudebetreuung, Garten- und Landschaftsbau|Export|Jahresbeginn 2026</t>
  </si>
  <si>
    <t>Gebäudebetreuung, Garten- und Landschaftsbau|Export|Frühsommer 2026</t>
  </si>
  <si>
    <t>Gebäudebetreuung, Garten- und Landschaftsbau|Export|Herbst 2026</t>
  </si>
  <si>
    <t>Gebäudebetreuung, Garten- und Landschaftsbau|Investitionen|Jahresbeginn 2024</t>
  </si>
  <si>
    <t>Gebäudebetreuung, Garten- und Landschaftsbau|Investitionen|Frühsommer 2024</t>
  </si>
  <si>
    <t>Gebäudebetreuung, Garten- und Landschaftsbau|Investitionen|Herbst 2024</t>
  </si>
  <si>
    <t>Gebäudebetreuung, Garten- und Landschaftsbau|Investitionen|Jahresbeginn 2025</t>
  </si>
  <si>
    <t>Gebäudebetreuung, Garten- und Landschaftsbau|Investitionen|Frühsommer 2025</t>
  </si>
  <si>
    <t>Gebäudebetreuung, Garten- und Landschaftsbau|Investitionen|Herbst 2025</t>
  </si>
  <si>
    <t>Gebäudebetreuung, Garten- und Landschaftsbau|Investitionen|Jahresbeginn 2026</t>
  </si>
  <si>
    <t>Gebäudebetreuung, Garten- und Landschaftsbau|Investitionen|Frühsommer 2026</t>
  </si>
  <si>
    <t>Gebäudebetreuung, Garten- und Landschaftsbau|Investitionen|Herbst 2026</t>
  </si>
  <si>
    <t>Gebäudebetreuung, Garten- und Landschaftsbau|Lage|Jahresbeginn 2024</t>
  </si>
  <si>
    <t>Gebäudebetreuung, Garten- und Landschaftsbau|Lage|Frühsommer 2024</t>
  </si>
  <si>
    <t>Gebäudebetreuung, Garten- und Landschaftsbau|Lage|Herbst 2024</t>
  </si>
  <si>
    <t>Gebäudebetreuung, Garten- und Landschaftsbau|Lage|Jahresbeginn 2025</t>
  </si>
  <si>
    <t>Gebäudebetreuung, Garten- und Landschaftsbau|Lage|Frühsommer 2025</t>
  </si>
  <si>
    <t>Gebäudebetreuung, Garten- und Landschaftsbau|Lage|Herbst 2025</t>
  </si>
  <si>
    <t>Gebäudebetreuung, Garten- und Landschaftsbau|Lage|Jahresbeginn 2026</t>
  </si>
  <si>
    <t>Gebäudebetreuung, Garten- und Landschaftsbau|Lage|Frühsommer 2026</t>
  </si>
  <si>
    <t>Gebäudebetreuung, Garten- und Landschaftsbau|Lage|Herbst 2026</t>
  </si>
  <si>
    <t>Gesundheits- und soziale Dienste|Beschäftigung|Jahresbeginn 2024</t>
  </si>
  <si>
    <t>Gesundheits- und soziale Dienste|Beschäftigung|Frühsommer 2024</t>
  </si>
  <si>
    <t>Gesundheits- und soziale Dienste|Beschäftigung|Herbst 2024</t>
  </si>
  <si>
    <t>Gesundheits- und soziale Dienste|Beschäftigung|Jahresbeginn 2025</t>
  </si>
  <si>
    <t>Gesundheits- und soziale Dienste|Beschäftigung|Frühsommer 2025</t>
  </si>
  <si>
    <t>Gesundheits- und soziale Dienste|Beschäftigung|Herbst 2025</t>
  </si>
  <si>
    <t>Gesundheits- und soziale Dienste|Beschäftigung|Jahresbeginn 2026</t>
  </si>
  <si>
    <t>Gesundheits- und soziale Dienste|Beschäftigung|Frühsommer 2026</t>
  </si>
  <si>
    <t>Gesundheits- und soziale Dienste|Beschäftigung|Herbst 2026</t>
  </si>
  <si>
    <t>Gesundheits- und soziale Dienste|Erwartungen|Jahresbeginn 2024</t>
  </si>
  <si>
    <t>Gesundheits- und soziale Dienste|Erwartungen|Frühsommer 2024</t>
  </si>
  <si>
    <t>Gesundheits- und soziale Dienste|Erwartungen|Herbst 2024</t>
  </si>
  <si>
    <t>Gesundheits- und soziale Dienste|Erwartungen|Jahresbeginn 2025</t>
  </si>
  <si>
    <t>Gesundheits- und soziale Dienste|Erwartungen|Frühsommer 2025</t>
  </si>
  <si>
    <t>Gesundheits- und soziale Dienste|Erwartungen|Herbst 2025</t>
  </si>
  <si>
    <t>Gesundheits- und soziale Dienste|Erwartungen|Jahresbeginn 2026</t>
  </si>
  <si>
    <t>Gesundheits- und soziale Dienste|Erwartungen|Frühsommer 2026</t>
  </si>
  <si>
    <t>Gesundheits- und soziale Dienste|Erwartungen|Herbst 2026</t>
  </si>
  <si>
    <t>Gesundheits- und soziale Dienste|Export|Jahresbeginn 2024</t>
  </si>
  <si>
    <t>Gesundheits- und soziale Dienste|Export|Frühsommer 2024</t>
  </si>
  <si>
    <t>Gesundheits- und soziale Dienste|Export|Herbst 2024</t>
  </si>
  <si>
    <t>Gesundheits- und soziale Dienste|Export|Jahresbeginn 2025</t>
  </si>
  <si>
    <t>Gesundheits- und soziale Dienste|Export|Frühsommer 2025</t>
  </si>
  <si>
    <t>Gesundheits- und soziale Dienste|Export|Herbst 2025</t>
  </si>
  <si>
    <t>Gesundheits- und soziale Dienste|Export|Jahresbeginn 2026</t>
  </si>
  <si>
    <t>Gesundheits- und soziale Dienste|Export|Frühsommer 2026</t>
  </si>
  <si>
    <t>Gesundheits- und soziale Dienste|Export|Herbst 2026</t>
  </si>
  <si>
    <t>Gesundheits- und soziale Dienste|Investitionen|Jahresbeginn 2024</t>
  </si>
  <si>
    <t>Gesundheits- und soziale Dienste|Investitionen|Frühsommer 2024</t>
  </si>
  <si>
    <t>Gesundheits- und soziale Dienste|Investitionen|Herbst 2024</t>
  </si>
  <si>
    <t>Gesundheits- und soziale Dienste|Investitionen|Jahresbeginn 2025</t>
  </si>
  <si>
    <t>Gesundheits- und soziale Dienste|Investitionen|Frühsommer 2025</t>
  </si>
  <si>
    <t>Gesundheits- und soziale Dienste|Investitionen|Herbst 2025</t>
  </si>
  <si>
    <t>Gesundheits- und soziale Dienste|Investitionen|Jahresbeginn 2026</t>
  </si>
  <si>
    <t>Gesundheits- und soziale Dienste|Investitionen|Frühsommer 2026</t>
  </si>
  <si>
    <t>Gesundheits- und soziale Dienste|Investitionen|Herbst 2026</t>
  </si>
  <si>
    <t>Gesundheits- und soziale Dienste|Lage|Jahresbeginn 2024</t>
  </si>
  <si>
    <t>Gesundheits- und soziale Dienste|Lage|Frühsommer 2024</t>
  </si>
  <si>
    <t>Gesundheits- und soziale Dienste|Lage|Herbst 2024</t>
  </si>
  <si>
    <t>Gesundheits- und soziale Dienste|Lage|Jahresbeginn 2025</t>
  </si>
  <si>
    <t>Gesundheits- und soziale Dienste|Lage|Frühsommer 2025</t>
  </si>
  <si>
    <t>Gesundheits- und soziale Dienste|Lage|Herbst 2025</t>
  </si>
  <si>
    <t>Gesundheits- und soziale Dienste|Lage|Jahresbeginn 2026</t>
  </si>
  <si>
    <t>Gesundheits- und soziale Dienste|Lage|Frühsommer 2026</t>
  </si>
  <si>
    <t>Gesundheits- und soziale Dienste|Lage|Herbst 2026</t>
  </si>
  <si>
    <t>Getränkeindustrie|Beschäftigung|Jahresbeginn 2024</t>
  </si>
  <si>
    <t>Getränkeindustrie|Beschäftigung|Frühsommer 2024</t>
  </si>
  <si>
    <t>Getränkeindustrie|Beschäftigung|Herbst 2024</t>
  </si>
  <si>
    <t>Getränkeindustrie|Beschäftigung|Jahresbeginn 2025</t>
  </si>
  <si>
    <t>Getränkeindustrie|Beschäftigung|Frühsommer 2025</t>
  </si>
  <si>
    <t>Getränkeindustrie|Beschäftigung|Herbst 2025</t>
  </si>
  <si>
    <t>Getränkeindustrie|Beschäftigung|Jahresbeginn 2026</t>
  </si>
  <si>
    <t>Getränkeindustrie|Beschäftigung|Frühsommer 2026</t>
  </si>
  <si>
    <t>Getränkeindustrie|Beschäftigung|Herbst 2026</t>
  </si>
  <si>
    <t>Getränkeindustrie|Erwartungen|Jahresbeginn 2024</t>
  </si>
  <si>
    <t>Getränkeindustrie|Erwartungen|Frühsommer 2024</t>
  </si>
  <si>
    <t>Getränkeindustrie|Erwartungen|Herbst 2024</t>
  </si>
  <si>
    <t>Getränkeindustrie|Erwartungen|Jahresbeginn 2025</t>
  </si>
  <si>
    <t>Getränkeindustrie|Erwartungen|Frühsommer 2025</t>
  </si>
  <si>
    <t>Getränkeindustrie|Erwartungen|Herbst 2025</t>
  </si>
  <si>
    <t>Getränkeindustrie|Erwartungen|Jahresbeginn 2026</t>
  </si>
  <si>
    <t>Getränkeindustrie|Erwartungen|Frühsommer 2026</t>
  </si>
  <si>
    <t>Getränkeindustrie|Erwartungen|Herbst 2026</t>
  </si>
  <si>
    <t>Getränkeindustrie|Export|Jahresbeginn 2024</t>
  </si>
  <si>
    <t>Getränkeindustrie|Export|Frühsommer 2024</t>
  </si>
  <si>
    <t>Getränkeindustrie|Export|Herbst 2024</t>
  </si>
  <si>
    <t>Getränkeindustrie|Export|Jahresbeginn 2025</t>
  </si>
  <si>
    <t>Getränkeindustrie|Export|Frühsommer 2025</t>
  </si>
  <si>
    <t>Getränkeindustrie|Export|Herbst 2025</t>
  </si>
  <si>
    <t>Getränkeindustrie|Export|Jahresbeginn 2026</t>
  </si>
  <si>
    <t>Getränkeindustrie|Export|Frühsommer 2026</t>
  </si>
  <si>
    <t>Getränkeindustrie|Export|Herbst 2026</t>
  </si>
  <si>
    <t>Getränkeindustrie|Investitionen|Jahresbeginn 2024</t>
  </si>
  <si>
    <t>Getränkeindustrie|Investitionen|Frühsommer 2024</t>
  </si>
  <si>
    <t>Getränkeindustrie|Investitionen|Herbst 2024</t>
  </si>
  <si>
    <t>Getränkeindustrie|Investitionen|Jahresbeginn 2025</t>
  </si>
  <si>
    <t>Getränkeindustrie|Investitionen|Frühsommer 2025</t>
  </si>
  <si>
    <t>Getränkeindustrie|Investitionen|Herbst 2025</t>
  </si>
  <si>
    <t>Getränkeindustrie|Investitionen|Jahresbeginn 2026</t>
  </si>
  <si>
    <t>Getränkeindustrie|Investitionen|Frühsommer 2026</t>
  </si>
  <si>
    <t>Getränkeindustrie|Investitionen|Herbst 2026</t>
  </si>
  <si>
    <t>Getränkeindustrie|Lage|Jahresbeginn 2024</t>
  </si>
  <si>
    <t>Getränkeindustrie|Lage|Frühsommer 2024</t>
  </si>
  <si>
    <t>Getränkeindustrie|Lage|Herbst 2024</t>
  </si>
  <si>
    <t>Getränkeindustrie|Lage|Jahresbeginn 2025</t>
  </si>
  <si>
    <t>Getränkeindustrie|Lage|Frühsommer 2025</t>
  </si>
  <si>
    <t>Getränkeindustrie|Lage|Herbst 2025</t>
  </si>
  <si>
    <t>Getränkeindustrie|Lage|Jahresbeginn 2026</t>
  </si>
  <si>
    <t>Getränkeindustrie|Lage|Frühsommer 2026</t>
  </si>
  <si>
    <t>Getränkeindustrie|Lage|Herbst 2026</t>
  </si>
  <si>
    <t>Gewinnung von Steinen und Erden, Bergbau|Beschäftigung|Jahresbeginn 2024</t>
  </si>
  <si>
    <t>Gewinnung von Steinen und Erden, Bergbau|Beschäftigung|Frühsommer 2024</t>
  </si>
  <si>
    <t>Gewinnung von Steinen und Erden, Bergbau|Beschäftigung|Herbst 2024</t>
  </si>
  <si>
    <t>Gewinnung von Steinen und Erden, Bergbau|Beschäftigung|Jahresbeginn 2025</t>
  </si>
  <si>
    <t>Gewinnung von Steinen und Erden, Bergbau|Beschäftigung|Frühsommer 2025</t>
  </si>
  <si>
    <t>Gewinnung von Steinen und Erden, Bergbau|Beschäftigung|Herbst 2025</t>
  </si>
  <si>
    <t>Gewinnung von Steinen und Erden, Bergbau|Beschäftigung|Jahresbeginn 2026</t>
  </si>
  <si>
    <t>Gewinnung von Steinen und Erden, Bergbau|Beschäftigung|Frühsommer 2026</t>
  </si>
  <si>
    <t>Gewinnung von Steinen und Erden, Bergbau|Beschäftigung|Herbst 2026</t>
  </si>
  <si>
    <t>Gewinnung von Steinen und Erden, Bergbau|Erwartungen|Jahresbeginn 2024</t>
  </si>
  <si>
    <t>Gewinnung von Steinen und Erden, Bergbau|Erwartungen|Frühsommer 2024</t>
  </si>
  <si>
    <t>Gewinnung von Steinen und Erden, Bergbau|Erwartungen|Herbst 2024</t>
  </si>
  <si>
    <t>Gewinnung von Steinen und Erden, Bergbau|Erwartungen|Jahresbeginn 2025</t>
  </si>
  <si>
    <t>Gewinnung von Steinen und Erden, Bergbau|Erwartungen|Frühsommer 2025</t>
  </si>
  <si>
    <t>Gewinnung von Steinen und Erden, Bergbau|Erwartungen|Herbst 2025</t>
  </si>
  <si>
    <t>Gewinnung von Steinen und Erden, Bergbau|Erwartungen|Jahresbeginn 2026</t>
  </si>
  <si>
    <t>Gewinnung von Steinen und Erden, Bergbau|Erwartungen|Frühsommer 2026</t>
  </si>
  <si>
    <t>Gewinnung von Steinen und Erden, Bergbau|Erwartungen|Herbst 2026</t>
  </si>
  <si>
    <t>Gewinnung von Steinen und Erden, Bergbau|Export|Jahresbeginn 2024</t>
  </si>
  <si>
    <t>Gewinnung von Steinen und Erden, Bergbau|Export|Frühsommer 2024</t>
  </si>
  <si>
    <t>Gewinnung von Steinen und Erden, Bergbau|Export|Herbst 2024</t>
  </si>
  <si>
    <t>Gewinnung von Steinen und Erden, Bergbau|Export|Jahresbeginn 2025</t>
  </si>
  <si>
    <t>Gewinnung von Steinen und Erden, Bergbau|Export|Frühsommer 2025</t>
  </si>
  <si>
    <t>Gewinnung von Steinen und Erden, Bergbau|Export|Herbst 2025</t>
  </si>
  <si>
    <t>Gewinnung von Steinen und Erden, Bergbau|Export|Jahresbeginn 2026</t>
  </si>
  <si>
    <t>Gewinnung von Steinen und Erden, Bergbau|Export|Frühsommer 2026</t>
  </si>
  <si>
    <t>Gewinnung von Steinen und Erden, Bergbau|Export|Herbst 2026</t>
  </si>
  <si>
    <t>Gewinnung von Steinen und Erden, Bergbau|Investitionen|Jahresbeginn 2024</t>
  </si>
  <si>
    <t>Gewinnung von Steinen und Erden, Bergbau|Investitionen|Frühsommer 2024</t>
  </si>
  <si>
    <t>Gewinnung von Steinen und Erden, Bergbau|Investitionen|Herbst 2024</t>
  </si>
  <si>
    <t>Gewinnung von Steinen und Erden, Bergbau|Investitionen|Jahresbeginn 2025</t>
  </si>
  <si>
    <t>Gewinnung von Steinen und Erden, Bergbau|Investitionen|Frühsommer 2025</t>
  </si>
  <si>
    <t>Gewinnung von Steinen und Erden, Bergbau|Investitionen|Herbst 2025</t>
  </si>
  <si>
    <t>Gewinnung von Steinen und Erden, Bergbau|Investitionen|Jahresbeginn 2026</t>
  </si>
  <si>
    <t>Gewinnung von Steinen und Erden, Bergbau|Investitionen|Frühsommer 2026</t>
  </si>
  <si>
    <t>Gewinnung von Steinen und Erden, Bergbau|Investitionen|Herbst 2026</t>
  </si>
  <si>
    <t>Gewinnung von Steinen und Erden, Bergbau|Lage|Jahresbeginn 2024</t>
  </si>
  <si>
    <t>Gewinnung von Steinen und Erden, Bergbau|Lage|Frühsommer 2024</t>
  </si>
  <si>
    <t>Gewinnung von Steinen und Erden, Bergbau|Lage|Herbst 2024</t>
  </si>
  <si>
    <t>Gewinnung von Steinen und Erden, Bergbau|Lage|Jahresbeginn 2025</t>
  </si>
  <si>
    <t>Gewinnung von Steinen und Erden, Bergbau|Lage|Frühsommer 2025</t>
  </si>
  <si>
    <t>Gewinnung von Steinen und Erden, Bergbau|Lage|Herbst 2025</t>
  </si>
  <si>
    <t>Gewinnung von Steinen und Erden, Bergbau|Lage|Jahresbeginn 2026</t>
  </si>
  <si>
    <t>Gewinnung von Steinen und Erden, Bergbau|Lage|Frühsommer 2026</t>
  </si>
  <si>
    <t>Gewinnung von Steinen und Erden, Bergbau|Lage|Herbst 2026</t>
  </si>
  <si>
    <t>Glas, Keramik, Steineverarbeitung|Beschäftigung|Jahresbeginn 2024</t>
  </si>
  <si>
    <t>Glas, Keramik, Steineverarbeitung|Beschäftigung|Frühsommer 2024</t>
  </si>
  <si>
    <t>Glas, Keramik, Steineverarbeitung|Beschäftigung|Herbst 2024</t>
  </si>
  <si>
    <t>Glas, Keramik, Steineverarbeitung|Beschäftigung|Jahresbeginn 2025</t>
  </si>
  <si>
    <t>Glas, Keramik, Steineverarbeitung|Beschäftigung|Frühsommer 2025</t>
  </si>
  <si>
    <t>Glas, Keramik, Steineverarbeitung|Beschäftigung|Herbst 2025</t>
  </si>
  <si>
    <t>Glas, Keramik, Steineverarbeitung|Beschäftigung|Jahresbeginn 2026</t>
  </si>
  <si>
    <t>Glas, Keramik, Steineverarbeitung|Beschäftigung|Frühsommer 2026</t>
  </si>
  <si>
    <t>Glas, Keramik, Steineverarbeitung|Beschäftigung|Herbst 2026</t>
  </si>
  <si>
    <t>Glas, Keramik, Steineverarbeitung|Erwartungen|Jahresbeginn 2024</t>
  </si>
  <si>
    <t>Glas, Keramik, Steineverarbeitung|Erwartungen|Frühsommer 2024</t>
  </si>
  <si>
    <t>Glas, Keramik, Steineverarbeitung|Erwartungen|Herbst 2024</t>
  </si>
  <si>
    <t>Glas, Keramik, Steineverarbeitung|Erwartungen|Jahresbeginn 2025</t>
  </si>
  <si>
    <t>Glas, Keramik, Steineverarbeitung|Erwartungen|Frühsommer 2025</t>
  </si>
  <si>
    <t>Glas, Keramik, Steineverarbeitung|Erwartungen|Herbst 2025</t>
  </si>
  <si>
    <t>Glas, Keramik, Steineverarbeitung|Erwartungen|Jahresbeginn 2026</t>
  </si>
  <si>
    <t>Glas, Keramik, Steineverarbeitung|Erwartungen|Frühsommer 2026</t>
  </si>
  <si>
    <t>Glas, Keramik, Steineverarbeitung|Erwartungen|Herbst 2026</t>
  </si>
  <si>
    <t>Glas, Keramik, Steineverarbeitung|Export|Jahresbeginn 2024</t>
  </si>
  <si>
    <t>Glas, Keramik, Steineverarbeitung|Export|Frühsommer 2024</t>
  </si>
  <si>
    <t>Glas, Keramik, Steineverarbeitung|Export|Herbst 2024</t>
  </si>
  <si>
    <t>Glas, Keramik, Steineverarbeitung|Export|Jahresbeginn 2025</t>
  </si>
  <si>
    <t>Glas, Keramik, Steineverarbeitung|Export|Frühsommer 2025</t>
  </si>
  <si>
    <t>Glas, Keramik, Steineverarbeitung|Export|Herbst 2025</t>
  </si>
  <si>
    <t>Glas, Keramik, Steineverarbeitung|Export|Jahresbeginn 2026</t>
  </si>
  <si>
    <t>Glas, Keramik, Steineverarbeitung|Export|Frühsommer 2026</t>
  </si>
  <si>
    <t>Glas, Keramik, Steineverarbeitung|Export|Herbst 2026</t>
  </si>
  <si>
    <t>Glas, Keramik, Steineverarbeitung|Investitionen|Jahresbeginn 2024</t>
  </si>
  <si>
    <t>Glas, Keramik, Steineverarbeitung|Investitionen|Frühsommer 2024</t>
  </si>
  <si>
    <t>Glas, Keramik, Steineverarbeitung|Investitionen|Herbst 2024</t>
  </si>
  <si>
    <t>Glas, Keramik, Steineverarbeitung|Investitionen|Jahresbeginn 2025</t>
  </si>
  <si>
    <t>Glas, Keramik, Steineverarbeitung|Investitionen|Frühsommer 2025</t>
  </si>
  <si>
    <t>Glas, Keramik, Steineverarbeitung|Investitionen|Herbst 2025</t>
  </si>
  <si>
    <t>Glas, Keramik, Steineverarbeitung|Investitionen|Jahresbeginn 2026</t>
  </si>
  <si>
    <t>Glas, Keramik, Steineverarbeitung|Investitionen|Frühsommer 2026</t>
  </si>
  <si>
    <t>Glas, Keramik, Steineverarbeitung|Investitionen|Herbst 2026</t>
  </si>
  <si>
    <t>Glas, Keramik, Steineverarbeitung|Lage|Jahresbeginn 2024</t>
  </si>
  <si>
    <t>Glas, Keramik, Steineverarbeitung|Lage|Frühsommer 2024</t>
  </si>
  <si>
    <t>Glas, Keramik, Steineverarbeitung|Lage|Herbst 2024</t>
  </si>
  <si>
    <t>Glas, Keramik, Steineverarbeitung|Lage|Jahresbeginn 2025</t>
  </si>
  <si>
    <t>Glas, Keramik, Steineverarbeitung|Lage|Frühsommer 2025</t>
  </si>
  <si>
    <t>Glas, Keramik, Steineverarbeitung|Lage|Herbst 2025</t>
  </si>
  <si>
    <t>Glas, Keramik, Steineverarbeitung|Lage|Jahresbeginn 2026</t>
  </si>
  <si>
    <t>Glas, Keramik, Steineverarbeitung|Lage|Frühsommer 2026</t>
  </si>
  <si>
    <t>Glas, Keramik, Steineverarbeitung|Lage|Herbst 2026</t>
  </si>
  <si>
    <t>Großhandel und Handelsvermittlung|Beschäftigung|Jahresbeginn 2024</t>
  </si>
  <si>
    <t>Großhandel und Handelsvermittlung|Beschäftigung|Frühsommer 2024</t>
  </si>
  <si>
    <t>Großhandel und Handelsvermittlung|Beschäftigung|Herbst 2024</t>
  </si>
  <si>
    <t>Großhandel und Handelsvermittlung|Beschäftigung|Jahresbeginn 2025</t>
  </si>
  <si>
    <t>Großhandel und Handelsvermittlung|Beschäftigung|Frühsommer 2025</t>
  </si>
  <si>
    <t>Großhandel und Handelsvermittlung|Beschäftigung|Herbst 2025</t>
  </si>
  <si>
    <t>Großhandel und Handelsvermittlung|Beschäftigung|Jahresbeginn 2026</t>
  </si>
  <si>
    <t>Großhandel und Handelsvermittlung|Beschäftigung|Frühsommer 2026</t>
  </si>
  <si>
    <t>Großhandel und Handelsvermittlung|Beschäftigung|Herbst 2026</t>
  </si>
  <si>
    <t>Großhandel und Handelsvermittlung|Erwartungen|Jahresbeginn 2024</t>
  </si>
  <si>
    <t>Großhandel und Handelsvermittlung|Erwartungen|Frühsommer 2024</t>
  </si>
  <si>
    <t>Großhandel und Handelsvermittlung|Erwartungen|Herbst 2024</t>
  </si>
  <si>
    <t>Großhandel und Handelsvermittlung|Erwartungen|Jahresbeginn 2025</t>
  </si>
  <si>
    <t>Großhandel und Handelsvermittlung|Erwartungen|Frühsommer 2025</t>
  </si>
  <si>
    <t>Großhandel und Handelsvermittlung|Erwartungen|Herbst 2025</t>
  </si>
  <si>
    <t>Großhandel und Handelsvermittlung|Erwartungen|Jahresbeginn 2026</t>
  </si>
  <si>
    <t>Großhandel und Handelsvermittlung|Erwartungen|Frühsommer 2026</t>
  </si>
  <si>
    <t>Großhandel und Handelsvermittlung|Erwartungen|Herbst 2026</t>
  </si>
  <si>
    <t>Großhandel und Handelsvermittlung|Export|Jahresbeginn 2024</t>
  </si>
  <si>
    <t>Großhandel und Handelsvermittlung|Export|Frühsommer 2024</t>
  </si>
  <si>
    <t>Großhandel und Handelsvermittlung|Export|Herbst 2024</t>
  </si>
  <si>
    <t>Großhandel und Handelsvermittlung|Export|Jahresbeginn 2025</t>
  </si>
  <si>
    <t>Großhandel und Handelsvermittlung|Export|Frühsommer 2025</t>
  </si>
  <si>
    <t>Großhandel und Handelsvermittlung|Export|Herbst 2025</t>
  </si>
  <si>
    <t>Großhandel und Handelsvermittlung|Export|Jahresbeginn 2026</t>
  </si>
  <si>
    <t>Großhandel und Handelsvermittlung|Export|Frühsommer 2026</t>
  </si>
  <si>
    <t>Großhandel und Handelsvermittlung|Export|Herbst 2026</t>
  </si>
  <si>
    <t>Großhandel und Handelsvermittlung|Investitionen|Jahresbeginn 2024</t>
  </si>
  <si>
    <t>Großhandel und Handelsvermittlung|Investitionen|Frühsommer 2024</t>
  </si>
  <si>
    <t>Großhandel und Handelsvermittlung|Investitionen|Herbst 2024</t>
  </si>
  <si>
    <t>Großhandel und Handelsvermittlung|Investitionen|Jahresbeginn 2025</t>
  </si>
  <si>
    <t>Großhandel und Handelsvermittlung|Investitionen|Frühsommer 2025</t>
  </si>
  <si>
    <t>Großhandel und Handelsvermittlung|Investitionen|Herbst 2025</t>
  </si>
  <si>
    <t>Großhandel und Handelsvermittlung|Investitionen|Jahresbeginn 2026</t>
  </si>
  <si>
    <t>Großhandel und Handelsvermittlung|Investitionen|Frühsommer 2026</t>
  </si>
  <si>
    <t>Großhandel und Handelsvermittlung|Investitionen|Herbst 2026</t>
  </si>
  <si>
    <t>Großhandel und Handelsvermittlung|Lage|Jahresbeginn 2024</t>
  </si>
  <si>
    <t>Großhandel und Handelsvermittlung|Lage|Frühsommer 2024</t>
  </si>
  <si>
    <t>Großhandel und Handelsvermittlung|Lage|Herbst 2024</t>
  </si>
  <si>
    <t>Großhandel und Handelsvermittlung|Lage|Jahresbeginn 2025</t>
  </si>
  <si>
    <t>Großhandel und Handelsvermittlung|Lage|Frühsommer 2025</t>
  </si>
  <si>
    <t>Großhandel und Handelsvermittlung|Lage|Herbst 2025</t>
  </si>
  <si>
    <t>Großhandel und Handelsvermittlung|Lage|Jahresbeginn 2026</t>
  </si>
  <si>
    <t>Großhandel und Handelsvermittlung|Lage|Frühsommer 2026</t>
  </si>
  <si>
    <t>Großhandel und Handelsvermittlung|Lage|Herbst 2026</t>
  </si>
  <si>
    <t>Gummi- und Kunststoffindustrie|Beschäftigung|Jahresbeginn 2024</t>
  </si>
  <si>
    <t>Gummi- und Kunststoffindustrie|Beschäftigung|Frühsommer 2024</t>
  </si>
  <si>
    <t>Gummi- und Kunststoffindustrie|Beschäftigung|Herbst 2024</t>
  </si>
  <si>
    <t>Gummi- und Kunststoffindustrie|Beschäftigung|Jahresbeginn 2025</t>
  </si>
  <si>
    <t>Gummi- und Kunststoffindustrie|Beschäftigung|Frühsommer 2025</t>
  </si>
  <si>
    <t>Gummi- und Kunststoffindustrie|Beschäftigung|Herbst 2025</t>
  </si>
  <si>
    <t>Gummi- und Kunststoffindustrie|Beschäftigung|Jahresbeginn 2026</t>
  </si>
  <si>
    <t>Gummi- und Kunststoffindustrie|Beschäftigung|Frühsommer 2026</t>
  </si>
  <si>
    <t>Gummi- und Kunststoffindustrie|Beschäftigung|Herbst 2026</t>
  </si>
  <si>
    <t>Gummi- und Kunststoffindustrie|Erwartungen|Jahresbeginn 2024</t>
  </si>
  <si>
    <t>Gummi- und Kunststoffindustrie|Erwartungen|Frühsommer 2024</t>
  </si>
  <si>
    <t>Gummi- und Kunststoffindustrie|Erwartungen|Herbst 2024</t>
  </si>
  <si>
    <t>Gummi- und Kunststoffindustrie|Erwartungen|Jahresbeginn 2025</t>
  </si>
  <si>
    <t>Gummi- und Kunststoffindustrie|Erwartungen|Frühsommer 2025</t>
  </si>
  <si>
    <t>Gummi- und Kunststoffindustrie|Erwartungen|Herbst 2025</t>
  </si>
  <si>
    <t>Gummi- und Kunststoffindustrie|Erwartungen|Jahresbeginn 2026</t>
  </si>
  <si>
    <t>Gummi- und Kunststoffindustrie|Erwartungen|Frühsommer 2026</t>
  </si>
  <si>
    <t>Gummi- und Kunststoffindustrie|Erwartungen|Herbst 2026</t>
  </si>
  <si>
    <t>Gummi- und Kunststoffindustrie|Export|Jahresbeginn 2024</t>
  </si>
  <si>
    <t>Gummi- und Kunststoffindustrie|Export|Frühsommer 2024</t>
  </si>
  <si>
    <t>Gummi- und Kunststoffindustrie|Export|Herbst 2024</t>
  </si>
  <si>
    <t>Gummi- und Kunststoffindustrie|Export|Jahresbeginn 2025</t>
  </si>
  <si>
    <t>Gummi- und Kunststoffindustrie|Export|Frühsommer 2025</t>
  </si>
  <si>
    <t>Gummi- und Kunststoffindustrie|Export|Herbst 2025</t>
  </si>
  <si>
    <t>Gummi- und Kunststoffindustrie|Export|Jahresbeginn 2026</t>
  </si>
  <si>
    <t>Gummi- und Kunststoffindustrie|Export|Frühsommer 2026</t>
  </si>
  <si>
    <t>Gummi- und Kunststoffindustrie|Export|Herbst 2026</t>
  </si>
  <si>
    <t>Gummi- und Kunststoffindustrie|Investitionen|Jahresbeginn 2024</t>
  </si>
  <si>
    <t>Gummi- und Kunststoffindustrie|Investitionen|Frühsommer 2024</t>
  </si>
  <si>
    <t>Gummi- und Kunststoffindustrie|Investitionen|Herbst 2024</t>
  </si>
  <si>
    <t>Gummi- und Kunststoffindustrie|Investitionen|Jahresbeginn 2025</t>
  </si>
  <si>
    <t>Gummi- und Kunststoffindustrie|Investitionen|Frühsommer 2025</t>
  </si>
  <si>
    <t>Gummi- und Kunststoffindustrie|Investitionen|Herbst 2025</t>
  </si>
  <si>
    <t>Gummi- und Kunststoffindustrie|Investitionen|Jahresbeginn 2026</t>
  </si>
  <si>
    <t>Gummi- und Kunststoffindustrie|Investitionen|Frühsommer 2026</t>
  </si>
  <si>
    <t>Gummi- und Kunststoffindustrie|Investitionen|Herbst 2026</t>
  </si>
  <si>
    <t>Gummi- und Kunststoffindustrie|Lage|Jahresbeginn 2024</t>
  </si>
  <si>
    <t>Gummi- und Kunststoffindustrie|Lage|Frühsommer 2024</t>
  </si>
  <si>
    <t>Gummi- und Kunststoffindustrie|Lage|Herbst 2024</t>
  </si>
  <si>
    <t>Gummi- und Kunststoffindustrie|Lage|Jahresbeginn 2025</t>
  </si>
  <si>
    <t>Gummi- und Kunststoffindustrie|Lage|Frühsommer 2025</t>
  </si>
  <si>
    <t>Gummi- und Kunststoffindustrie|Lage|Herbst 2025</t>
  </si>
  <si>
    <t>Gummi- und Kunststoffindustrie|Lage|Jahresbeginn 2026</t>
  </si>
  <si>
    <t>Gummi- und Kunststoffindustrie|Lage|Frühsommer 2026</t>
  </si>
  <si>
    <t>Gummi- und Kunststoffindustrie|Lage|Herbst 2026</t>
  </si>
  <si>
    <t>Handel|Beschäftigung|Jahresbeginn 2024</t>
  </si>
  <si>
    <t>Handel|Beschäftigung|Frühsommer 2024</t>
  </si>
  <si>
    <t>Handel|Beschäftigung|Herbst 2024</t>
  </si>
  <si>
    <t>Handel|Beschäftigung|Jahresbeginn 2025</t>
  </si>
  <si>
    <t>Handel|Beschäftigung|Frühsommer 2025</t>
  </si>
  <si>
    <t>Handel|Beschäftigung|Herbst 2025</t>
  </si>
  <si>
    <t>Handel|Beschäftigung|Jahresbeginn 2026</t>
  </si>
  <si>
    <t>Handel|Beschäftigung|Frühsommer 2026</t>
  </si>
  <si>
    <t>Handel|Beschäftigung|Herbst 2026</t>
  </si>
  <si>
    <t>Handel|Erwartungen|Jahresbeginn 2024</t>
  </si>
  <si>
    <t>Handel|Erwartungen|Frühsommer 2024</t>
  </si>
  <si>
    <t>Handel|Erwartungen|Herbst 2024</t>
  </si>
  <si>
    <t>Handel|Erwartungen|Jahresbeginn 2025</t>
  </si>
  <si>
    <t>Handel|Erwartungen|Frühsommer 2025</t>
  </si>
  <si>
    <t>Handel|Erwartungen|Herbst 2025</t>
  </si>
  <si>
    <t>Handel|Erwartungen|Jahresbeginn 2026</t>
  </si>
  <si>
    <t>Handel|Erwartungen|Frühsommer 2026</t>
  </si>
  <si>
    <t>Handel|Erwartungen|Herbst 2026</t>
  </si>
  <si>
    <t>Handel|Export|Jahresbeginn 2024</t>
  </si>
  <si>
    <t>Handel|Export|Frühsommer 2024</t>
  </si>
  <si>
    <t>Handel|Export|Herbst 2024</t>
  </si>
  <si>
    <t>Handel|Export|Jahresbeginn 2025</t>
  </si>
  <si>
    <t>Handel|Export|Frühsommer 2025</t>
  </si>
  <si>
    <t>Handel|Export|Herbst 2025</t>
  </si>
  <si>
    <t>Handel|Export|Jahresbeginn 2026</t>
  </si>
  <si>
    <t>Handel|Export|Frühsommer 2026</t>
  </si>
  <si>
    <t>Handel|Export|Herbst 2026</t>
  </si>
  <si>
    <t>Handel|Investitionen|Jahresbeginn 2024</t>
  </si>
  <si>
    <t>Handel|Investitionen|Frühsommer 2024</t>
  </si>
  <si>
    <t>Handel|Investitionen|Herbst 2024</t>
  </si>
  <si>
    <t>Handel|Investitionen|Jahresbeginn 2025</t>
  </si>
  <si>
    <t>Handel|Investitionen|Frühsommer 2025</t>
  </si>
  <si>
    <t>Handel|Investitionen|Herbst 2025</t>
  </si>
  <si>
    <t>Handel|Investitionen|Jahresbeginn 2026</t>
  </si>
  <si>
    <t>Handel|Investitionen|Frühsommer 2026</t>
  </si>
  <si>
    <t>Handel|Investitionen|Herbst 2026</t>
  </si>
  <si>
    <t>Handel|Lage|Jahresbeginn 2024</t>
  </si>
  <si>
    <t>Handel|Lage|Frühsommer 2024</t>
  </si>
  <si>
    <t>Handel|Lage|Herbst 2024</t>
  </si>
  <si>
    <t>Handel|Lage|Jahresbeginn 2025</t>
  </si>
  <si>
    <t>Handel|Lage|Frühsommer 2025</t>
  </si>
  <si>
    <t>Handel|Lage|Herbst 2025</t>
  </si>
  <si>
    <t>Handel|Lage|Jahresbeginn 2026</t>
  </si>
  <si>
    <t>Handel|Lage|Frühsommer 2026</t>
  </si>
  <si>
    <t>Handel|Lage|Herbst 2026</t>
  </si>
  <si>
    <t>Hochbau|Beschäftigung|Jahresbeginn 2024</t>
  </si>
  <si>
    <t>Hochbau|Beschäftigung|Frühsommer 2024</t>
  </si>
  <si>
    <t>Hochbau|Beschäftigung|Herbst 2024</t>
  </si>
  <si>
    <t>Hochbau|Beschäftigung|Jahresbeginn 2025</t>
  </si>
  <si>
    <t>Hochbau|Beschäftigung|Frühsommer 2025</t>
  </si>
  <si>
    <t>Hochbau|Beschäftigung|Herbst 2025</t>
  </si>
  <si>
    <t>Hochbau|Beschäftigung|Jahresbeginn 2026</t>
  </si>
  <si>
    <t>Hochbau|Beschäftigung|Frühsommer 2026</t>
  </si>
  <si>
    <t>Hochbau|Beschäftigung|Herbst 2026</t>
  </si>
  <si>
    <t>Hochbau|Erwartungen|Jahresbeginn 2024</t>
  </si>
  <si>
    <t>Hochbau|Erwartungen|Frühsommer 2024</t>
  </si>
  <si>
    <t>Hochbau|Erwartungen|Herbst 2024</t>
  </si>
  <si>
    <t>Hochbau|Erwartungen|Jahresbeginn 2025</t>
  </si>
  <si>
    <t>Hochbau|Erwartungen|Frühsommer 2025</t>
  </si>
  <si>
    <t>Hochbau|Erwartungen|Herbst 2025</t>
  </si>
  <si>
    <t>Hochbau|Erwartungen|Jahresbeginn 2026</t>
  </si>
  <si>
    <t>Hochbau|Erwartungen|Frühsommer 2026</t>
  </si>
  <si>
    <t>Hochbau|Erwartungen|Herbst 2026</t>
  </si>
  <si>
    <t>Hochbau|Export|Jahresbeginn 2024</t>
  </si>
  <si>
    <t>Hochbau|Export|Frühsommer 2024</t>
  </si>
  <si>
    <t>Hochbau|Export|Herbst 2024</t>
  </si>
  <si>
    <t>Hochbau|Export|Jahresbeginn 2025</t>
  </si>
  <si>
    <t>Hochbau|Export|Frühsommer 2025</t>
  </si>
  <si>
    <t>Hochbau|Export|Herbst 2025</t>
  </si>
  <si>
    <t>Hochbau|Export|Jahresbeginn 2026</t>
  </si>
  <si>
    <t>Hochbau|Export|Frühsommer 2026</t>
  </si>
  <si>
    <t>Hochbau|Export|Herbst 2026</t>
  </si>
  <si>
    <t>Hochbau|Investitionen|Jahresbeginn 2024</t>
  </si>
  <si>
    <t>Hochbau|Investitionen|Frühsommer 2024</t>
  </si>
  <si>
    <t>Hochbau|Investitionen|Herbst 2024</t>
  </si>
  <si>
    <t>Hochbau|Investitionen|Jahresbeginn 2025</t>
  </si>
  <si>
    <t>Hochbau|Investitionen|Frühsommer 2025</t>
  </si>
  <si>
    <t>Hochbau|Investitionen|Herbst 2025</t>
  </si>
  <si>
    <t>Hochbau|Investitionen|Jahresbeginn 2026</t>
  </si>
  <si>
    <t>Hochbau|Investitionen|Frühsommer 2026</t>
  </si>
  <si>
    <t>Hochbau|Investitionen|Herbst 2026</t>
  </si>
  <si>
    <t>Hochbau|Lage|Jahresbeginn 2024</t>
  </si>
  <si>
    <t>Hochbau|Lage|Frühsommer 2024</t>
  </si>
  <si>
    <t>Hochbau|Lage|Herbst 2024</t>
  </si>
  <si>
    <t>Hochbau|Lage|Jahresbeginn 2025</t>
  </si>
  <si>
    <t>Hochbau|Lage|Frühsommer 2025</t>
  </si>
  <si>
    <t>Hochbau|Lage|Herbst 2025</t>
  </si>
  <si>
    <t>Hochbau|Lage|Jahresbeginn 2026</t>
  </si>
  <si>
    <t>Hochbau|Lage|Frühsommer 2026</t>
  </si>
  <si>
    <t>Hochbau|Lage|Herbst 2026</t>
  </si>
  <si>
    <t>Holzgewerbe (ohne Möbel)|Beschäftigung|Jahresbeginn 2024</t>
  </si>
  <si>
    <t>Holzgewerbe (ohne Möbel)|Beschäftigung|Frühsommer 2024</t>
  </si>
  <si>
    <t>Holzgewerbe (ohne Möbel)|Beschäftigung|Herbst 2024</t>
  </si>
  <si>
    <t>Holzgewerbe (ohne Möbel)|Beschäftigung|Jahresbeginn 2025</t>
  </si>
  <si>
    <t>Holzgewerbe (ohne Möbel)|Beschäftigung|Frühsommer 2025</t>
  </si>
  <si>
    <t>Holzgewerbe (ohne Möbel)|Beschäftigung|Herbst 2025</t>
  </si>
  <si>
    <t>Holzgewerbe (ohne Möbel)|Beschäftigung|Jahresbeginn 2026</t>
  </si>
  <si>
    <t>Holzgewerbe (ohne Möbel)|Beschäftigung|Frühsommer 2026</t>
  </si>
  <si>
    <t>Holzgewerbe (ohne Möbel)|Beschäftigung|Herbst 2026</t>
  </si>
  <si>
    <t>Holzgewerbe (ohne Möbel)|Erwartungen|Jahresbeginn 2024</t>
  </si>
  <si>
    <t>Holzgewerbe (ohne Möbel)|Erwartungen|Frühsommer 2024</t>
  </si>
  <si>
    <t>Holzgewerbe (ohne Möbel)|Erwartungen|Herbst 2024</t>
  </si>
  <si>
    <t>Holzgewerbe (ohne Möbel)|Erwartungen|Jahresbeginn 2025</t>
  </si>
  <si>
    <t>Holzgewerbe (ohne Möbel)|Erwartungen|Frühsommer 2025</t>
  </si>
  <si>
    <t>Holzgewerbe (ohne Möbel)|Erwartungen|Herbst 2025</t>
  </si>
  <si>
    <t>Holzgewerbe (ohne Möbel)|Erwartungen|Jahresbeginn 2026</t>
  </si>
  <si>
    <t>Holzgewerbe (ohne Möbel)|Erwartungen|Frühsommer 2026</t>
  </si>
  <si>
    <t>Holzgewerbe (ohne Möbel)|Erwartungen|Herbst 2026</t>
  </si>
  <si>
    <t>Holzgewerbe (ohne Möbel)|Export|Jahresbeginn 2024</t>
  </si>
  <si>
    <t>Holzgewerbe (ohne Möbel)|Export|Frühsommer 2024</t>
  </si>
  <si>
    <t>Holzgewerbe (ohne Möbel)|Export|Herbst 2024</t>
  </si>
  <si>
    <t>Holzgewerbe (ohne Möbel)|Export|Jahresbeginn 2025</t>
  </si>
  <si>
    <t>Holzgewerbe (ohne Möbel)|Export|Frühsommer 2025</t>
  </si>
  <si>
    <t>Holzgewerbe (ohne Möbel)|Export|Herbst 2025</t>
  </si>
  <si>
    <t>Holzgewerbe (ohne Möbel)|Export|Jahresbeginn 2026</t>
  </si>
  <si>
    <t>Holzgewerbe (ohne Möbel)|Export|Frühsommer 2026</t>
  </si>
  <si>
    <t>Holzgewerbe (ohne Möbel)|Export|Herbst 2026</t>
  </si>
  <si>
    <t>Holzgewerbe (ohne Möbel)|Investitionen|Jahresbeginn 2024</t>
  </si>
  <si>
    <t>Holzgewerbe (ohne Möbel)|Investitionen|Frühsommer 2024</t>
  </si>
  <si>
    <t>Holzgewerbe (ohne Möbel)|Investitionen|Herbst 2024</t>
  </si>
  <si>
    <t>Holzgewerbe (ohne Möbel)|Investitionen|Jahresbeginn 2025</t>
  </si>
  <si>
    <t>Holzgewerbe (ohne Möbel)|Investitionen|Frühsommer 2025</t>
  </si>
  <si>
    <t>Holzgewerbe (ohne Möbel)|Investitionen|Herbst 2025</t>
  </si>
  <si>
    <t>Holzgewerbe (ohne Möbel)|Investitionen|Jahresbeginn 2026</t>
  </si>
  <si>
    <t>Holzgewerbe (ohne Möbel)|Investitionen|Frühsommer 2026</t>
  </si>
  <si>
    <t>Holzgewerbe (ohne Möbel)|Investitionen|Herbst 2026</t>
  </si>
  <si>
    <t>Holzgewerbe (ohne Möbel)|Lage|Jahresbeginn 2024</t>
  </si>
  <si>
    <t>Holzgewerbe (ohne Möbel)|Lage|Frühsommer 2024</t>
  </si>
  <si>
    <t>Holzgewerbe (ohne Möbel)|Lage|Herbst 2024</t>
  </si>
  <si>
    <t>Holzgewerbe (ohne Möbel)|Lage|Jahresbeginn 2025</t>
  </si>
  <si>
    <t>Holzgewerbe (ohne Möbel)|Lage|Frühsommer 2025</t>
  </si>
  <si>
    <t>Holzgewerbe (ohne Möbel)|Lage|Herbst 2025</t>
  </si>
  <si>
    <t>Holzgewerbe (ohne Möbel)|Lage|Jahresbeginn 2026</t>
  </si>
  <si>
    <t>Holzgewerbe (ohne Möbel)|Lage|Frühsommer 2026</t>
  </si>
  <si>
    <t>Holzgewerbe (ohne Möbel)|Lage|Herbst 2026</t>
  </si>
  <si>
    <t>IT-Dienstleistungen|Beschäftigung|Jahresbeginn 2024</t>
  </si>
  <si>
    <t>IT-Dienstleistungen|Beschäftigung|Frühsommer 2024</t>
  </si>
  <si>
    <t>IT-Dienstleistungen|Beschäftigung|Herbst 2024</t>
  </si>
  <si>
    <t>IT-Dienstleistungen|Beschäftigung|Jahresbeginn 2025</t>
  </si>
  <si>
    <t>IT-Dienstleistungen|Beschäftigung|Frühsommer 2025</t>
  </si>
  <si>
    <t>IT-Dienstleistungen|Beschäftigung|Herbst 2025</t>
  </si>
  <si>
    <t>IT-Dienstleistungen|Beschäftigung|Jahresbeginn 2026</t>
  </si>
  <si>
    <t>IT-Dienstleistungen|Beschäftigung|Frühsommer 2026</t>
  </si>
  <si>
    <t>IT-Dienstleistungen|Beschäftigung|Herbst 2026</t>
  </si>
  <si>
    <t>IT-Dienstleistungen|Erwartungen|Jahresbeginn 2024</t>
  </si>
  <si>
    <t>IT-Dienstleistungen|Erwartungen|Frühsommer 2024</t>
  </si>
  <si>
    <t>IT-Dienstleistungen|Erwartungen|Herbst 2024</t>
  </si>
  <si>
    <t>IT-Dienstleistungen|Erwartungen|Jahresbeginn 2025</t>
  </si>
  <si>
    <t>IT-Dienstleistungen|Erwartungen|Frühsommer 2025</t>
  </si>
  <si>
    <t>IT-Dienstleistungen|Erwartungen|Herbst 2025</t>
  </si>
  <si>
    <t>IT-Dienstleistungen|Erwartungen|Jahresbeginn 2026</t>
  </si>
  <si>
    <t>IT-Dienstleistungen|Erwartungen|Frühsommer 2026</t>
  </si>
  <si>
    <t>IT-Dienstleistungen|Erwartungen|Herbst 2026</t>
  </si>
  <si>
    <t>IT-Dienstleistungen|Export|Jahresbeginn 2024</t>
  </si>
  <si>
    <t>IT-Dienstleistungen|Export|Frühsommer 2024</t>
  </si>
  <si>
    <t>IT-Dienstleistungen|Export|Herbst 2024</t>
  </si>
  <si>
    <t>IT-Dienstleistungen|Export|Jahresbeginn 2025</t>
  </si>
  <si>
    <t>IT-Dienstleistungen|Export|Frühsommer 2025</t>
  </si>
  <si>
    <t>IT-Dienstleistungen|Export|Herbst 2025</t>
  </si>
  <si>
    <t>IT-Dienstleistungen|Export|Jahresbeginn 2026</t>
  </si>
  <si>
    <t>IT-Dienstleistungen|Export|Frühsommer 2026</t>
  </si>
  <si>
    <t>IT-Dienstleistungen|Export|Herbst 2026</t>
  </si>
  <si>
    <t>IT-Dienstleistungen|Investitionen|Jahresbeginn 2024</t>
  </si>
  <si>
    <t>IT-Dienstleistungen|Investitionen|Frühsommer 2024</t>
  </si>
  <si>
    <t>IT-Dienstleistungen|Investitionen|Herbst 2024</t>
  </si>
  <si>
    <t>IT-Dienstleistungen|Investitionen|Jahresbeginn 2025</t>
  </si>
  <si>
    <t>IT-Dienstleistungen|Investitionen|Frühsommer 2025</t>
  </si>
  <si>
    <t>IT-Dienstleistungen|Investitionen|Herbst 2025</t>
  </si>
  <si>
    <t>IT-Dienstleistungen|Investitionen|Jahresbeginn 2026</t>
  </si>
  <si>
    <t>IT-Dienstleistungen|Investitionen|Frühsommer 2026</t>
  </si>
  <si>
    <t>IT-Dienstleistungen|Investitionen|Herbst 2026</t>
  </si>
  <si>
    <t>IT-Dienstleistungen|Lage|Jahresbeginn 2024</t>
  </si>
  <si>
    <t>IT-Dienstleistungen|Lage|Frühsommer 2024</t>
  </si>
  <si>
    <t>IT-Dienstleistungen|Lage|Herbst 2024</t>
  </si>
  <si>
    <t>IT-Dienstleistungen|Lage|Jahresbeginn 2025</t>
  </si>
  <si>
    <t>IT-Dienstleistungen|Lage|Frühsommer 2025</t>
  </si>
  <si>
    <t>IT-Dienstleistungen|Lage|Herbst 2025</t>
  </si>
  <si>
    <t>IT-Dienstleistungen|Lage|Jahresbeginn 2026</t>
  </si>
  <si>
    <t>IT-Dienstleistungen|Lage|Frühsommer 2026</t>
  </si>
  <si>
    <t>IT-Dienstleistungen|Lage|Herbst 2026</t>
  </si>
  <si>
    <t>Immobilienwirtschaft|Beschäftigung|Jahresbeginn 2024</t>
  </si>
  <si>
    <t>Immobilienwirtschaft|Beschäftigung|Frühsommer 2024</t>
  </si>
  <si>
    <t>Immobilienwirtschaft|Beschäftigung|Herbst 2024</t>
  </si>
  <si>
    <t>Immobilienwirtschaft|Beschäftigung|Jahresbeginn 2025</t>
  </si>
  <si>
    <t>Immobilienwirtschaft|Beschäftigung|Frühsommer 2025</t>
  </si>
  <si>
    <t>Immobilienwirtschaft|Beschäftigung|Herbst 2025</t>
  </si>
  <si>
    <t>Immobilienwirtschaft|Beschäftigung|Jahresbeginn 2026</t>
  </si>
  <si>
    <t>Immobilienwirtschaft|Beschäftigung|Frühsommer 2026</t>
  </si>
  <si>
    <t>Immobilienwirtschaft|Beschäftigung|Herbst 2026</t>
  </si>
  <si>
    <t>Immobilienwirtschaft|Erwartungen|Jahresbeginn 2024</t>
  </si>
  <si>
    <t>Immobilienwirtschaft|Erwartungen|Frühsommer 2024</t>
  </si>
  <si>
    <t>Immobilienwirtschaft|Erwartungen|Herbst 2024</t>
  </si>
  <si>
    <t>Immobilienwirtschaft|Erwartungen|Jahresbeginn 2025</t>
  </si>
  <si>
    <t>Immobilienwirtschaft|Erwartungen|Frühsommer 2025</t>
  </si>
  <si>
    <t>Immobilienwirtschaft|Erwartungen|Herbst 2025</t>
  </si>
  <si>
    <t>Immobilienwirtschaft|Erwartungen|Jahresbeginn 2026</t>
  </si>
  <si>
    <t>Immobilienwirtschaft|Erwartungen|Frühsommer 2026</t>
  </si>
  <si>
    <t>Immobilienwirtschaft|Erwartungen|Herbst 2026</t>
  </si>
  <si>
    <t>Immobilienwirtschaft|Export|Jahresbeginn 2024</t>
  </si>
  <si>
    <t>Immobilienwirtschaft|Export|Frühsommer 2024</t>
  </si>
  <si>
    <t>Immobilienwirtschaft|Export|Herbst 2024</t>
  </si>
  <si>
    <t>Immobilienwirtschaft|Export|Jahresbeginn 2025</t>
  </si>
  <si>
    <t>Immobilienwirtschaft|Export|Frühsommer 2025</t>
  </si>
  <si>
    <t>Immobilienwirtschaft|Export|Herbst 2025</t>
  </si>
  <si>
    <t>Immobilienwirtschaft|Export|Jahresbeginn 2026</t>
  </si>
  <si>
    <t>Immobilienwirtschaft|Export|Frühsommer 2026</t>
  </si>
  <si>
    <t>Immobilienwirtschaft|Export|Herbst 2026</t>
  </si>
  <si>
    <t>Immobilienwirtschaft|Investitionen|Jahresbeginn 2024</t>
  </si>
  <si>
    <t>Immobilienwirtschaft|Investitionen|Frühsommer 2024</t>
  </si>
  <si>
    <t>Immobilienwirtschaft|Investitionen|Herbst 2024</t>
  </si>
  <si>
    <t>Immobilienwirtschaft|Investitionen|Jahresbeginn 2025</t>
  </si>
  <si>
    <t>Immobilienwirtschaft|Investitionen|Frühsommer 2025</t>
  </si>
  <si>
    <t>Immobilienwirtschaft|Investitionen|Herbst 2025</t>
  </si>
  <si>
    <t>Immobilienwirtschaft|Investitionen|Jahresbeginn 2026</t>
  </si>
  <si>
    <t>Immobilienwirtschaft|Investitionen|Frühsommer 2026</t>
  </si>
  <si>
    <t>Immobilienwirtschaft|Investitionen|Herbst 2026</t>
  </si>
  <si>
    <t>Immobilienwirtschaft|Lage|Jahresbeginn 2024</t>
  </si>
  <si>
    <t>Immobilienwirtschaft|Lage|Frühsommer 2024</t>
  </si>
  <si>
    <t>Immobilienwirtschaft|Lage|Herbst 2024</t>
  </si>
  <si>
    <t>Immobilienwirtschaft|Lage|Jahresbeginn 2025</t>
  </si>
  <si>
    <t>Immobilienwirtschaft|Lage|Frühsommer 2025</t>
  </si>
  <si>
    <t>Immobilienwirtschaft|Lage|Herbst 2025</t>
  </si>
  <si>
    <t>Immobilienwirtschaft|Lage|Jahresbeginn 2026</t>
  </si>
  <si>
    <t>Immobilienwirtschaft|Lage|Frühsommer 2026</t>
  </si>
  <si>
    <t>Immobilienwirtschaft|Lage|Herbst 2026</t>
  </si>
  <si>
    <t>Industrie (ohne Baugewerbe)|Beschäftigung|Jahresbeginn 2024</t>
  </si>
  <si>
    <t>Industrie (ohne Baugewerbe)|Beschäftigung|Frühsommer 2024</t>
  </si>
  <si>
    <t>Industrie (ohne Baugewerbe)|Beschäftigung|Herbst 2024</t>
  </si>
  <si>
    <t>Industrie (ohne Baugewerbe)|Beschäftigung|Jahresbeginn 2025</t>
  </si>
  <si>
    <t>Industrie (ohne Baugewerbe)|Beschäftigung|Frühsommer 2025</t>
  </si>
  <si>
    <t>Industrie (ohne Baugewerbe)|Beschäftigung|Herbst 2025</t>
  </si>
  <si>
    <t>Industrie (ohne Baugewerbe)|Beschäftigung|Jahresbeginn 2026</t>
  </si>
  <si>
    <t>Industrie (ohne Baugewerbe)|Beschäftigung|Frühsommer 2026</t>
  </si>
  <si>
    <t>Industrie (ohne Baugewerbe)|Beschäftigung|Herbst 2026</t>
  </si>
  <si>
    <t>Industrie (ohne Baugewerbe)|Erwartungen|Jahresbeginn 2024</t>
  </si>
  <si>
    <t>Industrie (ohne Baugewerbe)|Erwartungen|Frühsommer 2024</t>
  </si>
  <si>
    <t>Industrie (ohne Baugewerbe)|Erwartungen|Herbst 2024</t>
  </si>
  <si>
    <t>Industrie (ohne Baugewerbe)|Erwartungen|Jahresbeginn 2025</t>
  </si>
  <si>
    <t>Industrie (ohne Baugewerbe)|Erwartungen|Frühsommer 2025</t>
  </si>
  <si>
    <t>Industrie (ohne Baugewerbe)|Erwartungen|Herbst 2025</t>
  </si>
  <si>
    <t>Industrie (ohne Baugewerbe)|Erwartungen|Jahresbeginn 2026</t>
  </si>
  <si>
    <t>Industrie (ohne Baugewerbe)|Erwartungen|Frühsommer 2026</t>
  </si>
  <si>
    <t>Industrie (ohne Baugewerbe)|Erwartungen|Herbst 2026</t>
  </si>
  <si>
    <t>Industrie (ohne Baugewerbe)|Export|Jahresbeginn 2024</t>
  </si>
  <si>
    <t>Industrie (ohne Baugewerbe)|Export|Frühsommer 2024</t>
  </si>
  <si>
    <t>Industrie (ohne Baugewerbe)|Export|Herbst 2024</t>
  </si>
  <si>
    <t>Industrie (ohne Baugewerbe)|Export|Jahresbeginn 2025</t>
  </si>
  <si>
    <t>Industrie (ohne Baugewerbe)|Export|Frühsommer 2025</t>
  </si>
  <si>
    <t>Industrie (ohne Baugewerbe)|Export|Herbst 2025</t>
  </si>
  <si>
    <t>Industrie (ohne Baugewerbe)|Export|Jahresbeginn 2026</t>
  </si>
  <si>
    <t>Industrie (ohne Baugewerbe)|Export|Frühsommer 2026</t>
  </si>
  <si>
    <t>Industrie (ohne Baugewerbe)|Export|Herbst 2026</t>
  </si>
  <si>
    <t>Industrie (ohne Baugewerbe)|Investitionen|Jahresbeginn 2024</t>
  </si>
  <si>
    <t>Industrie (ohne Baugewerbe)|Investitionen|Frühsommer 2024</t>
  </si>
  <si>
    <t>Industrie (ohne Baugewerbe)|Investitionen|Herbst 2024</t>
  </si>
  <si>
    <t>Industrie (ohne Baugewerbe)|Investitionen|Jahresbeginn 2025</t>
  </si>
  <si>
    <t>Industrie (ohne Baugewerbe)|Investitionen|Frühsommer 2025</t>
  </si>
  <si>
    <t>Industrie (ohne Baugewerbe)|Investitionen|Herbst 2025</t>
  </si>
  <si>
    <t>Industrie (ohne Baugewerbe)|Investitionen|Jahresbeginn 2026</t>
  </si>
  <si>
    <t>Industrie (ohne Baugewerbe)|Investitionen|Frühsommer 2026</t>
  </si>
  <si>
    <t>Industrie (ohne Baugewerbe)|Investitionen|Herbst 2026</t>
  </si>
  <si>
    <t>Industrie (ohne Baugewerbe)|Lage|Jahresbeginn 2024</t>
  </si>
  <si>
    <t>Industrie (ohne Baugewerbe)|Lage|Frühsommer 2024</t>
  </si>
  <si>
    <t>Industrie (ohne Baugewerbe)|Lage|Herbst 2024</t>
  </si>
  <si>
    <t>Industrie (ohne Baugewerbe)|Lage|Jahresbeginn 2025</t>
  </si>
  <si>
    <t>Industrie (ohne Baugewerbe)|Lage|Frühsommer 2025</t>
  </si>
  <si>
    <t>Industrie (ohne Baugewerbe)|Lage|Herbst 2025</t>
  </si>
  <si>
    <t>Industrie (ohne Baugewerbe)|Lage|Jahresbeginn 2026</t>
  </si>
  <si>
    <t>Industrie (ohne Baugewerbe)|Lage|Frühsommer 2026</t>
  </si>
  <si>
    <t>Industrie (ohne Baugewerbe)|Lage|Herbst 2026</t>
  </si>
  <si>
    <t>Informationsdienstleistungen|Beschäftigung|Jahresbeginn 2024</t>
  </si>
  <si>
    <t>Informationsdienstleistungen|Beschäftigung|Frühsommer 2024</t>
  </si>
  <si>
    <t>Informationsdienstleistungen|Beschäftigung|Herbst 2024</t>
  </si>
  <si>
    <t>Informationsdienstleistungen|Beschäftigung|Jahresbeginn 2025</t>
  </si>
  <si>
    <t>Informationsdienstleistungen|Beschäftigung|Frühsommer 2025</t>
  </si>
  <si>
    <t>Informationsdienstleistungen|Beschäftigung|Herbst 2025</t>
  </si>
  <si>
    <t>Informationsdienstleistungen|Beschäftigung|Jahresbeginn 2026</t>
  </si>
  <si>
    <t>Informationsdienstleistungen|Beschäftigung|Frühsommer 2026</t>
  </si>
  <si>
    <t>Informationsdienstleistungen|Beschäftigung|Herbst 2026</t>
  </si>
  <si>
    <t>Informationsdienstleistungen|Erwartungen|Jahresbeginn 2024</t>
  </si>
  <si>
    <t>Informationsdienstleistungen|Erwartungen|Frühsommer 2024</t>
  </si>
  <si>
    <t>Informationsdienstleistungen|Erwartungen|Herbst 2024</t>
  </si>
  <si>
    <t>Informationsdienstleistungen|Erwartungen|Jahresbeginn 2025</t>
  </si>
  <si>
    <t>Informationsdienstleistungen|Erwartungen|Frühsommer 2025</t>
  </si>
  <si>
    <t>Informationsdienstleistungen|Erwartungen|Herbst 2025</t>
  </si>
  <si>
    <t>Informationsdienstleistungen|Erwartungen|Jahresbeginn 2026</t>
  </si>
  <si>
    <t>Informationsdienstleistungen|Erwartungen|Frühsommer 2026</t>
  </si>
  <si>
    <t>Informationsdienstleistungen|Erwartungen|Herbst 2026</t>
  </si>
  <si>
    <t>Informationsdienstleistungen|Export|Jahresbeginn 2024</t>
  </si>
  <si>
    <t>Informationsdienstleistungen|Export|Frühsommer 2024</t>
  </si>
  <si>
    <t>Informationsdienstleistungen|Export|Herbst 2024</t>
  </si>
  <si>
    <t>Informationsdienstleistungen|Export|Jahresbeginn 2025</t>
  </si>
  <si>
    <t>Informationsdienstleistungen|Export|Frühsommer 2025</t>
  </si>
  <si>
    <t>Informationsdienstleistungen|Export|Herbst 2025</t>
  </si>
  <si>
    <t>Informationsdienstleistungen|Export|Jahresbeginn 2026</t>
  </si>
  <si>
    <t>Informationsdienstleistungen|Export|Frühsommer 2026</t>
  </si>
  <si>
    <t>Informationsdienstleistungen|Export|Herbst 2026</t>
  </si>
  <si>
    <t>Informationsdienstleistungen|Investitionen|Jahresbeginn 2024</t>
  </si>
  <si>
    <t>Informationsdienstleistungen|Investitionen|Frühsommer 2024</t>
  </si>
  <si>
    <t>Informationsdienstleistungen|Investitionen|Herbst 2024</t>
  </si>
  <si>
    <t>Informationsdienstleistungen|Investitionen|Jahresbeginn 2025</t>
  </si>
  <si>
    <t>Informationsdienstleistungen|Investitionen|Frühsommer 2025</t>
  </si>
  <si>
    <t>Informationsdienstleistungen|Investitionen|Herbst 2025</t>
  </si>
  <si>
    <t>Informationsdienstleistungen|Investitionen|Jahresbeginn 2026</t>
  </si>
  <si>
    <t>Informationsdienstleistungen|Investitionen|Frühsommer 2026</t>
  </si>
  <si>
    <t>Informationsdienstleistungen|Investitionen|Herbst 2026</t>
  </si>
  <si>
    <t>Informationsdienstleistungen|Lage|Jahresbeginn 2024</t>
  </si>
  <si>
    <t>Informationsdienstleistungen|Lage|Frühsommer 2024</t>
  </si>
  <si>
    <t>Informationsdienstleistungen|Lage|Herbst 2024</t>
  </si>
  <si>
    <t>Informationsdienstleistungen|Lage|Jahresbeginn 2025</t>
  </si>
  <si>
    <t>Informationsdienstleistungen|Lage|Frühsommer 2025</t>
  </si>
  <si>
    <t>Informationsdienstleistungen|Lage|Herbst 2025</t>
  </si>
  <si>
    <t>Informationsdienstleistungen|Lage|Jahresbeginn 2026</t>
  </si>
  <si>
    <t>Informationsdienstleistungen|Lage|Frühsommer 2026</t>
  </si>
  <si>
    <t>Informationsdienstleistungen|Lage|Herbst 2026</t>
  </si>
  <si>
    <t>Informationswirtschaft|Beschäftigung|Jahresbeginn 2024</t>
  </si>
  <si>
    <t>Informationswirtschaft|Beschäftigung|Frühsommer 2024</t>
  </si>
  <si>
    <t>Informationswirtschaft|Beschäftigung|Herbst 2024</t>
  </si>
  <si>
    <t>Informationswirtschaft|Beschäftigung|Jahresbeginn 2025</t>
  </si>
  <si>
    <t>Informationswirtschaft|Beschäftigung|Frühsommer 2025</t>
  </si>
  <si>
    <t>Informationswirtschaft|Beschäftigung|Herbst 2025</t>
  </si>
  <si>
    <t>Informationswirtschaft|Beschäftigung|Jahresbeginn 2026</t>
  </si>
  <si>
    <t>Informationswirtschaft|Beschäftigung|Frühsommer 2026</t>
  </si>
  <si>
    <t>Informationswirtschaft|Beschäftigung|Herbst 2026</t>
  </si>
  <si>
    <t>Informationswirtschaft|Erwartungen|Jahresbeginn 2024</t>
  </si>
  <si>
    <t>Informationswirtschaft|Erwartungen|Frühsommer 2024</t>
  </si>
  <si>
    <t>Informationswirtschaft|Erwartungen|Herbst 2024</t>
  </si>
  <si>
    <t>Informationswirtschaft|Erwartungen|Jahresbeginn 2025</t>
  </si>
  <si>
    <t>Informationswirtschaft|Erwartungen|Frühsommer 2025</t>
  </si>
  <si>
    <t>Informationswirtschaft|Erwartungen|Herbst 2025</t>
  </si>
  <si>
    <t>Informationswirtschaft|Erwartungen|Jahresbeginn 2026</t>
  </si>
  <si>
    <t>Informationswirtschaft|Erwartungen|Frühsommer 2026</t>
  </si>
  <si>
    <t>Informationswirtschaft|Erwartungen|Herbst 2026</t>
  </si>
  <si>
    <t>Informationswirtschaft|Export|Jahresbeginn 2024</t>
  </si>
  <si>
    <t>Informationswirtschaft|Export|Frühsommer 2024</t>
  </si>
  <si>
    <t>Informationswirtschaft|Export|Herbst 2024</t>
  </si>
  <si>
    <t>Informationswirtschaft|Export|Jahresbeginn 2025</t>
  </si>
  <si>
    <t>Informationswirtschaft|Export|Frühsommer 2025</t>
  </si>
  <si>
    <t>Informationswirtschaft|Export|Herbst 2025</t>
  </si>
  <si>
    <t>Informationswirtschaft|Export|Jahresbeginn 2026</t>
  </si>
  <si>
    <t>Informationswirtschaft|Export|Frühsommer 2026</t>
  </si>
  <si>
    <t>Informationswirtschaft|Export|Herbst 2026</t>
  </si>
  <si>
    <t>Informationswirtschaft|Investitionen|Jahresbeginn 2024</t>
  </si>
  <si>
    <t>Informationswirtschaft|Investitionen|Frühsommer 2024</t>
  </si>
  <si>
    <t>Informationswirtschaft|Investitionen|Herbst 2024</t>
  </si>
  <si>
    <t>Informationswirtschaft|Investitionen|Jahresbeginn 2025</t>
  </si>
  <si>
    <t>Informationswirtschaft|Investitionen|Frühsommer 2025</t>
  </si>
  <si>
    <t>Informationswirtschaft|Investitionen|Herbst 2025</t>
  </si>
  <si>
    <t>Informationswirtschaft|Investitionen|Jahresbeginn 2026</t>
  </si>
  <si>
    <t>Informationswirtschaft|Investitionen|Frühsommer 2026</t>
  </si>
  <si>
    <t>Informationswirtschaft|Investitionen|Herbst 2026</t>
  </si>
  <si>
    <t>Informationswirtschaft|Lage|Jahresbeginn 2024</t>
  </si>
  <si>
    <t>Informationswirtschaft|Lage|Frühsommer 2024</t>
  </si>
  <si>
    <t>Informationswirtschaft|Lage|Herbst 2024</t>
  </si>
  <si>
    <t>Informationswirtschaft|Lage|Jahresbeginn 2025</t>
  </si>
  <si>
    <t>Informationswirtschaft|Lage|Frühsommer 2025</t>
  </si>
  <si>
    <t>Informationswirtschaft|Lage|Herbst 2025</t>
  </si>
  <si>
    <t>Informationswirtschaft|Lage|Jahresbeginn 2026</t>
  </si>
  <si>
    <t>Informationswirtschaft|Lage|Frühsommer 2026</t>
  </si>
  <si>
    <t>Informationswirtschaft|Lage|Herbst 2026</t>
  </si>
  <si>
    <t>Kraftfahrzeugbau|Beschäftigung|Jahresbeginn 2024</t>
  </si>
  <si>
    <t>Kraftfahrzeugbau|Beschäftigung|Frühsommer 2024</t>
  </si>
  <si>
    <t>Kraftfahrzeugbau|Beschäftigung|Herbst 2024</t>
  </si>
  <si>
    <t>Kraftfahrzeugbau|Beschäftigung|Jahresbeginn 2025</t>
  </si>
  <si>
    <t>Kraftfahrzeugbau|Beschäftigung|Frühsommer 2025</t>
  </si>
  <si>
    <t>Kraftfahrzeugbau|Beschäftigung|Herbst 2025</t>
  </si>
  <si>
    <t>Kraftfahrzeugbau|Beschäftigung|Jahresbeginn 2026</t>
  </si>
  <si>
    <t>Kraftfahrzeugbau|Beschäftigung|Frühsommer 2026</t>
  </si>
  <si>
    <t>Kraftfahrzeugbau|Beschäftigung|Herbst 2026</t>
  </si>
  <si>
    <t>Kraftfahrzeugbau|Erwartungen|Jahresbeginn 2024</t>
  </si>
  <si>
    <t>Kraftfahrzeugbau|Erwartungen|Frühsommer 2024</t>
  </si>
  <si>
    <t>Kraftfahrzeugbau|Erwartungen|Herbst 2024</t>
  </si>
  <si>
    <t>Kraftfahrzeugbau|Erwartungen|Jahresbeginn 2025</t>
  </si>
  <si>
    <t>Kraftfahrzeugbau|Erwartungen|Frühsommer 2025</t>
  </si>
  <si>
    <t>Kraftfahrzeugbau|Erwartungen|Herbst 2025</t>
  </si>
  <si>
    <t>Kraftfahrzeugbau|Erwartungen|Jahresbeginn 2026</t>
  </si>
  <si>
    <t>Kraftfahrzeugbau|Erwartungen|Frühsommer 2026</t>
  </si>
  <si>
    <t>Kraftfahrzeugbau|Erwartungen|Herbst 2026</t>
  </si>
  <si>
    <t>Kraftfahrzeugbau|Export|Jahresbeginn 2024</t>
  </si>
  <si>
    <t>Kraftfahrzeugbau|Export|Frühsommer 2024</t>
  </si>
  <si>
    <t>Kraftfahrzeugbau|Export|Herbst 2024</t>
  </si>
  <si>
    <t>Kraftfahrzeugbau|Export|Jahresbeginn 2025</t>
  </si>
  <si>
    <t>Kraftfahrzeugbau|Export|Frühsommer 2025</t>
  </si>
  <si>
    <t>Kraftfahrzeugbau|Export|Herbst 2025</t>
  </si>
  <si>
    <t>Kraftfahrzeugbau|Export|Jahresbeginn 2026</t>
  </si>
  <si>
    <t>Kraftfahrzeugbau|Export|Frühsommer 2026</t>
  </si>
  <si>
    <t>Kraftfahrzeugbau|Export|Herbst 2026</t>
  </si>
  <si>
    <t>Kraftfahrzeugbau|Investitionen|Jahresbeginn 2024</t>
  </si>
  <si>
    <t>Kraftfahrzeugbau|Investitionen|Frühsommer 2024</t>
  </si>
  <si>
    <t>Kraftfahrzeugbau|Investitionen|Herbst 2024</t>
  </si>
  <si>
    <t>Kraftfahrzeugbau|Investitionen|Jahresbeginn 2025</t>
  </si>
  <si>
    <t>Kraftfahrzeugbau|Investitionen|Frühsommer 2025</t>
  </si>
  <si>
    <t>Kraftfahrzeugbau|Investitionen|Herbst 2025</t>
  </si>
  <si>
    <t>Kraftfahrzeugbau|Investitionen|Jahresbeginn 2026</t>
  </si>
  <si>
    <t>Kraftfahrzeugbau|Investitionen|Frühsommer 2026</t>
  </si>
  <si>
    <t>Kraftfahrzeugbau|Investitionen|Herbst 2026</t>
  </si>
  <si>
    <t>Kraftfahrzeugbau|Lage|Jahresbeginn 2024</t>
  </si>
  <si>
    <t>Kraftfahrzeugbau|Lage|Frühsommer 2024</t>
  </si>
  <si>
    <t>Kraftfahrzeugbau|Lage|Herbst 2024</t>
  </si>
  <si>
    <t>Kraftfahrzeugbau|Lage|Jahresbeginn 2025</t>
  </si>
  <si>
    <t>Kraftfahrzeugbau|Lage|Frühsommer 2025</t>
  </si>
  <si>
    <t>Kraftfahrzeugbau|Lage|Herbst 2025</t>
  </si>
  <si>
    <t>Kraftfahrzeugbau|Lage|Jahresbeginn 2026</t>
  </si>
  <si>
    <t>Kraftfahrzeugbau|Lage|Frühsommer 2026</t>
  </si>
  <si>
    <t>Kraftfahrzeugbau|Lage|Herbst 2026</t>
  </si>
  <si>
    <t>Kreditgewerbe|Beschäftigung|Jahresbeginn 2024</t>
  </si>
  <si>
    <t>Kreditgewerbe|Beschäftigung|Frühsommer 2024</t>
  </si>
  <si>
    <t>Kreditgewerbe|Beschäftigung|Herbst 2024</t>
  </si>
  <si>
    <t>Kreditgewerbe|Beschäftigung|Jahresbeginn 2025</t>
  </si>
  <si>
    <t>Kreditgewerbe|Beschäftigung|Frühsommer 2025</t>
  </si>
  <si>
    <t>Kreditgewerbe|Beschäftigung|Herbst 2025</t>
  </si>
  <si>
    <t>Kreditgewerbe|Beschäftigung|Jahresbeginn 2026</t>
  </si>
  <si>
    <t>Kreditgewerbe|Beschäftigung|Frühsommer 2026</t>
  </si>
  <si>
    <t>Kreditgewerbe|Beschäftigung|Herbst 2026</t>
  </si>
  <si>
    <t>Kreditgewerbe|Erwartungen|Jahresbeginn 2024</t>
  </si>
  <si>
    <t>Kreditgewerbe|Erwartungen|Frühsommer 2024</t>
  </si>
  <si>
    <t>Kreditgewerbe|Erwartungen|Herbst 2024</t>
  </si>
  <si>
    <t>Kreditgewerbe|Erwartungen|Jahresbeginn 2025</t>
  </si>
  <si>
    <t>Kreditgewerbe|Erwartungen|Frühsommer 2025</t>
  </si>
  <si>
    <t>Kreditgewerbe|Erwartungen|Herbst 2025</t>
  </si>
  <si>
    <t>Kreditgewerbe|Erwartungen|Jahresbeginn 2026</t>
  </si>
  <si>
    <t>Kreditgewerbe|Erwartungen|Frühsommer 2026</t>
  </si>
  <si>
    <t>Kreditgewerbe|Erwartungen|Herbst 2026</t>
  </si>
  <si>
    <t>Kreditgewerbe|Export|Jahresbeginn 2024</t>
  </si>
  <si>
    <t>Kreditgewerbe|Export|Frühsommer 2024</t>
  </si>
  <si>
    <t>Kreditgewerbe|Export|Herbst 2024</t>
  </si>
  <si>
    <t>Kreditgewerbe|Export|Jahresbeginn 2025</t>
  </si>
  <si>
    <t>Kreditgewerbe|Export|Frühsommer 2025</t>
  </si>
  <si>
    <t>Kreditgewerbe|Export|Herbst 2025</t>
  </si>
  <si>
    <t>Kreditgewerbe|Export|Jahresbeginn 2026</t>
  </si>
  <si>
    <t>Kreditgewerbe|Export|Frühsommer 2026</t>
  </si>
  <si>
    <t>Kreditgewerbe|Export|Herbst 2026</t>
  </si>
  <si>
    <t>Kreditgewerbe|Investitionen|Jahresbeginn 2024</t>
  </si>
  <si>
    <t>Kreditgewerbe|Investitionen|Frühsommer 2024</t>
  </si>
  <si>
    <t>Kreditgewerbe|Investitionen|Herbst 2024</t>
  </si>
  <si>
    <t>Kreditgewerbe|Investitionen|Jahresbeginn 2025</t>
  </si>
  <si>
    <t>Kreditgewerbe|Investitionen|Frühsommer 2025</t>
  </si>
  <si>
    <t>Kreditgewerbe|Investitionen|Herbst 2025</t>
  </si>
  <si>
    <t>Kreditgewerbe|Investitionen|Jahresbeginn 2026</t>
  </si>
  <si>
    <t>Kreditgewerbe|Investitionen|Frühsommer 2026</t>
  </si>
  <si>
    <t>Kreditgewerbe|Investitionen|Herbst 2026</t>
  </si>
  <si>
    <t>Kreditgewerbe|Lage|Jahresbeginn 2024</t>
  </si>
  <si>
    <t>Kreditgewerbe|Lage|Frühsommer 2024</t>
  </si>
  <si>
    <t>Kreditgewerbe|Lage|Herbst 2024</t>
  </si>
  <si>
    <t>Kreditgewerbe|Lage|Jahresbeginn 2025</t>
  </si>
  <si>
    <t>Kreditgewerbe|Lage|Frühsommer 2025</t>
  </si>
  <si>
    <t>Kreditgewerbe|Lage|Herbst 2025</t>
  </si>
  <si>
    <t>Kreditgewerbe|Lage|Jahresbeginn 2026</t>
  </si>
  <si>
    <t>Kreditgewerbe|Lage|Frühsommer 2026</t>
  </si>
  <si>
    <t>Kreditgewerbe|Lage|Herbst 2026</t>
  </si>
  <si>
    <t>Kunst, Unterhaltung, Erholung (alt: Freizeitwirtschaft)|Beschäftigung|Jahresbeginn 2024</t>
  </si>
  <si>
    <t>Kunst, Unterhaltung, Erholung (alt: Freizeitwirtschaft)|Beschäftigung|Frühsommer 2024</t>
  </si>
  <si>
    <t>Kunst, Unterhaltung, Erholung (alt: Freizeitwirtschaft)|Beschäftigung|Herbst 2024</t>
  </si>
  <si>
    <t>Kunst, Unterhaltung, Erholung (alt: Freizeitwirtschaft)|Beschäftigung|Jahresbeginn 2025</t>
  </si>
  <si>
    <t>Kunst, Unterhaltung, Erholung (alt: Freizeitwirtschaft)|Beschäftigung|Frühsommer 2025</t>
  </si>
  <si>
    <t>Kunst, Unterhaltung, Erholung (alt: Freizeitwirtschaft)|Beschäftigung|Herbst 2025</t>
  </si>
  <si>
    <t>Kunst, Unterhaltung, Erholung (alt: Freizeitwirtschaft)|Beschäftigung|Jahresbeginn 2026</t>
  </si>
  <si>
    <t>Kunst, Unterhaltung, Erholung (alt: Freizeitwirtschaft)|Beschäftigung|Frühsommer 2026</t>
  </si>
  <si>
    <t>Kunst, Unterhaltung, Erholung (alt: Freizeitwirtschaft)|Beschäftigung|Herbst 2026</t>
  </si>
  <si>
    <t>Kunst, Unterhaltung, Erholung (alt: Freizeitwirtschaft)|Erwartungen|Jahresbeginn 2024</t>
  </si>
  <si>
    <t>Kunst, Unterhaltung, Erholung (alt: Freizeitwirtschaft)|Erwartungen|Frühsommer 2024</t>
  </si>
  <si>
    <t>Kunst, Unterhaltung, Erholung (alt: Freizeitwirtschaft)|Erwartungen|Herbst 2024</t>
  </si>
  <si>
    <t>Kunst, Unterhaltung, Erholung (alt: Freizeitwirtschaft)|Erwartungen|Jahresbeginn 2025</t>
  </si>
  <si>
    <t>Kunst, Unterhaltung, Erholung (alt: Freizeitwirtschaft)|Erwartungen|Frühsommer 2025</t>
  </si>
  <si>
    <t>Kunst, Unterhaltung, Erholung (alt: Freizeitwirtschaft)|Erwartungen|Herbst 2025</t>
  </si>
  <si>
    <t>Kunst, Unterhaltung, Erholung (alt: Freizeitwirtschaft)|Erwartungen|Jahresbeginn 2026</t>
  </si>
  <si>
    <t>Kunst, Unterhaltung, Erholung (alt: Freizeitwirtschaft)|Erwartungen|Frühsommer 2026</t>
  </si>
  <si>
    <t>Kunst, Unterhaltung, Erholung (alt: Freizeitwirtschaft)|Erwartungen|Herbst 2026</t>
  </si>
  <si>
    <t>Kunst, Unterhaltung, Erholung (alt: Freizeitwirtschaft)|Export|Jahresbeginn 2024</t>
  </si>
  <si>
    <t>Kunst, Unterhaltung, Erholung (alt: Freizeitwirtschaft)|Export|Frühsommer 2024</t>
  </si>
  <si>
    <t>Kunst, Unterhaltung, Erholung (alt: Freizeitwirtschaft)|Export|Herbst 2024</t>
  </si>
  <si>
    <t>Kunst, Unterhaltung, Erholung (alt: Freizeitwirtschaft)|Export|Jahresbeginn 2025</t>
  </si>
  <si>
    <t>Kunst, Unterhaltung, Erholung (alt: Freizeitwirtschaft)|Export|Frühsommer 2025</t>
  </si>
  <si>
    <t>Kunst, Unterhaltung, Erholung (alt: Freizeitwirtschaft)|Export|Herbst 2025</t>
  </si>
  <si>
    <t>Kunst, Unterhaltung, Erholung (alt: Freizeitwirtschaft)|Export|Jahresbeginn 2026</t>
  </si>
  <si>
    <t>Kunst, Unterhaltung, Erholung (alt: Freizeitwirtschaft)|Export|Frühsommer 2026</t>
  </si>
  <si>
    <t>Kunst, Unterhaltung, Erholung (alt: Freizeitwirtschaft)|Export|Herbst 2026</t>
  </si>
  <si>
    <t>Kunst, Unterhaltung, Erholung (alt: Freizeitwirtschaft)|Investitionen|Jahresbeginn 2024</t>
  </si>
  <si>
    <t>Kunst, Unterhaltung, Erholung (alt: Freizeitwirtschaft)|Investitionen|Frühsommer 2024</t>
  </si>
  <si>
    <t>Kunst, Unterhaltung, Erholung (alt: Freizeitwirtschaft)|Investitionen|Herbst 2024</t>
  </si>
  <si>
    <t>Kunst, Unterhaltung, Erholung (alt: Freizeitwirtschaft)|Investitionen|Jahresbeginn 2025</t>
  </si>
  <si>
    <t>Kunst, Unterhaltung, Erholung (alt: Freizeitwirtschaft)|Investitionen|Frühsommer 2025</t>
  </si>
  <si>
    <t>Kunst, Unterhaltung, Erholung (alt: Freizeitwirtschaft)|Investitionen|Herbst 2025</t>
  </si>
  <si>
    <t>Kunst, Unterhaltung, Erholung (alt: Freizeitwirtschaft)|Investitionen|Jahresbeginn 2026</t>
  </si>
  <si>
    <t>Kunst, Unterhaltung, Erholung (alt: Freizeitwirtschaft)|Investitionen|Frühsommer 2026</t>
  </si>
  <si>
    <t>Kunst, Unterhaltung, Erholung (alt: Freizeitwirtschaft)|Investitionen|Herbst 2026</t>
  </si>
  <si>
    <t>Kunst, Unterhaltung, Erholung (alt: Freizeitwirtschaft)|Lage|Jahresbeginn 2024</t>
  </si>
  <si>
    <t>Kunst, Unterhaltung, Erholung (alt: Freizeitwirtschaft)|Lage|Frühsommer 2024</t>
  </si>
  <si>
    <t>Kunst, Unterhaltung, Erholung (alt: Freizeitwirtschaft)|Lage|Herbst 2024</t>
  </si>
  <si>
    <t>Kunst, Unterhaltung, Erholung (alt: Freizeitwirtschaft)|Lage|Jahresbeginn 2025</t>
  </si>
  <si>
    <t>Kunst, Unterhaltung, Erholung (alt: Freizeitwirtschaft)|Lage|Frühsommer 2025</t>
  </si>
  <si>
    <t>Kunst, Unterhaltung, Erholung (alt: Freizeitwirtschaft)|Lage|Herbst 2025</t>
  </si>
  <si>
    <t>Kunst, Unterhaltung, Erholung (alt: Freizeitwirtschaft)|Lage|Jahresbeginn 2026</t>
  </si>
  <si>
    <t>Kunst, Unterhaltung, Erholung (alt: Freizeitwirtschaft)|Lage|Frühsommer 2026</t>
  </si>
  <si>
    <t>Kunst, Unterhaltung, Erholung (alt: Freizeitwirtschaft)|Lage|Herbst 2026</t>
  </si>
  <si>
    <t>Lagerei und Verkehrsdienstleistungen|Beschäftigung|Jahresbeginn 2024</t>
  </si>
  <si>
    <t>Lagerei und Verkehrsdienstleistungen|Beschäftigung|Frühsommer 2024</t>
  </si>
  <si>
    <t>Lagerei und Verkehrsdienstleistungen|Beschäftigung|Herbst 2024</t>
  </si>
  <si>
    <t>Lagerei und Verkehrsdienstleistungen|Beschäftigung|Jahresbeginn 2025</t>
  </si>
  <si>
    <t>Lagerei und Verkehrsdienstleistungen|Beschäftigung|Frühsommer 2025</t>
  </si>
  <si>
    <t>Lagerei und Verkehrsdienstleistungen|Beschäftigung|Herbst 2025</t>
  </si>
  <si>
    <t>Lagerei und Verkehrsdienstleistungen|Beschäftigung|Jahresbeginn 2026</t>
  </si>
  <si>
    <t>Lagerei und Verkehrsdienstleistungen|Beschäftigung|Frühsommer 2026</t>
  </si>
  <si>
    <t>Lagerei und Verkehrsdienstleistungen|Beschäftigung|Herbst 2026</t>
  </si>
  <si>
    <t>Lagerei und Verkehrsdienstleistungen|Erwartungen|Jahresbeginn 2024</t>
  </si>
  <si>
    <t>Lagerei und Verkehrsdienstleistungen|Erwartungen|Frühsommer 2024</t>
  </si>
  <si>
    <t>Lagerei und Verkehrsdienstleistungen|Erwartungen|Herbst 2024</t>
  </si>
  <si>
    <t>Lagerei und Verkehrsdienstleistungen|Erwartungen|Jahresbeginn 2025</t>
  </si>
  <si>
    <t>Lagerei und Verkehrsdienstleistungen|Erwartungen|Frühsommer 2025</t>
  </si>
  <si>
    <t>Lagerei und Verkehrsdienstleistungen|Erwartungen|Herbst 2025</t>
  </si>
  <si>
    <t>Lagerei und Verkehrsdienstleistungen|Erwartungen|Jahresbeginn 2026</t>
  </si>
  <si>
    <t>Lagerei und Verkehrsdienstleistungen|Erwartungen|Frühsommer 2026</t>
  </si>
  <si>
    <t>Lagerei und Verkehrsdienstleistungen|Erwartungen|Herbst 2026</t>
  </si>
  <si>
    <t>Lagerei und Verkehrsdienstleistungen|Export|Jahresbeginn 2024</t>
  </si>
  <si>
    <t>Lagerei und Verkehrsdienstleistungen|Export|Frühsommer 2024</t>
  </si>
  <si>
    <t>Lagerei und Verkehrsdienstleistungen|Export|Herbst 2024</t>
  </si>
  <si>
    <t>Lagerei und Verkehrsdienstleistungen|Export|Jahresbeginn 2025</t>
  </si>
  <si>
    <t>Lagerei und Verkehrsdienstleistungen|Export|Frühsommer 2025</t>
  </si>
  <si>
    <t>Lagerei und Verkehrsdienstleistungen|Export|Herbst 2025</t>
  </si>
  <si>
    <t>Lagerei und Verkehrsdienstleistungen|Export|Jahresbeginn 2026</t>
  </si>
  <si>
    <t>Lagerei und Verkehrsdienstleistungen|Export|Frühsommer 2026</t>
  </si>
  <si>
    <t>Lagerei und Verkehrsdienstleistungen|Export|Herbst 2026</t>
  </si>
  <si>
    <t>Lagerei und Verkehrsdienstleistungen|Investitionen|Jahresbeginn 2024</t>
  </si>
  <si>
    <t>Lagerei und Verkehrsdienstleistungen|Investitionen|Frühsommer 2024</t>
  </si>
  <si>
    <t>Lagerei und Verkehrsdienstleistungen|Investitionen|Herbst 2024</t>
  </si>
  <si>
    <t>Lagerei und Verkehrsdienstleistungen|Investitionen|Jahresbeginn 2025</t>
  </si>
  <si>
    <t>Lagerei und Verkehrsdienstleistungen|Investitionen|Frühsommer 2025</t>
  </si>
  <si>
    <t>Lagerei und Verkehrsdienstleistungen|Investitionen|Herbst 2025</t>
  </si>
  <si>
    <t>Lagerei und Verkehrsdienstleistungen|Investitionen|Jahresbeginn 2026</t>
  </si>
  <si>
    <t>Lagerei und Verkehrsdienstleistungen|Investitionen|Frühsommer 2026</t>
  </si>
  <si>
    <t>Lagerei und Verkehrsdienstleistungen|Investitionen|Herbst 2026</t>
  </si>
  <si>
    <t>Lagerei und Verkehrsdienstleistungen|Lage|Jahresbeginn 2024</t>
  </si>
  <si>
    <t>Lagerei und Verkehrsdienstleistungen|Lage|Frühsommer 2024</t>
  </si>
  <si>
    <t>Lagerei und Verkehrsdienstleistungen|Lage|Herbst 2024</t>
  </si>
  <si>
    <t>Lagerei und Verkehrsdienstleistungen|Lage|Jahresbeginn 2025</t>
  </si>
  <si>
    <t>Lagerei und Verkehrsdienstleistungen|Lage|Frühsommer 2025</t>
  </si>
  <si>
    <t>Lagerei und Verkehrsdienstleistungen|Lage|Herbst 2025</t>
  </si>
  <si>
    <t>Lagerei und Verkehrsdienstleistungen|Lage|Jahresbeginn 2026</t>
  </si>
  <si>
    <t>Lagerei und Verkehrsdienstleistungen|Lage|Frühsommer 2026</t>
  </si>
  <si>
    <t>Lagerei und Verkehrsdienstleistungen|Lage|Herbst 2026</t>
  </si>
  <si>
    <t>Landverkehr|Beschäftigung|Jahresbeginn 2024</t>
  </si>
  <si>
    <t>Landverkehr|Beschäftigung|Frühsommer 2024</t>
  </si>
  <si>
    <t>Landverkehr|Beschäftigung|Herbst 2024</t>
  </si>
  <si>
    <t>Landverkehr|Beschäftigung|Jahresbeginn 2025</t>
  </si>
  <si>
    <t>Landverkehr|Beschäftigung|Frühsommer 2025</t>
  </si>
  <si>
    <t>Landverkehr|Beschäftigung|Herbst 2025</t>
  </si>
  <si>
    <t>Landverkehr|Beschäftigung|Jahresbeginn 2026</t>
  </si>
  <si>
    <t>Landverkehr|Beschäftigung|Frühsommer 2026</t>
  </si>
  <si>
    <t>Landverkehr|Beschäftigung|Herbst 2026</t>
  </si>
  <si>
    <t>Landverkehr|Erwartungen|Jahresbeginn 2024</t>
  </si>
  <si>
    <t>Landverkehr|Erwartungen|Frühsommer 2024</t>
  </si>
  <si>
    <t>Landverkehr|Erwartungen|Herbst 2024</t>
  </si>
  <si>
    <t>Landverkehr|Erwartungen|Jahresbeginn 2025</t>
  </si>
  <si>
    <t>Landverkehr|Erwartungen|Frühsommer 2025</t>
  </si>
  <si>
    <t>Landverkehr|Erwartungen|Herbst 2025</t>
  </si>
  <si>
    <t>Landverkehr|Erwartungen|Jahresbeginn 2026</t>
  </si>
  <si>
    <t>Landverkehr|Erwartungen|Frühsommer 2026</t>
  </si>
  <si>
    <t>Landverkehr|Erwartungen|Herbst 2026</t>
  </si>
  <si>
    <t>Landverkehr|Export|Jahresbeginn 2024</t>
  </si>
  <si>
    <t>Landverkehr|Export|Frühsommer 2024</t>
  </si>
  <si>
    <t>Landverkehr|Export|Herbst 2024</t>
  </si>
  <si>
    <t>Landverkehr|Export|Jahresbeginn 2025</t>
  </si>
  <si>
    <t>Landverkehr|Export|Frühsommer 2025</t>
  </si>
  <si>
    <t>Landverkehr|Export|Herbst 2025</t>
  </si>
  <si>
    <t>Landverkehr|Export|Jahresbeginn 2026</t>
  </si>
  <si>
    <t>Landverkehr|Export|Frühsommer 2026</t>
  </si>
  <si>
    <t>Landverkehr|Export|Herbst 2026</t>
  </si>
  <si>
    <t>Landverkehr|Investitionen|Jahresbeginn 2024</t>
  </si>
  <si>
    <t>Landverkehr|Investitionen|Frühsommer 2024</t>
  </si>
  <si>
    <t>Landverkehr|Investitionen|Herbst 2024</t>
  </si>
  <si>
    <t>Landverkehr|Investitionen|Jahresbeginn 2025</t>
  </si>
  <si>
    <t>Landverkehr|Investitionen|Frühsommer 2025</t>
  </si>
  <si>
    <t>Landverkehr|Investitionen|Herbst 2025</t>
  </si>
  <si>
    <t>Landverkehr|Investitionen|Jahresbeginn 2026</t>
  </si>
  <si>
    <t>Landverkehr|Investitionen|Frühsommer 2026</t>
  </si>
  <si>
    <t>Landverkehr|Investitionen|Herbst 2026</t>
  </si>
  <si>
    <t>Landverkehr|Lage|Jahresbeginn 2024</t>
  </si>
  <si>
    <t>Landverkehr|Lage|Frühsommer 2024</t>
  </si>
  <si>
    <t>Landverkehr|Lage|Herbst 2024</t>
  </si>
  <si>
    <t>Landverkehr|Lage|Jahresbeginn 2025</t>
  </si>
  <si>
    <t>Landverkehr|Lage|Frühsommer 2025</t>
  </si>
  <si>
    <t>Landverkehr|Lage|Herbst 2025</t>
  </si>
  <si>
    <t>Landverkehr|Lage|Jahresbeginn 2026</t>
  </si>
  <si>
    <t>Landverkehr|Lage|Frühsommer 2026</t>
  </si>
  <si>
    <t>Landverkehr|Lage|Herbst 2026</t>
  </si>
  <si>
    <t>Leasing/Vermietungsleistungen|Beschäftigung|Jahresbeginn 2024</t>
  </si>
  <si>
    <t>Leasing/Vermietungsleistungen|Beschäftigung|Frühsommer 2024</t>
  </si>
  <si>
    <t>Leasing/Vermietungsleistungen|Beschäftigung|Herbst 2024</t>
  </si>
  <si>
    <t>Leasing/Vermietungsleistungen|Beschäftigung|Jahresbeginn 2025</t>
  </si>
  <si>
    <t>Leasing/Vermietungsleistungen|Beschäftigung|Frühsommer 2025</t>
  </si>
  <si>
    <t>Leasing/Vermietungsleistungen|Beschäftigung|Herbst 2025</t>
  </si>
  <si>
    <t>Leasing/Vermietungsleistungen|Beschäftigung|Jahresbeginn 2026</t>
  </si>
  <si>
    <t>Leasing/Vermietungsleistungen|Beschäftigung|Frühsommer 2026</t>
  </si>
  <si>
    <t>Leasing/Vermietungsleistungen|Beschäftigung|Herbst 2026</t>
  </si>
  <si>
    <t>Leasing/Vermietungsleistungen|Erwartungen|Jahresbeginn 2024</t>
  </si>
  <si>
    <t>Leasing/Vermietungsleistungen|Erwartungen|Frühsommer 2024</t>
  </si>
  <si>
    <t>Leasing/Vermietungsleistungen|Erwartungen|Herbst 2024</t>
  </si>
  <si>
    <t>Leasing/Vermietungsleistungen|Erwartungen|Jahresbeginn 2025</t>
  </si>
  <si>
    <t>Leasing/Vermietungsleistungen|Erwartungen|Frühsommer 2025</t>
  </si>
  <si>
    <t>Leasing/Vermietungsleistungen|Erwartungen|Herbst 2025</t>
  </si>
  <si>
    <t>Leasing/Vermietungsleistungen|Erwartungen|Jahresbeginn 2026</t>
  </si>
  <si>
    <t>Leasing/Vermietungsleistungen|Erwartungen|Frühsommer 2026</t>
  </si>
  <si>
    <t>Leasing/Vermietungsleistungen|Erwartungen|Herbst 2026</t>
  </si>
  <si>
    <t>Leasing/Vermietungsleistungen|Export|Jahresbeginn 2024</t>
  </si>
  <si>
    <t>Leasing/Vermietungsleistungen|Export|Frühsommer 2024</t>
  </si>
  <si>
    <t>Leasing/Vermietungsleistungen|Export|Herbst 2024</t>
  </si>
  <si>
    <t>Leasing/Vermietungsleistungen|Export|Jahresbeginn 2025</t>
  </si>
  <si>
    <t>Leasing/Vermietungsleistungen|Export|Frühsommer 2025</t>
  </si>
  <si>
    <t>Leasing/Vermietungsleistungen|Export|Herbst 2025</t>
  </si>
  <si>
    <t>Leasing/Vermietungsleistungen|Export|Jahresbeginn 2026</t>
  </si>
  <si>
    <t>Leasing/Vermietungsleistungen|Export|Frühsommer 2026</t>
  </si>
  <si>
    <t>Leasing/Vermietungsleistungen|Export|Herbst 2026</t>
  </si>
  <si>
    <t>Leasing/Vermietungsleistungen|Investitionen|Jahresbeginn 2024</t>
  </si>
  <si>
    <t>Leasing/Vermietungsleistungen|Investitionen|Frühsommer 2024</t>
  </si>
  <si>
    <t>Leasing/Vermietungsleistungen|Investitionen|Herbst 2024</t>
  </si>
  <si>
    <t>Leasing/Vermietungsleistungen|Investitionen|Jahresbeginn 2025</t>
  </si>
  <si>
    <t>Leasing/Vermietungsleistungen|Investitionen|Frühsommer 2025</t>
  </si>
  <si>
    <t>Leasing/Vermietungsleistungen|Investitionen|Herbst 2025</t>
  </si>
  <si>
    <t>Leasing/Vermietungsleistungen|Investitionen|Jahresbeginn 2026</t>
  </si>
  <si>
    <t>Leasing/Vermietungsleistungen|Investitionen|Frühsommer 2026</t>
  </si>
  <si>
    <t>Leasing/Vermietungsleistungen|Investitionen|Herbst 2026</t>
  </si>
  <si>
    <t>Leasing/Vermietungsleistungen|Lage|Jahresbeginn 2024</t>
  </si>
  <si>
    <t>Leasing/Vermietungsleistungen|Lage|Frühsommer 2024</t>
  </si>
  <si>
    <t>Leasing/Vermietungsleistungen|Lage|Herbst 2024</t>
  </si>
  <si>
    <t>Leasing/Vermietungsleistungen|Lage|Jahresbeginn 2025</t>
  </si>
  <si>
    <t>Leasing/Vermietungsleistungen|Lage|Frühsommer 2025</t>
  </si>
  <si>
    <t>Leasing/Vermietungsleistungen|Lage|Herbst 2025</t>
  </si>
  <si>
    <t>Leasing/Vermietungsleistungen|Lage|Jahresbeginn 2026</t>
  </si>
  <si>
    <t>Leasing/Vermietungsleistungen|Lage|Frühsommer 2026</t>
  </si>
  <si>
    <t>Leasing/Vermietungsleistungen|Lage|Herbst 2026</t>
  </si>
  <si>
    <t>Maschinenbau|Beschäftigung|Jahresbeginn 2024</t>
  </si>
  <si>
    <t>Maschinenbau|Beschäftigung|Frühsommer 2024</t>
  </si>
  <si>
    <t>Maschinenbau|Beschäftigung|Herbst 2024</t>
  </si>
  <si>
    <t>Maschinenbau|Beschäftigung|Jahresbeginn 2025</t>
  </si>
  <si>
    <t>Maschinenbau|Beschäftigung|Frühsommer 2025</t>
  </si>
  <si>
    <t>Maschinenbau|Beschäftigung|Herbst 2025</t>
  </si>
  <si>
    <t>Maschinenbau|Beschäftigung|Jahresbeginn 2026</t>
  </si>
  <si>
    <t>Maschinenbau|Beschäftigung|Frühsommer 2026</t>
  </si>
  <si>
    <t>Maschinenbau|Beschäftigung|Herbst 2026</t>
  </si>
  <si>
    <t>Maschinenbau|Erwartungen|Jahresbeginn 2024</t>
  </si>
  <si>
    <t>Maschinenbau|Erwartungen|Frühsommer 2024</t>
  </si>
  <si>
    <t>Maschinenbau|Erwartungen|Herbst 2024</t>
  </si>
  <si>
    <t>Maschinenbau|Erwartungen|Jahresbeginn 2025</t>
  </si>
  <si>
    <t>Maschinenbau|Erwartungen|Frühsommer 2025</t>
  </si>
  <si>
    <t>Maschinenbau|Erwartungen|Herbst 2025</t>
  </si>
  <si>
    <t>Maschinenbau|Erwartungen|Jahresbeginn 2026</t>
  </si>
  <si>
    <t>Maschinenbau|Erwartungen|Frühsommer 2026</t>
  </si>
  <si>
    <t>Maschinenbau|Erwartungen|Herbst 2026</t>
  </si>
  <si>
    <t>Maschinenbau|Export|Jahresbeginn 2024</t>
  </si>
  <si>
    <t>Maschinenbau|Export|Frühsommer 2024</t>
  </si>
  <si>
    <t>Maschinenbau|Export|Herbst 2024</t>
  </si>
  <si>
    <t>Maschinenbau|Export|Jahresbeginn 2025</t>
  </si>
  <si>
    <t>Maschinenbau|Export|Frühsommer 2025</t>
  </si>
  <si>
    <t>Maschinenbau|Export|Herbst 2025</t>
  </si>
  <si>
    <t>Maschinenbau|Export|Jahresbeginn 2026</t>
  </si>
  <si>
    <t>Maschinenbau|Export|Frühsommer 2026</t>
  </si>
  <si>
    <t>Maschinenbau|Export|Herbst 2026</t>
  </si>
  <si>
    <t>Maschinenbau|Investitionen|Jahresbeginn 2024</t>
  </si>
  <si>
    <t>Maschinenbau|Investitionen|Frühsommer 2024</t>
  </si>
  <si>
    <t>Maschinenbau|Investitionen|Herbst 2024</t>
  </si>
  <si>
    <t>Maschinenbau|Investitionen|Jahresbeginn 2025</t>
  </si>
  <si>
    <t>Maschinenbau|Investitionen|Frühsommer 2025</t>
  </si>
  <si>
    <t>Maschinenbau|Investitionen|Herbst 2025</t>
  </si>
  <si>
    <t>Maschinenbau|Investitionen|Jahresbeginn 2026</t>
  </si>
  <si>
    <t>Maschinenbau|Investitionen|Frühsommer 2026</t>
  </si>
  <si>
    <t>Maschinenbau|Investitionen|Herbst 2026</t>
  </si>
  <si>
    <t>Maschinenbau|Lage|Jahresbeginn 2024</t>
  </si>
  <si>
    <t>Maschinenbau|Lage|Frühsommer 2024</t>
  </si>
  <si>
    <t>Maschinenbau|Lage|Herbst 2024</t>
  </si>
  <si>
    <t>Maschinenbau|Lage|Jahresbeginn 2025</t>
  </si>
  <si>
    <t>Maschinenbau|Lage|Frühsommer 2025</t>
  </si>
  <si>
    <t>Maschinenbau|Lage|Herbst 2025</t>
  </si>
  <si>
    <t>Maschinenbau|Lage|Jahresbeginn 2026</t>
  </si>
  <si>
    <t>Maschinenbau|Lage|Frühsommer 2026</t>
  </si>
  <si>
    <t>Maschinenbau|Lage|Herbst 2026</t>
  </si>
  <si>
    <t>Medien- und Filmwirtschaft|Beschäftigung|Jahresbeginn 2024</t>
  </si>
  <si>
    <t>Medien- und Filmwirtschaft|Beschäftigung|Frühsommer 2024</t>
  </si>
  <si>
    <t>Medien- und Filmwirtschaft|Beschäftigung|Herbst 2024</t>
  </si>
  <si>
    <t>Medien- und Filmwirtschaft|Beschäftigung|Jahresbeginn 2025</t>
  </si>
  <si>
    <t>Medien- und Filmwirtschaft|Beschäftigung|Frühsommer 2025</t>
  </si>
  <si>
    <t>Medien- und Filmwirtschaft|Beschäftigung|Herbst 2025</t>
  </si>
  <si>
    <t>Medien- und Filmwirtschaft|Beschäftigung|Jahresbeginn 2026</t>
  </si>
  <si>
    <t>Medien- und Filmwirtschaft|Beschäftigung|Frühsommer 2026</t>
  </si>
  <si>
    <t>Medien- und Filmwirtschaft|Beschäftigung|Herbst 2026</t>
  </si>
  <si>
    <t>Medien- und Filmwirtschaft|Erwartungen|Jahresbeginn 2024</t>
  </si>
  <si>
    <t>Medien- und Filmwirtschaft|Erwartungen|Frühsommer 2024</t>
  </si>
  <si>
    <t>Medien- und Filmwirtschaft|Erwartungen|Herbst 2024</t>
  </si>
  <si>
    <t>Medien- und Filmwirtschaft|Erwartungen|Jahresbeginn 2025</t>
  </si>
  <si>
    <t>Medien- und Filmwirtschaft|Erwartungen|Frühsommer 2025</t>
  </si>
  <si>
    <t>Medien- und Filmwirtschaft|Erwartungen|Herbst 2025</t>
  </si>
  <si>
    <t>Medien- und Filmwirtschaft|Erwartungen|Jahresbeginn 2026</t>
  </si>
  <si>
    <t>Medien- und Filmwirtschaft|Erwartungen|Frühsommer 2026</t>
  </si>
  <si>
    <t>Medien- und Filmwirtschaft|Erwartungen|Herbst 2026</t>
  </si>
  <si>
    <t>Medien- und Filmwirtschaft|Export|Jahresbeginn 2024</t>
  </si>
  <si>
    <t>Medien- und Filmwirtschaft|Export|Frühsommer 2024</t>
  </si>
  <si>
    <t>Medien- und Filmwirtschaft|Export|Herbst 2024</t>
  </si>
  <si>
    <t>Medien- und Filmwirtschaft|Export|Jahresbeginn 2025</t>
  </si>
  <si>
    <t>Medien- und Filmwirtschaft|Export|Frühsommer 2025</t>
  </si>
  <si>
    <t>Medien- und Filmwirtschaft|Export|Herbst 2025</t>
  </si>
  <si>
    <t>Medien- und Filmwirtschaft|Export|Jahresbeginn 2026</t>
  </si>
  <si>
    <t>Medien- und Filmwirtschaft|Export|Frühsommer 2026</t>
  </si>
  <si>
    <t>Medien- und Filmwirtschaft|Export|Herbst 2026</t>
  </si>
  <si>
    <t>Medien- und Filmwirtschaft|Investitionen|Jahresbeginn 2024</t>
  </si>
  <si>
    <t>Medien- und Filmwirtschaft|Investitionen|Frühsommer 2024</t>
  </si>
  <si>
    <t>Medien- und Filmwirtschaft|Investitionen|Herbst 2024</t>
  </si>
  <si>
    <t>Medien- und Filmwirtschaft|Investitionen|Jahresbeginn 2025</t>
  </si>
  <si>
    <t>Medien- und Filmwirtschaft|Investitionen|Frühsommer 2025</t>
  </si>
  <si>
    <t>Medien- und Filmwirtschaft|Investitionen|Herbst 2025</t>
  </si>
  <si>
    <t>Medien- und Filmwirtschaft|Investitionen|Jahresbeginn 2026</t>
  </si>
  <si>
    <t>Medien- und Filmwirtschaft|Investitionen|Frühsommer 2026</t>
  </si>
  <si>
    <t>Medien- und Filmwirtschaft|Investitionen|Herbst 2026</t>
  </si>
  <si>
    <t>Medien- und Filmwirtschaft|Lage|Jahresbeginn 2024</t>
  </si>
  <si>
    <t>Medien- und Filmwirtschaft|Lage|Frühsommer 2024</t>
  </si>
  <si>
    <t>Medien- und Filmwirtschaft|Lage|Herbst 2024</t>
  </si>
  <si>
    <t>Medien- und Filmwirtschaft|Lage|Jahresbeginn 2025</t>
  </si>
  <si>
    <t>Medien- und Filmwirtschaft|Lage|Frühsommer 2025</t>
  </si>
  <si>
    <t>Medien- und Filmwirtschaft|Lage|Herbst 2025</t>
  </si>
  <si>
    <t>Medien- und Filmwirtschaft|Lage|Jahresbeginn 2026</t>
  </si>
  <si>
    <t>Medien- und Filmwirtschaft|Lage|Frühsommer 2026</t>
  </si>
  <si>
    <t>Medien- und Filmwirtschaft|Lage|Herbst 2026</t>
  </si>
  <si>
    <t>Metallerzeugnisse|Beschäftigung|Jahresbeginn 2024</t>
  </si>
  <si>
    <t>Metallerzeugnisse|Beschäftigung|Frühsommer 2024</t>
  </si>
  <si>
    <t>Metallerzeugnisse|Beschäftigung|Herbst 2024</t>
  </si>
  <si>
    <t>Metallerzeugnisse|Beschäftigung|Jahresbeginn 2025</t>
  </si>
  <si>
    <t>Metallerzeugnisse|Beschäftigung|Frühsommer 2025</t>
  </si>
  <si>
    <t>Metallerzeugnisse|Beschäftigung|Herbst 2025</t>
  </si>
  <si>
    <t>Metallerzeugnisse|Beschäftigung|Jahresbeginn 2026</t>
  </si>
  <si>
    <t>Metallerzeugnisse|Beschäftigung|Frühsommer 2026</t>
  </si>
  <si>
    <t>Metallerzeugnisse|Beschäftigung|Herbst 2026</t>
  </si>
  <si>
    <t>Metallerzeugnisse|Erwartungen|Jahresbeginn 2024</t>
  </si>
  <si>
    <t>Metallerzeugnisse|Erwartungen|Frühsommer 2024</t>
  </si>
  <si>
    <t>Metallerzeugnisse|Erwartungen|Herbst 2024</t>
  </si>
  <si>
    <t>Metallerzeugnisse|Erwartungen|Jahresbeginn 2025</t>
  </si>
  <si>
    <t>Metallerzeugnisse|Erwartungen|Frühsommer 2025</t>
  </si>
  <si>
    <t>Metallerzeugnisse|Erwartungen|Herbst 2025</t>
  </si>
  <si>
    <t>Metallerzeugnisse|Erwartungen|Jahresbeginn 2026</t>
  </si>
  <si>
    <t>Metallerzeugnisse|Erwartungen|Frühsommer 2026</t>
  </si>
  <si>
    <t>Metallerzeugnisse|Erwartungen|Herbst 2026</t>
  </si>
  <si>
    <t>Metallerzeugnisse|Export|Jahresbeginn 2024</t>
  </si>
  <si>
    <t>Metallerzeugnisse|Export|Frühsommer 2024</t>
  </si>
  <si>
    <t>Metallerzeugnisse|Export|Herbst 2024</t>
  </si>
  <si>
    <t>Metallerzeugnisse|Export|Jahresbeginn 2025</t>
  </si>
  <si>
    <t>Metallerzeugnisse|Export|Frühsommer 2025</t>
  </si>
  <si>
    <t>Metallerzeugnisse|Export|Herbst 2025</t>
  </si>
  <si>
    <t>Metallerzeugnisse|Export|Jahresbeginn 2026</t>
  </si>
  <si>
    <t>Metallerzeugnisse|Export|Frühsommer 2026</t>
  </si>
  <si>
    <t>Metallerzeugnisse|Export|Herbst 2026</t>
  </si>
  <si>
    <t>Metallerzeugnisse|Investitionen|Jahresbeginn 2024</t>
  </si>
  <si>
    <t>Metallerzeugnisse|Investitionen|Frühsommer 2024</t>
  </si>
  <si>
    <t>Metallerzeugnisse|Investitionen|Herbst 2024</t>
  </si>
  <si>
    <t>Metallerzeugnisse|Investitionen|Jahresbeginn 2025</t>
  </si>
  <si>
    <t>Metallerzeugnisse|Investitionen|Frühsommer 2025</t>
  </si>
  <si>
    <t>Metallerzeugnisse|Investitionen|Herbst 2025</t>
  </si>
  <si>
    <t>Metallerzeugnisse|Investitionen|Jahresbeginn 2026</t>
  </si>
  <si>
    <t>Metallerzeugnisse|Investitionen|Frühsommer 2026</t>
  </si>
  <si>
    <t>Metallerzeugnisse|Investitionen|Herbst 2026</t>
  </si>
  <si>
    <t>Metallerzeugnisse|Lage|Jahresbeginn 2024</t>
  </si>
  <si>
    <t>Metallerzeugnisse|Lage|Frühsommer 2024</t>
  </si>
  <si>
    <t>Metallerzeugnisse|Lage|Herbst 2024</t>
  </si>
  <si>
    <t>Metallerzeugnisse|Lage|Jahresbeginn 2025</t>
  </si>
  <si>
    <t>Metallerzeugnisse|Lage|Frühsommer 2025</t>
  </si>
  <si>
    <t>Metallerzeugnisse|Lage|Herbst 2025</t>
  </si>
  <si>
    <t>Metallerzeugnisse|Lage|Jahresbeginn 2026</t>
  </si>
  <si>
    <t>Metallerzeugnisse|Lage|Frühsommer 2026</t>
  </si>
  <si>
    <t>Metallerzeugnisse|Lage|Herbst 2026</t>
  </si>
  <si>
    <t>Metallerzeugung und -bearbeitung|Beschäftigung|Jahresbeginn 2024</t>
  </si>
  <si>
    <t>Metallerzeugung und -bearbeitung|Beschäftigung|Frühsommer 2024</t>
  </si>
  <si>
    <t>Metallerzeugung und -bearbeitung|Beschäftigung|Herbst 2024</t>
  </si>
  <si>
    <t>Metallerzeugung und -bearbeitung|Beschäftigung|Jahresbeginn 2025</t>
  </si>
  <si>
    <t>Metallerzeugung und -bearbeitung|Beschäftigung|Frühsommer 2025</t>
  </si>
  <si>
    <t>Metallerzeugung und -bearbeitung|Beschäftigung|Herbst 2025</t>
  </si>
  <si>
    <t>Metallerzeugung und -bearbeitung|Beschäftigung|Jahresbeginn 2026</t>
  </si>
  <si>
    <t>Metallerzeugung und -bearbeitung|Beschäftigung|Frühsommer 2026</t>
  </si>
  <si>
    <t>Metallerzeugung und -bearbeitung|Beschäftigung|Herbst 2026</t>
  </si>
  <si>
    <t>Metallerzeugung und -bearbeitung|Erwartungen|Jahresbeginn 2024</t>
  </si>
  <si>
    <t>Metallerzeugung und -bearbeitung|Erwartungen|Frühsommer 2024</t>
  </si>
  <si>
    <t>Metallerzeugung und -bearbeitung|Erwartungen|Herbst 2024</t>
  </si>
  <si>
    <t>Metallerzeugung und -bearbeitung|Erwartungen|Jahresbeginn 2025</t>
  </si>
  <si>
    <t>Metallerzeugung und -bearbeitung|Erwartungen|Frühsommer 2025</t>
  </si>
  <si>
    <t>Metallerzeugung und -bearbeitung|Erwartungen|Herbst 2025</t>
  </si>
  <si>
    <t>Metallerzeugung und -bearbeitung|Erwartungen|Jahresbeginn 2026</t>
  </si>
  <si>
    <t>Metallerzeugung und -bearbeitung|Erwartungen|Frühsommer 2026</t>
  </si>
  <si>
    <t>Metallerzeugung und -bearbeitung|Erwartungen|Herbst 2026</t>
  </si>
  <si>
    <t>Metallerzeugung und -bearbeitung|Export|Jahresbeginn 2024</t>
  </si>
  <si>
    <t>Metallerzeugung und -bearbeitung|Export|Frühsommer 2024</t>
  </si>
  <si>
    <t>Metallerzeugung und -bearbeitung|Export|Herbst 2024</t>
  </si>
  <si>
    <t>Metallerzeugung und -bearbeitung|Export|Jahresbeginn 2025</t>
  </si>
  <si>
    <t>Metallerzeugung und -bearbeitung|Export|Frühsommer 2025</t>
  </si>
  <si>
    <t>Metallerzeugung und -bearbeitung|Export|Herbst 2025</t>
  </si>
  <si>
    <t>Metallerzeugung und -bearbeitung|Export|Jahresbeginn 2026</t>
  </si>
  <si>
    <t>Metallerzeugung und -bearbeitung|Export|Frühsommer 2026</t>
  </si>
  <si>
    <t>Metallerzeugung und -bearbeitung|Export|Herbst 2026</t>
  </si>
  <si>
    <t>Metallerzeugung und -bearbeitung|Investitionen|Jahresbeginn 2024</t>
  </si>
  <si>
    <t>Metallerzeugung und -bearbeitung|Investitionen|Frühsommer 2024</t>
  </si>
  <si>
    <t>Metallerzeugung und -bearbeitung|Investitionen|Herbst 2024</t>
  </si>
  <si>
    <t>Metallerzeugung und -bearbeitung|Investitionen|Jahresbeginn 2025</t>
  </si>
  <si>
    <t>Metallerzeugung und -bearbeitung|Investitionen|Frühsommer 2025</t>
  </si>
  <si>
    <t>Metallerzeugung und -bearbeitung|Investitionen|Herbst 2025</t>
  </si>
  <si>
    <t>Metallerzeugung und -bearbeitung|Investitionen|Jahresbeginn 2026</t>
  </si>
  <si>
    <t>Metallerzeugung und -bearbeitung|Investitionen|Frühsommer 2026</t>
  </si>
  <si>
    <t>Metallerzeugung und -bearbeitung|Investitionen|Herbst 2026</t>
  </si>
  <si>
    <t>Metallerzeugung und -bearbeitung|Lage|Jahresbeginn 2024</t>
  </si>
  <si>
    <t>Metallerzeugung und -bearbeitung|Lage|Frühsommer 2024</t>
  </si>
  <si>
    <t>Metallerzeugung und -bearbeitung|Lage|Herbst 2024</t>
  </si>
  <si>
    <t>Metallerzeugung und -bearbeitung|Lage|Jahresbeginn 2025</t>
  </si>
  <si>
    <t>Metallerzeugung und -bearbeitung|Lage|Frühsommer 2025</t>
  </si>
  <si>
    <t>Metallerzeugung und -bearbeitung|Lage|Herbst 2025</t>
  </si>
  <si>
    <t>Metallerzeugung und -bearbeitung|Lage|Jahresbeginn 2026</t>
  </si>
  <si>
    <t>Metallerzeugung und -bearbeitung|Lage|Frühsommer 2026</t>
  </si>
  <si>
    <t>Metallerzeugung und -bearbeitung|Lage|Herbst 2026</t>
  </si>
  <si>
    <t>Möbel|Beschäftigung|Jahresbeginn 2024</t>
  </si>
  <si>
    <t>Möbel|Beschäftigung|Frühsommer 2024</t>
  </si>
  <si>
    <t>Möbel|Beschäftigung|Herbst 2024</t>
  </si>
  <si>
    <t>Möbel|Beschäftigung|Jahresbeginn 2025</t>
  </si>
  <si>
    <t>Möbel|Beschäftigung|Frühsommer 2025</t>
  </si>
  <si>
    <t>Möbel|Beschäftigung|Herbst 2025</t>
  </si>
  <si>
    <t>Möbel|Beschäftigung|Jahresbeginn 2026</t>
  </si>
  <si>
    <t>Möbel|Beschäftigung|Frühsommer 2026</t>
  </si>
  <si>
    <t>Möbel|Beschäftigung|Herbst 2026</t>
  </si>
  <si>
    <t>Möbel|Erwartungen|Jahresbeginn 2024</t>
  </si>
  <si>
    <t>Möbel|Erwartungen|Frühsommer 2024</t>
  </si>
  <si>
    <t>Möbel|Erwartungen|Herbst 2024</t>
  </si>
  <si>
    <t>Möbel|Erwartungen|Jahresbeginn 2025</t>
  </si>
  <si>
    <t>Möbel|Erwartungen|Frühsommer 2025</t>
  </si>
  <si>
    <t>Möbel|Erwartungen|Herbst 2025</t>
  </si>
  <si>
    <t>Möbel|Erwartungen|Jahresbeginn 2026</t>
  </si>
  <si>
    <t>Möbel|Erwartungen|Frühsommer 2026</t>
  </si>
  <si>
    <t>Möbel|Erwartungen|Herbst 2026</t>
  </si>
  <si>
    <t>Möbel|Export|Jahresbeginn 2024</t>
  </si>
  <si>
    <t>Möbel|Export|Frühsommer 2024</t>
  </si>
  <si>
    <t>Möbel|Export|Herbst 2024</t>
  </si>
  <si>
    <t>Möbel|Export|Jahresbeginn 2025</t>
  </si>
  <si>
    <t>Möbel|Export|Frühsommer 2025</t>
  </si>
  <si>
    <t>Möbel|Export|Herbst 2025</t>
  </si>
  <si>
    <t>Möbel|Export|Jahresbeginn 2026</t>
  </si>
  <si>
    <t>Möbel|Export|Frühsommer 2026</t>
  </si>
  <si>
    <t>Möbel|Export|Herbst 2026</t>
  </si>
  <si>
    <t>Möbel|Investitionen|Jahresbeginn 2024</t>
  </si>
  <si>
    <t>Möbel|Investitionen|Frühsommer 2024</t>
  </si>
  <si>
    <t>Möbel|Investitionen|Herbst 2024</t>
  </si>
  <si>
    <t>Möbel|Investitionen|Jahresbeginn 2025</t>
  </si>
  <si>
    <t>Möbel|Investitionen|Frühsommer 2025</t>
  </si>
  <si>
    <t>Möbel|Investitionen|Herbst 2025</t>
  </si>
  <si>
    <t>Möbel|Investitionen|Jahresbeginn 2026</t>
  </si>
  <si>
    <t>Möbel|Investitionen|Frühsommer 2026</t>
  </si>
  <si>
    <t>Möbel|Investitionen|Herbst 2026</t>
  </si>
  <si>
    <t>Möbel|Lage|Jahresbeginn 2024</t>
  </si>
  <si>
    <t>Möbel|Lage|Frühsommer 2024</t>
  </si>
  <si>
    <t>Möbel|Lage|Herbst 2024</t>
  </si>
  <si>
    <t>Möbel|Lage|Jahresbeginn 2025</t>
  </si>
  <si>
    <t>Möbel|Lage|Frühsommer 2025</t>
  </si>
  <si>
    <t>Möbel|Lage|Herbst 2025</t>
  </si>
  <si>
    <t>Möbel|Lage|Jahresbeginn 2026</t>
  </si>
  <si>
    <t>Möbel|Lage|Frühsommer 2026</t>
  </si>
  <si>
    <t>Möbel|Lage|Herbst 2026</t>
  </si>
  <si>
    <t>Nahrungs- und Futtermittelindustrie|Beschäftigung|Jahresbeginn 2024</t>
  </si>
  <si>
    <t>Nahrungs- und Futtermittelindustrie|Beschäftigung|Frühsommer 2024</t>
  </si>
  <si>
    <t>Nahrungs- und Futtermittelindustrie|Beschäftigung|Herbst 2024</t>
  </si>
  <si>
    <t>Nahrungs- und Futtermittelindustrie|Beschäftigung|Jahresbeginn 2025</t>
  </si>
  <si>
    <t>Nahrungs- und Futtermittelindustrie|Beschäftigung|Frühsommer 2025</t>
  </si>
  <si>
    <t>Nahrungs- und Futtermittelindustrie|Beschäftigung|Herbst 2025</t>
  </si>
  <si>
    <t>Nahrungs- und Futtermittelindustrie|Beschäftigung|Jahresbeginn 2026</t>
  </si>
  <si>
    <t>Nahrungs- und Futtermittelindustrie|Beschäftigung|Frühsommer 2026</t>
  </si>
  <si>
    <t>Nahrungs- und Futtermittelindustrie|Beschäftigung|Herbst 2026</t>
  </si>
  <si>
    <t>Nahrungs- und Futtermittelindustrie|Erwartungen|Jahresbeginn 2024</t>
  </si>
  <si>
    <t>Nahrungs- und Futtermittelindustrie|Erwartungen|Frühsommer 2024</t>
  </si>
  <si>
    <t>Nahrungs- und Futtermittelindustrie|Erwartungen|Herbst 2024</t>
  </si>
  <si>
    <t>Nahrungs- und Futtermittelindustrie|Erwartungen|Jahresbeginn 2025</t>
  </si>
  <si>
    <t>Nahrungs- und Futtermittelindustrie|Erwartungen|Frühsommer 2025</t>
  </si>
  <si>
    <t>Nahrungs- und Futtermittelindustrie|Erwartungen|Herbst 2025</t>
  </si>
  <si>
    <t>Nahrungs- und Futtermittelindustrie|Erwartungen|Jahresbeginn 2026</t>
  </si>
  <si>
    <t>Nahrungs- und Futtermittelindustrie|Erwartungen|Frühsommer 2026</t>
  </si>
  <si>
    <t>Nahrungs- und Futtermittelindustrie|Erwartungen|Herbst 2026</t>
  </si>
  <si>
    <t>Nahrungs- und Futtermittelindustrie|Export|Jahresbeginn 2024</t>
  </si>
  <si>
    <t>Nahrungs- und Futtermittelindustrie|Export|Frühsommer 2024</t>
  </si>
  <si>
    <t>Nahrungs- und Futtermittelindustrie|Export|Herbst 2024</t>
  </si>
  <si>
    <t>Nahrungs- und Futtermittelindustrie|Export|Jahresbeginn 2025</t>
  </si>
  <si>
    <t>Nahrungs- und Futtermittelindustrie|Export|Frühsommer 2025</t>
  </si>
  <si>
    <t>Nahrungs- und Futtermittelindustrie|Export|Herbst 2025</t>
  </si>
  <si>
    <t>Nahrungs- und Futtermittelindustrie|Export|Jahresbeginn 2026</t>
  </si>
  <si>
    <t>Nahrungs- und Futtermittelindustrie|Export|Frühsommer 2026</t>
  </si>
  <si>
    <t>Nahrungs- und Futtermittelindustrie|Export|Herbst 2026</t>
  </si>
  <si>
    <t>Nahrungs- und Futtermittelindustrie|Investitionen|Jahresbeginn 2024</t>
  </si>
  <si>
    <t>Nahrungs- und Futtermittelindustrie|Investitionen|Frühsommer 2024</t>
  </si>
  <si>
    <t>Nahrungs- und Futtermittelindustrie|Investitionen|Herbst 2024</t>
  </si>
  <si>
    <t>Nahrungs- und Futtermittelindustrie|Investitionen|Jahresbeginn 2025</t>
  </si>
  <si>
    <t>Nahrungs- und Futtermittelindustrie|Investitionen|Frühsommer 2025</t>
  </si>
  <si>
    <t>Nahrungs- und Futtermittelindustrie|Investitionen|Herbst 2025</t>
  </si>
  <si>
    <t>Nahrungs- und Futtermittelindustrie|Investitionen|Jahresbeginn 2026</t>
  </si>
  <si>
    <t>Nahrungs- und Futtermittelindustrie|Investitionen|Frühsommer 2026</t>
  </si>
  <si>
    <t>Nahrungs- und Futtermittelindustrie|Investitionen|Herbst 2026</t>
  </si>
  <si>
    <t>Nahrungs- und Futtermittelindustrie|Lage|Jahresbeginn 2024</t>
  </si>
  <si>
    <t>Nahrungs- und Futtermittelindustrie|Lage|Frühsommer 2024</t>
  </si>
  <si>
    <t>Nahrungs- und Futtermittelindustrie|Lage|Herbst 2024</t>
  </si>
  <si>
    <t>Nahrungs- und Futtermittelindustrie|Lage|Jahresbeginn 2025</t>
  </si>
  <si>
    <t>Nahrungs- und Futtermittelindustrie|Lage|Frühsommer 2025</t>
  </si>
  <si>
    <t>Nahrungs- und Futtermittelindustrie|Lage|Herbst 2025</t>
  </si>
  <si>
    <t>Nahrungs- und Futtermittelindustrie|Lage|Jahresbeginn 2026</t>
  </si>
  <si>
    <t>Nahrungs- und Futtermittelindustrie|Lage|Frühsommer 2026</t>
  </si>
  <si>
    <t>Nahrungs- und Futtermittelindustrie|Lage|Herbst 2026</t>
  </si>
  <si>
    <t>Papiergewerbe|Beschäftigung|Jahresbeginn 2024</t>
  </si>
  <si>
    <t>Papiergewerbe|Beschäftigung|Frühsommer 2024</t>
  </si>
  <si>
    <t>Papiergewerbe|Beschäftigung|Herbst 2024</t>
  </si>
  <si>
    <t>Papiergewerbe|Beschäftigung|Jahresbeginn 2025</t>
  </si>
  <si>
    <t>Papiergewerbe|Beschäftigung|Frühsommer 2025</t>
  </si>
  <si>
    <t>Papiergewerbe|Beschäftigung|Herbst 2025</t>
  </si>
  <si>
    <t>Papiergewerbe|Beschäftigung|Jahresbeginn 2026</t>
  </si>
  <si>
    <t>Papiergewerbe|Beschäftigung|Frühsommer 2026</t>
  </si>
  <si>
    <t>Papiergewerbe|Beschäftigung|Herbst 2026</t>
  </si>
  <si>
    <t>Papiergewerbe|Erwartungen|Jahresbeginn 2024</t>
  </si>
  <si>
    <t>Papiergewerbe|Erwartungen|Frühsommer 2024</t>
  </si>
  <si>
    <t>Papiergewerbe|Erwartungen|Herbst 2024</t>
  </si>
  <si>
    <t>Papiergewerbe|Erwartungen|Jahresbeginn 2025</t>
  </si>
  <si>
    <t>Papiergewerbe|Erwartungen|Frühsommer 2025</t>
  </si>
  <si>
    <t>Papiergewerbe|Erwartungen|Herbst 2025</t>
  </si>
  <si>
    <t>Papiergewerbe|Erwartungen|Jahresbeginn 2026</t>
  </si>
  <si>
    <t>Papiergewerbe|Erwartungen|Frühsommer 2026</t>
  </si>
  <si>
    <t>Papiergewerbe|Erwartungen|Herbst 2026</t>
  </si>
  <si>
    <t>Papiergewerbe|Export|Jahresbeginn 2024</t>
  </si>
  <si>
    <t>Papiergewerbe|Export|Frühsommer 2024</t>
  </si>
  <si>
    <t>Papiergewerbe|Export|Herbst 2024</t>
  </si>
  <si>
    <t>Papiergewerbe|Export|Jahresbeginn 2025</t>
  </si>
  <si>
    <t>Papiergewerbe|Export|Frühsommer 2025</t>
  </si>
  <si>
    <t>Papiergewerbe|Export|Herbst 2025</t>
  </si>
  <si>
    <t>Papiergewerbe|Export|Jahresbeginn 2026</t>
  </si>
  <si>
    <t>Papiergewerbe|Export|Frühsommer 2026</t>
  </si>
  <si>
    <t>Papiergewerbe|Export|Herbst 2026</t>
  </si>
  <si>
    <t>Papiergewerbe|Investitionen|Jahresbeginn 2024</t>
  </si>
  <si>
    <t>Papiergewerbe|Investitionen|Frühsommer 2024</t>
  </si>
  <si>
    <t>Papiergewerbe|Investitionen|Herbst 2024</t>
  </si>
  <si>
    <t>Papiergewerbe|Investitionen|Jahresbeginn 2025</t>
  </si>
  <si>
    <t>Papiergewerbe|Investitionen|Frühsommer 2025</t>
  </si>
  <si>
    <t>Papiergewerbe|Investitionen|Herbst 2025</t>
  </si>
  <si>
    <t>Papiergewerbe|Investitionen|Jahresbeginn 2026</t>
  </si>
  <si>
    <t>Papiergewerbe|Investitionen|Frühsommer 2026</t>
  </si>
  <si>
    <t>Papiergewerbe|Investitionen|Herbst 2026</t>
  </si>
  <si>
    <t>Papiergewerbe|Lage|Jahresbeginn 2024</t>
  </si>
  <si>
    <t>Papiergewerbe|Lage|Frühsommer 2024</t>
  </si>
  <si>
    <t>Papiergewerbe|Lage|Herbst 2024</t>
  </si>
  <si>
    <t>Papiergewerbe|Lage|Jahresbeginn 2025</t>
  </si>
  <si>
    <t>Papiergewerbe|Lage|Frühsommer 2025</t>
  </si>
  <si>
    <t>Papiergewerbe|Lage|Herbst 2025</t>
  </si>
  <si>
    <t>Papiergewerbe|Lage|Jahresbeginn 2026</t>
  </si>
  <si>
    <t>Papiergewerbe|Lage|Frühsommer 2026</t>
  </si>
  <si>
    <t>Papiergewerbe|Lage|Herbst 2026</t>
  </si>
  <si>
    <t>Pharmazeutische Industrie|Beschäftigung|Jahresbeginn 2024</t>
  </si>
  <si>
    <t>Pharmazeutische Industrie|Beschäftigung|Frühsommer 2024</t>
  </si>
  <si>
    <t>Pharmazeutische Industrie|Beschäftigung|Herbst 2024</t>
  </si>
  <si>
    <t>Pharmazeutische Industrie|Beschäftigung|Jahresbeginn 2025</t>
  </si>
  <si>
    <t>Pharmazeutische Industrie|Beschäftigung|Frühsommer 2025</t>
  </si>
  <si>
    <t>Pharmazeutische Industrie|Beschäftigung|Herbst 2025</t>
  </si>
  <si>
    <t>Pharmazeutische Industrie|Beschäftigung|Jahresbeginn 2026</t>
  </si>
  <si>
    <t>Pharmazeutische Industrie|Beschäftigung|Frühsommer 2026</t>
  </si>
  <si>
    <t>Pharmazeutische Industrie|Beschäftigung|Herbst 2026</t>
  </si>
  <si>
    <t>Pharmazeutische Industrie|Erwartungen|Jahresbeginn 2024</t>
  </si>
  <si>
    <t>Pharmazeutische Industrie|Erwartungen|Frühsommer 2024</t>
  </si>
  <si>
    <t>Pharmazeutische Industrie|Erwartungen|Herbst 2024</t>
  </si>
  <si>
    <t>Pharmazeutische Industrie|Erwartungen|Jahresbeginn 2025</t>
  </si>
  <si>
    <t>Pharmazeutische Industrie|Erwartungen|Frühsommer 2025</t>
  </si>
  <si>
    <t>Pharmazeutische Industrie|Erwartungen|Herbst 2025</t>
  </si>
  <si>
    <t>Pharmazeutische Industrie|Erwartungen|Jahresbeginn 2026</t>
  </si>
  <si>
    <t>Pharmazeutische Industrie|Erwartungen|Frühsommer 2026</t>
  </si>
  <si>
    <t>Pharmazeutische Industrie|Erwartungen|Herbst 2026</t>
  </si>
  <si>
    <t>Pharmazeutische Industrie|Export|Jahresbeginn 2024</t>
  </si>
  <si>
    <t>Pharmazeutische Industrie|Export|Frühsommer 2024</t>
  </si>
  <si>
    <t>Pharmazeutische Industrie|Export|Herbst 2024</t>
  </si>
  <si>
    <t>Pharmazeutische Industrie|Export|Jahresbeginn 2025</t>
  </si>
  <si>
    <t>Pharmazeutische Industrie|Export|Frühsommer 2025</t>
  </si>
  <si>
    <t>Pharmazeutische Industrie|Export|Herbst 2025</t>
  </si>
  <si>
    <t>Pharmazeutische Industrie|Export|Jahresbeginn 2026</t>
  </si>
  <si>
    <t>Pharmazeutische Industrie|Export|Frühsommer 2026</t>
  </si>
  <si>
    <t>Pharmazeutische Industrie|Export|Herbst 2026</t>
  </si>
  <si>
    <t>Pharmazeutische Industrie|Investitionen|Jahresbeginn 2024</t>
  </si>
  <si>
    <t>Pharmazeutische Industrie|Investitionen|Frühsommer 2024</t>
  </si>
  <si>
    <t>Pharmazeutische Industrie|Investitionen|Herbst 2024</t>
  </si>
  <si>
    <t>Pharmazeutische Industrie|Investitionen|Jahresbeginn 2025</t>
  </si>
  <si>
    <t>Pharmazeutische Industrie|Investitionen|Frühsommer 2025</t>
  </si>
  <si>
    <t>Pharmazeutische Industrie|Investitionen|Herbst 2025</t>
  </si>
  <si>
    <t>Pharmazeutische Industrie|Investitionen|Jahresbeginn 2026</t>
  </si>
  <si>
    <t>Pharmazeutische Industrie|Investitionen|Frühsommer 2026</t>
  </si>
  <si>
    <t>Pharmazeutische Industrie|Investitionen|Herbst 2026</t>
  </si>
  <si>
    <t>Pharmazeutische Industrie|Lage|Jahresbeginn 2024</t>
  </si>
  <si>
    <t>Pharmazeutische Industrie|Lage|Frühsommer 2024</t>
  </si>
  <si>
    <t>Pharmazeutische Industrie|Lage|Herbst 2024</t>
  </si>
  <si>
    <t>Pharmazeutische Industrie|Lage|Jahresbeginn 2025</t>
  </si>
  <si>
    <t>Pharmazeutische Industrie|Lage|Frühsommer 2025</t>
  </si>
  <si>
    <t>Pharmazeutische Industrie|Lage|Herbst 2025</t>
  </si>
  <si>
    <t>Pharmazeutische Industrie|Lage|Jahresbeginn 2026</t>
  </si>
  <si>
    <t>Pharmazeutische Industrie|Lage|Frühsommer 2026</t>
  </si>
  <si>
    <t>Pharmazeutische Industrie|Lage|Herbst 2026</t>
  </si>
  <si>
    <t>Rechts- und Steuerberatung, Wirtschaftsprüfung|Beschäftigung|Jahresbeginn 2024</t>
  </si>
  <si>
    <t>Rechts- und Steuerberatung, Wirtschaftsprüfung|Beschäftigung|Frühsommer 2024</t>
  </si>
  <si>
    <t>Rechts- und Steuerberatung, Wirtschaftsprüfung|Beschäftigung|Herbst 2024</t>
  </si>
  <si>
    <t>Rechts- und Steuerberatung, Wirtschaftsprüfung|Beschäftigung|Jahresbeginn 2025</t>
  </si>
  <si>
    <t>Rechts- und Steuerberatung, Wirtschaftsprüfung|Beschäftigung|Frühsommer 2025</t>
  </si>
  <si>
    <t>Rechts- und Steuerberatung, Wirtschaftsprüfung|Beschäftigung|Herbst 2025</t>
  </si>
  <si>
    <t>Rechts- und Steuerberatung, Wirtschaftsprüfung|Beschäftigung|Jahresbeginn 2026</t>
  </si>
  <si>
    <t>Rechts- und Steuerberatung, Wirtschaftsprüfung|Beschäftigung|Frühsommer 2026</t>
  </si>
  <si>
    <t>Rechts- und Steuerberatung, Wirtschaftsprüfung|Beschäftigung|Herbst 2026</t>
  </si>
  <si>
    <t>Rechts- und Steuerberatung, Wirtschaftsprüfung|Erwartungen|Jahresbeginn 2024</t>
  </si>
  <si>
    <t>Rechts- und Steuerberatung, Wirtschaftsprüfung|Erwartungen|Frühsommer 2024</t>
  </si>
  <si>
    <t>Rechts- und Steuerberatung, Wirtschaftsprüfung|Erwartungen|Herbst 2024</t>
  </si>
  <si>
    <t>Rechts- und Steuerberatung, Wirtschaftsprüfung|Erwartungen|Jahresbeginn 2025</t>
  </si>
  <si>
    <t>Rechts- und Steuerberatung, Wirtschaftsprüfung|Erwartungen|Frühsommer 2025</t>
  </si>
  <si>
    <t>Rechts- und Steuerberatung, Wirtschaftsprüfung|Erwartungen|Herbst 2025</t>
  </si>
  <si>
    <t>Rechts- und Steuerberatung, Wirtschaftsprüfung|Erwartungen|Jahresbeginn 2026</t>
  </si>
  <si>
    <t>Rechts- und Steuerberatung, Wirtschaftsprüfung|Erwartungen|Frühsommer 2026</t>
  </si>
  <si>
    <t>Rechts- und Steuerberatung, Wirtschaftsprüfung|Erwartungen|Herbst 2026</t>
  </si>
  <si>
    <t>Rechts- und Steuerberatung, Wirtschaftsprüfung|Export|Jahresbeginn 2024</t>
  </si>
  <si>
    <t>Rechts- und Steuerberatung, Wirtschaftsprüfung|Export|Frühsommer 2024</t>
  </si>
  <si>
    <t>Rechts- und Steuerberatung, Wirtschaftsprüfung|Export|Herbst 2024</t>
  </si>
  <si>
    <t>Rechts- und Steuerberatung, Wirtschaftsprüfung|Export|Jahresbeginn 2025</t>
  </si>
  <si>
    <t>Rechts- und Steuerberatung, Wirtschaftsprüfung|Export|Frühsommer 2025</t>
  </si>
  <si>
    <t>Rechts- und Steuerberatung, Wirtschaftsprüfung|Export|Herbst 2025</t>
  </si>
  <si>
    <t>Rechts- und Steuerberatung, Wirtschaftsprüfung|Export|Jahresbeginn 2026</t>
  </si>
  <si>
    <t>Rechts- und Steuerberatung, Wirtschaftsprüfung|Export|Frühsommer 2026</t>
  </si>
  <si>
    <t>Rechts- und Steuerberatung, Wirtschaftsprüfung|Export|Herbst 2026</t>
  </si>
  <si>
    <t>Rechts- und Steuerberatung, Wirtschaftsprüfung|Investitionen|Jahresbeginn 2024</t>
  </si>
  <si>
    <t>Rechts- und Steuerberatung, Wirtschaftsprüfung|Investitionen|Frühsommer 2024</t>
  </si>
  <si>
    <t>Rechts- und Steuerberatung, Wirtschaftsprüfung|Investitionen|Herbst 2024</t>
  </si>
  <si>
    <t>Rechts- und Steuerberatung, Wirtschaftsprüfung|Investitionen|Jahresbeginn 2025</t>
  </si>
  <si>
    <t>Rechts- und Steuerberatung, Wirtschaftsprüfung|Investitionen|Frühsommer 2025</t>
  </si>
  <si>
    <t>Rechts- und Steuerberatung, Wirtschaftsprüfung|Investitionen|Herbst 2025</t>
  </si>
  <si>
    <t>Rechts- und Steuerberatung, Wirtschaftsprüfung|Investitionen|Jahresbeginn 2026</t>
  </si>
  <si>
    <t>Rechts- und Steuerberatung, Wirtschaftsprüfung|Investitionen|Frühsommer 2026</t>
  </si>
  <si>
    <t>Rechts- und Steuerberatung, Wirtschaftsprüfung|Investitionen|Herbst 2026</t>
  </si>
  <si>
    <t>Rechts- und Steuerberatung, Wirtschaftsprüfung|Lage|Jahresbeginn 2024</t>
  </si>
  <si>
    <t>Rechts- und Steuerberatung, Wirtschaftsprüfung|Lage|Frühsommer 2024</t>
  </si>
  <si>
    <t>Rechts- und Steuerberatung, Wirtschaftsprüfung|Lage|Herbst 2024</t>
  </si>
  <si>
    <t>Rechts- und Steuerberatung, Wirtschaftsprüfung|Lage|Jahresbeginn 2025</t>
  </si>
  <si>
    <t>Rechts- und Steuerberatung, Wirtschaftsprüfung|Lage|Frühsommer 2025</t>
  </si>
  <si>
    <t>Rechts- und Steuerberatung, Wirtschaftsprüfung|Lage|Herbst 2025</t>
  </si>
  <si>
    <t>Rechts- und Steuerberatung, Wirtschaftsprüfung|Lage|Jahresbeginn 2026</t>
  </si>
  <si>
    <t>Rechts- und Steuerberatung, Wirtschaftsprüfung|Lage|Frühsommer 2026</t>
  </si>
  <si>
    <t>Rechts- und Steuerberatung, Wirtschaftsprüfung|Lage|Herbst 2026</t>
  </si>
  <si>
    <t>Reisevermittlung|Beschäftigung|Jahresbeginn 2024</t>
  </si>
  <si>
    <t>Reisevermittlung|Beschäftigung|Frühsommer 2024</t>
  </si>
  <si>
    <t>Reisevermittlung|Beschäftigung|Herbst 2024</t>
  </si>
  <si>
    <t>Reisevermittlung|Beschäftigung|Jahresbeginn 2025</t>
  </si>
  <si>
    <t>Reisevermittlung|Beschäftigung|Frühsommer 2025</t>
  </si>
  <si>
    <t>Reisevermittlung|Beschäftigung|Herbst 2025</t>
  </si>
  <si>
    <t>Reisevermittlung|Beschäftigung|Jahresbeginn 2026</t>
  </si>
  <si>
    <t>Reisevermittlung|Beschäftigung|Frühsommer 2026</t>
  </si>
  <si>
    <t>Reisevermittlung|Beschäftigung|Herbst 2026</t>
  </si>
  <si>
    <t>Reisevermittlung|Erwartungen|Jahresbeginn 2024</t>
  </si>
  <si>
    <t>Reisevermittlung|Erwartungen|Frühsommer 2024</t>
  </si>
  <si>
    <t>Reisevermittlung|Erwartungen|Herbst 2024</t>
  </si>
  <si>
    <t>Reisevermittlung|Erwartungen|Jahresbeginn 2025</t>
  </si>
  <si>
    <t>Reisevermittlung|Erwartungen|Frühsommer 2025</t>
  </si>
  <si>
    <t>Reisevermittlung|Erwartungen|Herbst 2025</t>
  </si>
  <si>
    <t>Reisevermittlung|Erwartungen|Jahresbeginn 2026</t>
  </si>
  <si>
    <t>Reisevermittlung|Erwartungen|Frühsommer 2026</t>
  </si>
  <si>
    <t>Reisevermittlung|Erwartungen|Herbst 2026</t>
  </si>
  <si>
    <t>Reisevermittlung|Export|Jahresbeginn 2024</t>
  </si>
  <si>
    <t>Reisevermittlung|Export|Frühsommer 2024</t>
  </si>
  <si>
    <t>Reisevermittlung|Export|Herbst 2024</t>
  </si>
  <si>
    <t>Reisevermittlung|Export|Jahresbeginn 2025</t>
  </si>
  <si>
    <t>Reisevermittlung|Export|Frühsommer 2025</t>
  </si>
  <si>
    <t>Reisevermittlung|Export|Herbst 2025</t>
  </si>
  <si>
    <t>Reisevermittlung|Export|Jahresbeginn 2026</t>
  </si>
  <si>
    <t>Reisevermittlung|Export|Frühsommer 2026</t>
  </si>
  <si>
    <t>Reisevermittlung|Export|Herbst 2026</t>
  </si>
  <si>
    <t>Reisevermittlung|Investitionen|Jahresbeginn 2024</t>
  </si>
  <si>
    <t>Reisevermittlung|Investitionen|Frühsommer 2024</t>
  </si>
  <si>
    <t>Reisevermittlung|Investitionen|Herbst 2024</t>
  </si>
  <si>
    <t>Reisevermittlung|Investitionen|Jahresbeginn 2025</t>
  </si>
  <si>
    <t>Reisevermittlung|Investitionen|Frühsommer 2025</t>
  </si>
  <si>
    <t>Reisevermittlung|Investitionen|Herbst 2025</t>
  </si>
  <si>
    <t>Reisevermittlung|Investitionen|Jahresbeginn 2026</t>
  </si>
  <si>
    <t>Reisevermittlung|Investitionen|Frühsommer 2026</t>
  </si>
  <si>
    <t>Reisevermittlung|Investitionen|Herbst 2026</t>
  </si>
  <si>
    <t>Reisevermittlung|Lage|Jahresbeginn 2024</t>
  </si>
  <si>
    <t>Reisevermittlung|Lage|Frühsommer 2024</t>
  </si>
  <si>
    <t>Reisevermittlung|Lage|Herbst 2024</t>
  </si>
  <si>
    <t>Reisevermittlung|Lage|Jahresbeginn 2025</t>
  </si>
  <si>
    <t>Reisevermittlung|Lage|Frühsommer 2025</t>
  </si>
  <si>
    <t>Reisevermittlung|Lage|Herbst 2025</t>
  </si>
  <si>
    <t>Reisevermittlung|Lage|Jahresbeginn 2026</t>
  </si>
  <si>
    <t>Reisevermittlung|Lage|Frühsommer 2026</t>
  </si>
  <si>
    <t>Reisevermittlung|Lage|Herbst 2026</t>
  </si>
  <si>
    <t>Reparatur und Installation von Maschinen und Ausrüstungen|Beschäftigung|Jahresbeginn 2024</t>
  </si>
  <si>
    <t>Reparatur und Installation von Maschinen und Ausrüstungen|Beschäftigung|Frühsommer 2024</t>
  </si>
  <si>
    <t>Reparatur und Installation von Maschinen und Ausrüstungen|Beschäftigung|Herbst 2024</t>
  </si>
  <si>
    <t>Reparatur und Installation von Maschinen und Ausrüstungen|Beschäftigung|Jahresbeginn 2025</t>
  </si>
  <si>
    <t>Reparatur und Installation von Maschinen und Ausrüstungen|Beschäftigung|Frühsommer 2025</t>
  </si>
  <si>
    <t>Reparatur und Installation von Maschinen und Ausrüstungen|Beschäftigung|Herbst 2025</t>
  </si>
  <si>
    <t>Reparatur und Installation von Maschinen und Ausrüstungen|Beschäftigung|Jahresbeginn 2026</t>
  </si>
  <si>
    <t>Reparatur und Installation von Maschinen und Ausrüstungen|Beschäftigung|Frühsommer 2026</t>
  </si>
  <si>
    <t>Reparatur und Installation von Maschinen und Ausrüstungen|Beschäftigung|Herbst 2026</t>
  </si>
  <si>
    <t>Reparatur und Installation von Maschinen und Ausrüstungen|Erwartungen|Jahresbeginn 2024</t>
  </si>
  <si>
    <t>Reparatur und Installation von Maschinen und Ausrüstungen|Erwartungen|Frühsommer 2024</t>
  </si>
  <si>
    <t>Reparatur und Installation von Maschinen und Ausrüstungen|Erwartungen|Herbst 2024</t>
  </si>
  <si>
    <t>Reparatur und Installation von Maschinen und Ausrüstungen|Erwartungen|Jahresbeginn 2025</t>
  </si>
  <si>
    <t>Reparatur und Installation von Maschinen und Ausrüstungen|Erwartungen|Frühsommer 2025</t>
  </si>
  <si>
    <t>Reparatur und Installation von Maschinen und Ausrüstungen|Erwartungen|Herbst 2025</t>
  </si>
  <si>
    <t>Reparatur und Installation von Maschinen und Ausrüstungen|Erwartungen|Jahresbeginn 2026</t>
  </si>
  <si>
    <t>Reparatur und Installation von Maschinen und Ausrüstungen|Erwartungen|Frühsommer 2026</t>
  </si>
  <si>
    <t>Reparatur und Installation von Maschinen und Ausrüstungen|Erwartungen|Herbst 2026</t>
  </si>
  <si>
    <t>Reparatur und Installation von Maschinen und Ausrüstungen|Export|Jahresbeginn 2024</t>
  </si>
  <si>
    <t>Reparatur und Installation von Maschinen und Ausrüstungen|Export|Frühsommer 2024</t>
  </si>
  <si>
    <t>Reparatur und Installation von Maschinen und Ausrüstungen|Export|Herbst 2024</t>
  </si>
  <si>
    <t>Reparatur und Installation von Maschinen und Ausrüstungen|Export|Jahresbeginn 2025</t>
  </si>
  <si>
    <t>Reparatur und Installation von Maschinen und Ausrüstungen|Export|Frühsommer 2025</t>
  </si>
  <si>
    <t>Reparatur und Installation von Maschinen und Ausrüstungen|Export|Herbst 2025</t>
  </si>
  <si>
    <t>Reparatur und Installation von Maschinen und Ausrüstungen|Export|Jahresbeginn 2026</t>
  </si>
  <si>
    <t>Reparatur und Installation von Maschinen und Ausrüstungen|Export|Frühsommer 2026</t>
  </si>
  <si>
    <t>Reparatur und Installation von Maschinen und Ausrüstungen|Export|Herbst 2026</t>
  </si>
  <si>
    <t>Reparatur und Installation von Maschinen und Ausrüstungen|Investitionen|Jahresbeginn 2024</t>
  </si>
  <si>
    <t>Reparatur und Installation von Maschinen und Ausrüstungen|Investitionen|Frühsommer 2024</t>
  </si>
  <si>
    <t>Reparatur und Installation von Maschinen und Ausrüstungen|Investitionen|Herbst 2024</t>
  </si>
  <si>
    <t>Reparatur und Installation von Maschinen und Ausrüstungen|Investitionen|Jahresbeginn 2025</t>
  </si>
  <si>
    <t>Reparatur und Installation von Maschinen und Ausrüstungen|Investitionen|Frühsommer 2025</t>
  </si>
  <si>
    <t>Reparatur und Installation von Maschinen und Ausrüstungen|Investitionen|Herbst 2025</t>
  </si>
  <si>
    <t>Reparatur und Installation von Maschinen und Ausrüstungen|Investitionen|Jahresbeginn 2026</t>
  </si>
  <si>
    <t>Reparatur und Installation von Maschinen und Ausrüstungen|Investitionen|Frühsommer 2026</t>
  </si>
  <si>
    <t>Reparatur und Installation von Maschinen und Ausrüstungen|Investitionen|Herbst 2026</t>
  </si>
  <si>
    <t>Reparatur und Installation von Maschinen und Ausrüstungen|Lage|Jahresbeginn 2024</t>
  </si>
  <si>
    <t>Reparatur und Installation von Maschinen und Ausrüstungen|Lage|Frühsommer 2024</t>
  </si>
  <si>
    <t>Reparatur und Installation von Maschinen und Ausrüstungen|Lage|Herbst 2024</t>
  </si>
  <si>
    <t>Reparatur und Installation von Maschinen und Ausrüstungen|Lage|Jahresbeginn 2025</t>
  </si>
  <si>
    <t>Reparatur und Installation von Maschinen und Ausrüstungen|Lage|Frühsommer 2025</t>
  </si>
  <si>
    <t>Reparatur und Installation von Maschinen und Ausrüstungen|Lage|Herbst 2025</t>
  </si>
  <si>
    <t>Reparatur und Installation von Maschinen und Ausrüstungen|Lage|Jahresbeginn 2026</t>
  </si>
  <si>
    <t>Reparatur und Installation von Maschinen und Ausrüstungen|Lage|Frühsommer 2026</t>
  </si>
  <si>
    <t>Reparatur und Installation von Maschinen und Ausrüstungen|Lage|Herbst 2026</t>
  </si>
  <si>
    <t>Schmuck, Musikinstrumente, Sportgeräte, Spielwaren und sonstige Waren|Beschäftigung|Jahresbeginn 2024</t>
  </si>
  <si>
    <t>Schmuck, Musikinstrumente, Sportgeräte, Spielwaren und sonstige Waren|Beschäftigung|Frühsommer 2024</t>
  </si>
  <si>
    <t>Schmuck, Musikinstrumente, Sportgeräte, Spielwaren und sonstige Waren|Beschäftigung|Herbst 2024</t>
  </si>
  <si>
    <t>Schmuck, Musikinstrumente, Sportgeräte, Spielwaren und sonstige Waren|Beschäftigung|Jahresbeginn 2025</t>
  </si>
  <si>
    <t>Schmuck, Musikinstrumente, Sportgeräte, Spielwaren und sonstige Waren|Beschäftigung|Frühsommer 2025</t>
  </si>
  <si>
    <t>Schmuck, Musikinstrumente, Sportgeräte, Spielwaren und sonstige Waren|Beschäftigung|Herbst 2025</t>
  </si>
  <si>
    <t>Schmuck, Musikinstrumente, Sportgeräte, Spielwaren und sonstige Waren|Beschäftigung|Jahresbeginn 2026</t>
  </si>
  <si>
    <t>Schmuck, Musikinstrumente, Sportgeräte, Spielwaren und sonstige Waren|Beschäftigung|Frühsommer 2026</t>
  </si>
  <si>
    <t>Schmuck, Musikinstrumente, Sportgeräte, Spielwaren und sonstige Waren|Beschäftigung|Herbst 2026</t>
  </si>
  <si>
    <t>Schmuck, Musikinstrumente, Sportgeräte, Spielwaren und sonstige Waren|Erwartungen|Jahresbeginn 2024</t>
  </si>
  <si>
    <t>Schmuck, Musikinstrumente, Sportgeräte, Spielwaren und sonstige Waren|Erwartungen|Frühsommer 2024</t>
  </si>
  <si>
    <t>Schmuck, Musikinstrumente, Sportgeräte, Spielwaren und sonstige Waren|Erwartungen|Herbst 2024</t>
  </si>
  <si>
    <t>Schmuck, Musikinstrumente, Sportgeräte, Spielwaren und sonstige Waren|Erwartungen|Jahresbeginn 2025</t>
  </si>
  <si>
    <t>Schmuck, Musikinstrumente, Sportgeräte, Spielwaren und sonstige Waren|Erwartungen|Frühsommer 2025</t>
  </si>
  <si>
    <t>Schmuck, Musikinstrumente, Sportgeräte, Spielwaren und sonstige Waren|Erwartungen|Herbst 2025</t>
  </si>
  <si>
    <t>Schmuck, Musikinstrumente, Sportgeräte, Spielwaren und sonstige Waren|Erwartungen|Jahresbeginn 2026</t>
  </si>
  <si>
    <t>Schmuck, Musikinstrumente, Sportgeräte, Spielwaren und sonstige Waren|Erwartungen|Frühsommer 2026</t>
  </si>
  <si>
    <t>Schmuck, Musikinstrumente, Sportgeräte, Spielwaren und sonstige Waren|Erwartungen|Herbst 2026</t>
  </si>
  <si>
    <t>Schmuck, Musikinstrumente, Sportgeräte, Spielwaren und sonstige Waren|Export|Jahresbeginn 2024</t>
  </si>
  <si>
    <t>Schmuck, Musikinstrumente, Sportgeräte, Spielwaren und sonstige Waren|Export|Frühsommer 2024</t>
  </si>
  <si>
    <t>Schmuck, Musikinstrumente, Sportgeräte, Spielwaren und sonstige Waren|Export|Herbst 2024</t>
  </si>
  <si>
    <t>Schmuck, Musikinstrumente, Sportgeräte, Spielwaren und sonstige Waren|Export|Jahresbeginn 2025</t>
  </si>
  <si>
    <t>Schmuck, Musikinstrumente, Sportgeräte, Spielwaren und sonstige Waren|Export|Frühsommer 2025</t>
  </si>
  <si>
    <t>Schmuck, Musikinstrumente, Sportgeräte, Spielwaren und sonstige Waren|Export|Herbst 2025</t>
  </si>
  <si>
    <t>Schmuck, Musikinstrumente, Sportgeräte, Spielwaren und sonstige Waren|Export|Jahresbeginn 2026</t>
  </si>
  <si>
    <t>Schmuck, Musikinstrumente, Sportgeräte, Spielwaren und sonstige Waren|Export|Frühsommer 2026</t>
  </si>
  <si>
    <t>Schmuck, Musikinstrumente, Sportgeräte, Spielwaren und sonstige Waren|Export|Herbst 2026</t>
  </si>
  <si>
    <t>Schmuck, Musikinstrumente, Sportgeräte, Spielwaren und sonstige Waren|Investitionen|Jahresbeginn 2024</t>
  </si>
  <si>
    <t>Schmuck, Musikinstrumente, Sportgeräte, Spielwaren und sonstige Waren|Investitionen|Frühsommer 2024</t>
  </si>
  <si>
    <t>Schmuck, Musikinstrumente, Sportgeräte, Spielwaren und sonstige Waren|Investitionen|Herbst 2024</t>
  </si>
  <si>
    <t>Schmuck, Musikinstrumente, Sportgeräte, Spielwaren und sonstige Waren|Investitionen|Jahresbeginn 2025</t>
  </si>
  <si>
    <t>Schmuck, Musikinstrumente, Sportgeräte, Spielwaren und sonstige Waren|Investitionen|Frühsommer 2025</t>
  </si>
  <si>
    <t>Schmuck, Musikinstrumente, Sportgeräte, Spielwaren und sonstige Waren|Investitionen|Herbst 2025</t>
  </si>
  <si>
    <t>Schmuck, Musikinstrumente, Sportgeräte, Spielwaren und sonstige Waren|Investitionen|Jahresbeginn 2026</t>
  </si>
  <si>
    <t>Schmuck, Musikinstrumente, Sportgeräte, Spielwaren und sonstige Waren|Investitionen|Frühsommer 2026</t>
  </si>
  <si>
    <t>Schmuck, Musikinstrumente, Sportgeräte, Spielwaren und sonstige Waren|Investitionen|Herbst 2026</t>
  </si>
  <si>
    <t>Schmuck, Musikinstrumente, Sportgeräte, Spielwaren und sonstige Waren|Lage|Jahresbeginn 2024</t>
  </si>
  <si>
    <t>Schmuck, Musikinstrumente, Sportgeräte, Spielwaren und sonstige Waren|Lage|Frühsommer 2024</t>
  </si>
  <si>
    <t>Schmuck, Musikinstrumente, Sportgeräte, Spielwaren und sonstige Waren|Lage|Herbst 2024</t>
  </si>
  <si>
    <t>Schmuck, Musikinstrumente, Sportgeräte, Spielwaren und sonstige Waren|Lage|Jahresbeginn 2025</t>
  </si>
  <si>
    <t>Schmuck, Musikinstrumente, Sportgeräte, Spielwaren und sonstige Waren|Lage|Frühsommer 2025</t>
  </si>
  <si>
    <t>Schmuck, Musikinstrumente, Sportgeräte, Spielwaren und sonstige Waren|Lage|Herbst 2025</t>
  </si>
  <si>
    <t>Schmuck, Musikinstrumente, Sportgeräte, Spielwaren und sonstige Waren|Lage|Jahresbeginn 2026</t>
  </si>
  <si>
    <t>Schmuck, Musikinstrumente, Sportgeräte, Spielwaren und sonstige Waren|Lage|Frühsommer 2026</t>
  </si>
  <si>
    <t>Schmuck, Musikinstrumente, Sportgeräte, Spielwaren und sonstige Waren|Lage|Herbst 2026</t>
  </si>
  <si>
    <t>Sicherheitswirtschaft|Beschäftigung|Jahresbeginn 2024</t>
  </si>
  <si>
    <t>Sicherheitswirtschaft|Beschäftigung|Frühsommer 2024</t>
  </si>
  <si>
    <t>Sicherheitswirtschaft|Beschäftigung|Herbst 2024</t>
  </si>
  <si>
    <t>Sicherheitswirtschaft|Beschäftigung|Jahresbeginn 2025</t>
  </si>
  <si>
    <t>Sicherheitswirtschaft|Beschäftigung|Frühsommer 2025</t>
  </si>
  <si>
    <t>Sicherheitswirtschaft|Beschäftigung|Herbst 2025</t>
  </si>
  <si>
    <t>Sicherheitswirtschaft|Beschäftigung|Jahresbeginn 2026</t>
  </si>
  <si>
    <t>Sicherheitswirtschaft|Beschäftigung|Frühsommer 2026</t>
  </si>
  <si>
    <t>Sicherheitswirtschaft|Beschäftigung|Herbst 2026</t>
  </si>
  <si>
    <t>Sicherheitswirtschaft|Erwartungen|Jahresbeginn 2024</t>
  </si>
  <si>
    <t>Sicherheitswirtschaft|Erwartungen|Frühsommer 2024</t>
  </si>
  <si>
    <t>Sicherheitswirtschaft|Erwartungen|Herbst 2024</t>
  </si>
  <si>
    <t>Sicherheitswirtschaft|Erwartungen|Jahresbeginn 2025</t>
  </si>
  <si>
    <t>Sicherheitswirtschaft|Erwartungen|Frühsommer 2025</t>
  </si>
  <si>
    <t>Sicherheitswirtschaft|Erwartungen|Herbst 2025</t>
  </si>
  <si>
    <t>Sicherheitswirtschaft|Erwartungen|Jahresbeginn 2026</t>
  </si>
  <si>
    <t>Sicherheitswirtschaft|Erwartungen|Frühsommer 2026</t>
  </si>
  <si>
    <t>Sicherheitswirtschaft|Erwartungen|Herbst 2026</t>
  </si>
  <si>
    <t>Sicherheitswirtschaft|Export|Jahresbeginn 2024</t>
  </si>
  <si>
    <t>Sicherheitswirtschaft|Export|Frühsommer 2024</t>
  </si>
  <si>
    <t>Sicherheitswirtschaft|Export|Herbst 2024</t>
  </si>
  <si>
    <t>Sicherheitswirtschaft|Export|Jahresbeginn 2025</t>
  </si>
  <si>
    <t>Sicherheitswirtschaft|Export|Frühsommer 2025</t>
  </si>
  <si>
    <t>Sicherheitswirtschaft|Export|Herbst 2025</t>
  </si>
  <si>
    <t>Sicherheitswirtschaft|Export|Jahresbeginn 2026</t>
  </si>
  <si>
    <t>Sicherheitswirtschaft|Export|Frühsommer 2026</t>
  </si>
  <si>
    <t>Sicherheitswirtschaft|Export|Herbst 2026</t>
  </si>
  <si>
    <t>Sicherheitswirtschaft|Investitionen|Jahresbeginn 2024</t>
  </si>
  <si>
    <t>Sicherheitswirtschaft|Investitionen|Frühsommer 2024</t>
  </si>
  <si>
    <t>Sicherheitswirtschaft|Investitionen|Herbst 2024</t>
  </si>
  <si>
    <t>Sicherheitswirtschaft|Investitionen|Jahresbeginn 2025</t>
  </si>
  <si>
    <t>Sicherheitswirtschaft|Investitionen|Frühsommer 2025</t>
  </si>
  <si>
    <t>Sicherheitswirtschaft|Investitionen|Herbst 2025</t>
  </si>
  <si>
    <t>Sicherheitswirtschaft|Investitionen|Jahresbeginn 2026</t>
  </si>
  <si>
    <t>Sicherheitswirtschaft|Investitionen|Frühsommer 2026</t>
  </si>
  <si>
    <t>Sicherheitswirtschaft|Investitionen|Herbst 2026</t>
  </si>
  <si>
    <t>Sicherheitswirtschaft|Lage|Jahresbeginn 2024</t>
  </si>
  <si>
    <t>Sicherheitswirtschaft|Lage|Frühsommer 2024</t>
  </si>
  <si>
    <t>Sicherheitswirtschaft|Lage|Herbst 2024</t>
  </si>
  <si>
    <t>Sicherheitswirtschaft|Lage|Jahresbeginn 2025</t>
  </si>
  <si>
    <t>Sicherheitswirtschaft|Lage|Frühsommer 2025</t>
  </si>
  <si>
    <t>Sicherheitswirtschaft|Lage|Herbst 2025</t>
  </si>
  <si>
    <t>Sicherheitswirtschaft|Lage|Jahresbeginn 2026</t>
  </si>
  <si>
    <t>Sicherheitswirtschaft|Lage|Frühsommer 2026</t>
  </si>
  <si>
    <t>Sicherheitswirtschaft|Lage|Herbst 2026</t>
  </si>
  <si>
    <t>Sonst. Fahrzeugbau|Beschäftigung|Jahresbeginn 2024</t>
  </si>
  <si>
    <t>Sonst. Fahrzeugbau|Beschäftigung|Frühsommer 2024</t>
  </si>
  <si>
    <t>Sonst. Fahrzeugbau|Beschäftigung|Herbst 2024</t>
  </si>
  <si>
    <t>Sonst. Fahrzeugbau|Beschäftigung|Jahresbeginn 2025</t>
  </si>
  <si>
    <t>Sonst. Fahrzeugbau|Beschäftigung|Frühsommer 2025</t>
  </si>
  <si>
    <t>Sonst. Fahrzeugbau|Beschäftigung|Herbst 2025</t>
  </si>
  <si>
    <t>Sonst. Fahrzeugbau|Beschäftigung|Jahresbeginn 2026</t>
  </si>
  <si>
    <t>Sonst. Fahrzeugbau|Beschäftigung|Frühsommer 2026</t>
  </si>
  <si>
    <t>Sonst. Fahrzeugbau|Beschäftigung|Herbst 2026</t>
  </si>
  <si>
    <t>Sonst. Fahrzeugbau|Erwartungen|Jahresbeginn 2024</t>
  </si>
  <si>
    <t>Sonst. Fahrzeugbau|Erwartungen|Frühsommer 2024</t>
  </si>
  <si>
    <t>Sonst. Fahrzeugbau|Erwartungen|Herbst 2024</t>
  </si>
  <si>
    <t>Sonst. Fahrzeugbau|Erwartungen|Jahresbeginn 2025</t>
  </si>
  <si>
    <t>Sonst. Fahrzeugbau|Erwartungen|Frühsommer 2025</t>
  </si>
  <si>
    <t>Sonst. Fahrzeugbau|Erwartungen|Herbst 2025</t>
  </si>
  <si>
    <t>Sonst. Fahrzeugbau|Erwartungen|Jahresbeginn 2026</t>
  </si>
  <si>
    <t>Sonst. Fahrzeugbau|Erwartungen|Frühsommer 2026</t>
  </si>
  <si>
    <t>Sonst. Fahrzeugbau|Erwartungen|Herbst 2026</t>
  </si>
  <si>
    <t>Sonst. Fahrzeugbau|Export|Jahresbeginn 2024</t>
  </si>
  <si>
    <t>Sonst. Fahrzeugbau|Export|Frühsommer 2024</t>
  </si>
  <si>
    <t>Sonst. Fahrzeugbau|Export|Herbst 2024</t>
  </si>
  <si>
    <t>Sonst. Fahrzeugbau|Export|Jahresbeginn 2025</t>
  </si>
  <si>
    <t>Sonst. Fahrzeugbau|Export|Frühsommer 2025</t>
  </si>
  <si>
    <t>Sonst. Fahrzeugbau|Export|Herbst 2025</t>
  </si>
  <si>
    <t>Sonst. Fahrzeugbau|Export|Jahresbeginn 2026</t>
  </si>
  <si>
    <t>Sonst. Fahrzeugbau|Export|Frühsommer 2026</t>
  </si>
  <si>
    <t>Sonst. Fahrzeugbau|Export|Herbst 2026</t>
  </si>
  <si>
    <t>Sonst. Fahrzeugbau|Investitionen|Jahresbeginn 2024</t>
  </si>
  <si>
    <t>Sonst. Fahrzeugbau|Investitionen|Frühsommer 2024</t>
  </si>
  <si>
    <t>Sonst. Fahrzeugbau|Investitionen|Herbst 2024</t>
  </si>
  <si>
    <t>Sonst. Fahrzeugbau|Investitionen|Jahresbeginn 2025</t>
  </si>
  <si>
    <t>Sonst. Fahrzeugbau|Investitionen|Frühsommer 2025</t>
  </si>
  <si>
    <t>Sonst. Fahrzeugbau|Investitionen|Herbst 2025</t>
  </si>
  <si>
    <t>Sonst. Fahrzeugbau|Investitionen|Jahresbeginn 2026</t>
  </si>
  <si>
    <t>Sonst. Fahrzeugbau|Investitionen|Frühsommer 2026</t>
  </si>
  <si>
    <t>Sonst. Fahrzeugbau|Investitionen|Herbst 2026</t>
  </si>
  <si>
    <t>Sonst. Fahrzeugbau|Lage|Jahresbeginn 2024</t>
  </si>
  <si>
    <t>Sonst. Fahrzeugbau|Lage|Frühsommer 2024</t>
  </si>
  <si>
    <t>Sonst. Fahrzeugbau|Lage|Herbst 2024</t>
  </si>
  <si>
    <t>Sonst. Fahrzeugbau|Lage|Jahresbeginn 2025</t>
  </si>
  <si>
    <t>Sonst. Fahrzeugbau|Lage|Frühsommer 2025</t>
  </si>
  <si>
    <t>Sonst. Fahrzeugbau|Lage|Herbst 2025</t>
  </si>
  <si>
    <t>Sonst. Fahrzeugbau|Lage|Jahresbeginn 2026</t>
  </si>
  <si>
    <t>Sonst. Fahrzeugbau|Lage|Frühsommer 2026</t>
  </si>
  <si>
    <t>Sonst. Fahrzeugbau|Lage|Herbst 2026</t>
  </si>
  <si>
    <t>Sonstige freiberufliche, wissenschaftliche und technische Tätigkeiten|Beschäftigung|Jahresbeginn 2024</t>
  </si>
  <si>
    <t>Sonstige freiberufliche, wissenschaftliche und technische Tätigkeiten|Beschäftigung|Frühsommer 2024</t>
  </si>
  <si>
    <t>Sonstige freiberufliche, wissenschaftliche und technische Tätigkeiten|Beschäftigung|Herbst 2024</t>
  </si>
  <si>
    <t>Sonstige freiberufliche, wissenschaftliche und technische Tätigkeiten|Beschäftigung|Jahresbeginn 2025</t>
  </si>
  <si>
    <t>Sonstige freiberufliche, wissenschaftliche und technische Tätigkeiten|Beschäftigung|Frühsommer 2025</t>
  </si>
  <si>
    <t>Sonstige freiberufliche, wissenschaftliche und technische Tätigkeiten|Beschäftigung|Herbst 2025</t>
  </si>
  <si>
    <t>Sonstige freiberufliche, wissenschaftliche und technische Tätigkeiten|Beschäftigung|Jahresbeginn 2026</t>
  </si>
  <si>
    <t>Sonstige freiberufliche, wissenschaftliche und technische Tätigkeiten|Beschäftigung|Frühsommer 2026</t>
  </si>
  <si>
    <t>Sonstige freiberufliche, wissenschaftliche und technische Tätigkeiten|Beschäftigung|Herbst 2026</t>
  </si>
  <si>
    <t>Sonstige freiberufliche, wissenschaftliche und technische Tätigkeiten|Erwartungen|Jahresbeginn 2024</t>
  </si>
  <si>
    <t>Sonstige freiberufliche, wissenschaftliche und technische Tätigkeiten|Erwartungen|Frühsommer 2024</t>
  </si>
  <si>
    <t>Sonstige freiberufliche, wissenschaftliche und technische Tätigkeiten|Erwartungen|Herbst 2024</t>
  </si>
  <si>
    <t>Sonstige freiberufliche, wissenschaftliche und technische Tätigkeiten|Erwartungen|Jahresbeginn 2025</t>
  </si>
  <si>
    <t>Sonstige freiberufliche, wissenschaftliche und technische Tätigkeiten|Erwartungen|Frühsommer 2025</t>
  </si>
  <si>
    <t>Sonstige freiberufliche, wissenschaftliche und technische Tätigkeiten|Erwartungen|Herbst 2025</t>
  </si>
  <si>
    <t>Sonstige freiberufliche, wissenschaftliche und technische Tätigkeiten|Erwartungen|Jahresbeginn 2026</t>
  </si>
  <si>
    <t>Sonstige freiberufliche, wissenschaftliche und technische Tätigkeiten|Erwartungen|Frühsommer 2026</t>
  </si>
  <si>
    <t>Sonstige freiberufliche, wissenschaftliche und technische Tätigkeiten|Erwartungen|Herbst 2026</t>
  </si>
  <si>
    <t>Sonstige freiberufliche, wissenschaftliche und technische Tätigkeiten|Export|Jahresbeginn 2024</t>
  </si>
  <si>
    <t>Sonstige freiberufliche, wissenschaftliche und technische Tätigkeiten|Export|Frühsommer 2024</t>
  </si>
  <si>
    <t>Sonstige freiberufliche, wissenschaftliche und technische Tätigkeiten|Export|Herbst 2024</t>
  </si>
  <si>
    <t>Sonstige freiberufliche, wissenschaftliche und technische Tätigkeiten|Export|Jahresbeginn 2025</t>
  </si>
  <si>
    <t>Sonstige freiberufliche, wissenschaftliche und technische Tätigkeiten|Export|Frühsommer 2025</t>
  </si>
  <si>
    <t>Sonstige freiberufliche, wissenschaftliche und technische Tätigkeiten|Export|Herbst 2025</t>
  </si>
  <si>
    <t>Sonstige freiberufliche, wissenschaftliche und technische Tätigkeiten|Export|Jahresbeginn 2026</t>
  </si>
  <si>
    <t>Sonstige freiberufliche, wissenschaftliche und technische Tätigkeiten|Export|Frühsommer 2026</t>
  </si>
  <si>
    <t>Sonstige freiberufliche, wissenschaftliche und technische Tätigkeiten|Export|Herbst 2026</t>
  </si>
  <si>
    <t>Sonstige freiberufliche, wissenschaftliche und technische Tätigkeiten|Investitionen|Jahresbeginn 2024</t>
  </si>
  <si>
    <t>Sonstige freiberufliche, wissenschaftliche und technische Tätigkeiten|Investitionen|Frühsommer 2024</t>
  </si>
  <si>
    <t>Sonstige freiberufliche, wissenschaftliche und technische Tätigkeiten|Investitionen|Herbst 2024</t>
  </si>
  <si>
    <t>Sonstige freiberufliche, wissenschaftliche und technische Tätigkeiten|Investitionen|Jahresbeginn 2025</t>
  </si>
  <si>
    <t>Sonstige freiberufliche, wissenschaftliche und technische Tätigkeiten|Investitionen|Frühsommer 2025</t>
  </si>
  <si>
    <t>Sonstige freiberufliche, wissenschaftliche und technische Tätigkeiten|Investitionen|Herbst 2025</t>
  </si>
  <si>
    <t>Sonstige freiberufliche, wissenschaftliche und technische Tätigkeiten|Investitionen|Jahresbeginn 2026</t>
  </si>
  <si>
    <t>Sonstige freiberufliche, wissenschaftliche und technische Tätigkeiten|Investitionen|Frühsommer 2026</t>
  </si>
  <si>
    <t>Sonstige freiberufliche, wissenschaftliche und technische Tätigkeiten|Investitionen|Herbst 2026</t>
  </si>
  <si>
    <t>Sonstige freiberufliche, wissenschaftliche und technische Tätigkeiten|Lage|Jahresbeginn 2024</t>
  </si>
  <si>
    <t>Sonstige freiberufliche, wissenschaftliche und technische Tätigkeiten|Lage|Frühsommer 2024</t>
  </si>
  <si>
    <t>Sonstige freiberufliche, wissenschaftliche und technische Tätigkeiten|Lage|Herbst 2024</t>
  </si>
  <si>
    <t>Sonstige freiberufliche, wissenschaftliche und technische Tätigkeiten|Lage|Jahresbeginn 2025</t>
  </si>
  <si>
    <t>Sonstige freiberufliche, wissenschaftliche und technische Tätigkeiten|Lage|Frühsommer 2025</t>
  </si>
  <si>
    <t>Sonstige freiberufliche, wissenschaftliche und technische Tätigkeiten|Lage|Herbst 2025</t>
  </si>
  <si>
    <t>Sonstige freiberufliche, wissenschaftliche und technische Tätigkeiten|Lage|Jahresbeginn 2026</t>
  </si>
  <si>
    <t>Sonstige freiberufliche, wissenschaftliche und technische Tätigkeiten|Lage|Frühsommer 2026</t>
  </si>
  <si>
    <t>Sonstige freiberufliche, wissenschaftliche und technische Tätigkeiten|Lage|Herbst 2026</t>
  </si>
  <si>
    <t>Sonstige personenbezogene Dienstleistungen|Beschäftigung|Jahresbeginn 2024</t>
  </si>
  <si>
    <t>Sonstige personenbezogene Dienstleistungen|Beschäftigung|Frühsommer 2024</t>
  </si>
  <si>
    <t>Sonstige personenbezogene Dienstleistungen|Beschäftigung|Herbst 2024</t>
  </si>
  <si>
    <t>Sonstige personenbezogene Dienstleistungen|Beschäftigung|Jahresbeginn 2025</t>
  </si>
  <si>
    <t>Sonstige personenbezogene Dienstleistungen|Beschäftigung|Frühsommer 2025</t>
  </si>
  <si>
    <t>Sonstige personenbezogene Dienstleistungen|Beschäftigung|Herbst 2025</t>
  </si>
  <si>
    <t>Sonstige personenbezogene Dienstleistungen|Beschäftigung|Jahresbeginn 2026</t>
  </si>
  <si>
    <t>Sonstige personenbezogene Dienstleistungen|Beschäftigung|Frühsommer 2026</t>
  </si>
  <si>
    <t>Sonstige personenbezogene Dienstleistungen|Beschäftigung|Herbst 2026</t>
  </si>
  <si>
    <t>Sonstige personenbezogene Dienstleistungen|Erwartungen|Jahresbeginn 2024</t>
  </si>
  <si>
    <t>Sonstige personenbezogene Dienstleistungen|Erwartungen|Frühsommer 2024</t>
  </si>
  <si>
    <t>Sonstige personenbezogene Dienstleistungen|Erwartungen|Herbst 2024</t>
  </si>
  <si>
    <t>Sonstige personenbezogene Dienstleistungen|Erwartungen|Jahresbeginn 2025</t>
  </si>
  <si>
    <t>Sonstige personenbezogene Dienstleistungen|Erwartungen|Frühsommer 2025</t>
  </si>
  <si>
    <t>Sonstige personenbezogene Dienstleistungen|Erwartungen|Herbst 2025</t>
  </si>
  <si>
    <t>Sonstige personenbezogene Dienstleistungen|Erwartungen|Jahresbeginn 2026</t>
  </si>
  <si>
    <t>Sonstige personenbezogene Dienstleistungen|Erwartungen|Frühsommer 2026</t>
  </si>
  <si>
    <t>Sonstige personenbezogene Dienstleistungen|Erwartungen|Herbst 2026</t>
  </si>
  <si>
    <t>Sonstige personenbezogene Dienstleistungen|Export|Jahresbeginn 2024</t>
  </si>
  <si>
    <t>Sonstige personenbezogene Dienstleistungen|Export|Frühsommer 2024</t>
  </si>
  <si>
    <t>Sonstige personenbezogene Dienstleistungen|Export|Herbst 2024</t>
  </si>
  <si>
    <t>Sonstige personenbezogene Dienstleistungen|Export|Jahresbeginn 2025</t>
  </si>
  <si>
    <t>Sonstige personenbezogene Dienstleistungen|Export|Frühsommer 2025</t>
  </si>
  <si>
    <t>Sonstige personenbezogene Dienstleistungen|Export|Herbst 2025</t>
  </si>
  <si>
    <t>Sonstige personenbezogene Dienstleistungen|Export|Jahresbeginn 2026</t>
  </si>
  <si>
    <t>Sonstige personenbezogene Dienstleistungen|Export|Frühsommer 2026</t>
  </si>
  <si>
    <t>Sonstige personenbezogene Dienstleistungen|Export|Herbst 2026</t>
  </si>
  <si>
    <t>Sonstige personenbezogene Dienstleistungen|Investitionen|Jahresbeginn 2024</t>
  </si>
  <si>
    <t>Sonstige personenbezogene Dienstleistungen|Investitionen|Frühsommer 2024</t>
  </si>
  <si>
    <t>Sonstige personenbezogene Dienstleistungen|Investitionen|Herbst 2024</t>
  </si>
  <si>
    <t>Sonstige personenbezogene Dienstleistungen|Investitionen|Jahresbeginn 2025</t>
  </si>
  <si>
    <t>Sonstige personenbezogene Dienstleistungen|Investitionen|Frühsommer 2025</t>
  </si>
  <si>
    <t>Sonstige personenbezogene Dienstleistungen|Investitionen|Herbst 2025</t>
  </si>
  <si>
    <t>Sonstige personenbezogene Dienstleistungen|Investitionen|Jahresbeginn 2026</t>
  </si>
  <si>
    <t>Sonstige personenbezogene Dienstleistungen|Investitionen|Frühsommer 2026</t>
  </si>
  <si>
    <t>Sonstige personenbezogene Dienstleistungen|Investitionen|Herbst 2026</t>
  </si>
  <si>
    <t>Sonstige personenbezogene Dienstleistungen|Lage|Jahresbeginn 2024</t>
  </si>
  <si>
    <t>Sonstige personenbezogene Dienstleistungen|Lage|Frühsommer 2024</t>
  </si>
  <si>
    <t>Sonstige personenbezogene Dienstleistungen|Lage|Herbst 2024</t>
  </si>
  <si>
    <t>Sonstige personenbezogene Dienstleistungen|Lage|Jahresbeginn 2025</t>
  </si>
  <si>
    <t>Sonstige personenbezogene Dienstleistungen|Lage|Frühsommer 2025</t>
  </si>
  <si>
    <t>Sonstige personenbezogene Dienstleistungen|Lage|Herbst 2025</t>
  </si>
  <si>
    <t>Sonstige personenbezogene Dienstleistungen|Lage|Jahresbeginn 2026</t>
  </si>
  <si>
    <t>Sonstige personenbezogene Dienstleistungen|Lage|Frühsommer 2026</t>
  </si>
  <si>
    <t>Sonstige personenbezogene Dienstleistungen|Lage|Herbst 2026</t>
  </si>
  <si>
    <t>Sonstige wirtschaftliche Dienstleistungen für Unternehmen|Beschäftigung|Jahresbeginn 2024</t>
  </si>
  <si>
    <t>Sonstige wirtschaftliche Dienstleistungen für Unternehmen|Beschäftigung|Frühsommer 2024</t>
  </si>
  <si>
    <t>Sonstige wirtschaftliche Dienstleistungen für Unternehmen|Beschäftigung|Herbst 2024</t>
  </si>
  <si>
    <t>Sonstige wirtschaftliche Dienstleistungen für Unternehmen|Beschäftigung|Jahresbeginn 2025</t>
  </si>
  <si>
    <t>Sonstige wirtschaftliche Dienstleistungen für Unternehmen|Beschäftigung|Frühsommer 2025</t>
  </si>
  <si>
    <t>Sonstige wirtschaftliche Dienstleistungen für Unternehmen|Beschäftigung|Herbst 2025</t>
  </si>
  <si>
    <t>Sonstige wirtschaftliche Dienstleistungen für Unternehmen|Beschäftigung|Jahresbeginn 2026</t>
  </si>
  <si>
    <t>Sonstige wirtschaftliche Dienstleistungen für Unternehmen|Beschäftigung|Frühsommer 2026</t>
  </si>
  <si>
    <t>Sonstige wirtschaftliche Dienstleistungen für Unternehmen|Beschäftigung|Herbst 2026</t>
  </si>
  <si>
    <t>Sonstige wirtschaftliche Dienstleistungen für Unternehmen|Erwartungen|Jahresbeginn 2024</t>
  </si>
  <si>
    <t>Sonstige wirtschaftliche Dienstleistungen für Unternehmen|Erwartungen|Frühsommer 2024</t>
  </si>
  <si>
    <t>Sonstige wirtschaftliche Dienstleistungen für Unternehmen|Erwartungen|Herbst 2024</t>
  </si>
  <si>
    <t>Sonstige wirtschaftliche Dienstleistungen für Unternehmen|Erwartungen|Jahresbeginn 2025</t>
  </si>
  <si>
    <t>Sonstige wirtschaftliche Dienstleistungen für Unternehmen|Erwartungen|Frühsommer 2025</t>
  </si>
  <si>
    <t>Sonstige wirtschaftliche Dienstleistungen für Unternehmen|Erwartungen|Herbst 2025</t>
  </si>
  <si>
    <t>Sonstige wirtschaftliche Dienstleistungen für Unternehmen|Erwartungen|Jahresbeginn 2026</t>
  </si>
  <si>
    <t>Sonstige wirtschaftliche Dienstleistungen für Unternehmen|Erwartungen|Frühsommer 2026</t>
  </si>
  <si>
    <t>Sonstige wirtschaftliche Dienstleistungen für Unternehmen|Erwartungen|Herbst 2026</t>
  </si>
  <si>
    <t>Sonstige wirtschaftliche Dienstleistungen für Unternehmen|Export|Jahresbeginn 2024</t>
  </si>
  <si>
    <t>Sonstige wirtschaftliche Dienstleistungen für Unternehmen|Export|Frühsommer 2024</t>
  </si>
  <si>
    <t>Sonstige wirtschaftliche Dienstleistungen für Unternehmen|Export|Herbst 2024</t>
  </si>
  <si>
    <t>Sonstige wirtschaftliche Dienstleistungen für Unternehmen|Export|Jahresbeginn 2025</t>
  </si>
  <si>
    <t>Sonstige wirtschaftliche Dienstleistungen für Unternehmen|Export|Frühsommer 2025</t>
  </si>
  <si>
    <t>Sonstige wirtschaftliche Dienstleistungen für Unternehmen|Export|Herbst 2025</t>
  </si>
  <si>
    <t>Sonstige wirtschaftliche Dienstleistungen für Unternehmen|Export|Jahresbeginn 2026</t>
  </si>
  <si>
    <t>Sonstige wirtschaftliche Dienstleistungen für Unternehmen|Export|Frühsommer 2026</t>
  </si>
  <si>
    <t>Sonstige wirtschaftliche Dienstleistungen für Unternehmen|Export|Herbst 2026</t>
  </si>
  <si>
    <t>Sonstige wirtschaftliche Dienstleistungen für Unternehmen|Investitionen|Jahresbeginn 2024</t>
  </si>
  <si>
    <t>Sonstige wirtschaftliche Dienstleistungen für Unternehmen|Investitionen|Frühsommer 2024</t>
  </si>
  <si>
    <t>Sonstige wirtschaftliche Dienstleistungen für Unternehmen|Investitionen|Herbst 2024</t>
  </si>
  <si>
    <t>Sonstige wirtschaftliche Dienstleistungen für Unternehmen|Investitionen|Jahresbeginn 2025</t>
  </si>
  <si>
    <t>Sonstige wirtschaftliche Dienstleistungen für Unternehmen|Investitionen|Frühsommer 2025</t>
  </si>
  <si>
    <t>Sonstige wirtschaftliche Dienstleistungen für Unternehmen|Investitionen|Herbst 2025</t>
  </si>
  <si>
    <t>Sonstige wirtschaftliche Dienstleistungen für Unternehmen|Investitionen|Jahresbeginn 2026</t>
  </si>
  <si>
    <t>Sonstige wirtschaftliche Dienstleistungen für Unternehmen|Investitionen|Frühsommer 2026</t>
  </si>
  <si>
    <t>Sonstige wirtschaftliche Dienstleistungen für Unternehmen|Investitionen|Herbst 2026</t>
  </si>
  <si>
    <t>Sonstige wirtschaftliche Dienstleistungen für Unternehmen|Lage|Jahresbeginn 2024</t>
  </si>
  <si>
    <t>Sonstige wirtschaftliche Dienstleistungen für Unternehmen|Lage|Frühsommer 2024</t>
  </si>
  <si>
    <t>Sonstige wirtschaftliche Dienstleistungen für Unternehmen|Lage|Herbst 2024</t>
  </si>
  <si>
    <t>Sonstige wirtschaftliche Dienstleistungen für Unternehmen|Lage|Jahresbeginn 2025</t>
  </si>
  <si>
    <t>Sonstige wirtschaftliche Dienstleistungen für Unternehmen|Lage|Frühsommer 2025</t>
  </si>
  <si>
    <t>Sonstige wirtschaftliche Dienstleistungen für Unternehmen|Lage|Herbst 2025</t>
  </si>
  <si>
    <t>Sonstige wirtschaftliche Dienstleistungen für Unternehmen|Lage|Jahresbeginn 2026</t>
  </si>
  <si>
    <t>Sonstige wirtschaftliche Dienstleistungen für Unternehmen|Lage|Frühsommer 2026</t>
  </si>
  <si>
    <t>Sonstige wirtschaftliche Dienstleistungen für Unternehmen|Lage|Herbst 2026</t>
  </si>
  <si>
    <t>Textil-, Bekleidungs- und Ledergewerbe|Beschäftigung|Jahresbeginn 2024</t>
  </si>
  <si>
    <t>Textil-, Bekleidungs- und Ledergewerbe|Beschäftigung|Frühsommer 2024</t>
  </si>
  <si>
    <t>Textil-, Bekleidungs- und Ledergewerbe|Beschäftigung|Herbst 2024</t>
  </si>
  <si>
    <t>Textil-, Bekleidungs- und Ledergewerbe|Beschäftigung|Jahresbeginn 2025</t>
  </si>
  <si>
    <t>Textil-, Bekleidungs- und Ledergewerbe|Beschäftigung|Frühsommer 2025</t>
  </si>
  <si>
    <t>Textil-, Bekleidungs- und Ledergewerbe|Beschäftigung|Herbst 2025</t>
  </si>
  <si>
    <t>Textil-, Bekleidungs- und Ledergewerbe|Beschäftigung|Jahresbeginn 2026</t>
  </si>
  <si>
    <t>Textil-, Bekleidungs- und Ledergewerbe|Beschäftigung|Frühsommer 2026</t>
  </si>
  <si>
    <t>Textil-, Bekleidungs- und Ledergewerbe|Beschäftigung|Herbst 2026</t>
  </si>
  <si>
    <t>Textil-, Bekleidungs- und Ledergewerbe|Erwartungen|Jahresbeginn 2024</t>
  </si>
  <si>
    <t>Textil-, Bekleidungs- und Ledergewerbe|Erwartungen|Frühsommer 2024</t>
  </si>
  <si>
    <t>Textil-, Bekleidungs- und Ledergewerbe|Erwartungen|Herbst 2024</t>
  </si>
  <si>
    <t>Textil-, Bekleidungs- und Ledergewerbe|Erwartungen|Jahresbeginn 2025</t>
  </si>
  <si>
    <t>Textil-, Bekleidungs- und Ledergewerbe|Erwartungen|Frühsommer 2025</t>
  </si>
  <si>
    <t>Textil-, Bekleidungs- und Ledergewerbe|Erwartungen|Herbst 2025</t>
  </si>
  <si>
    <t>Textil-, Bekleidungs- und Ledergewerbe|Erwartungen|Jahresbeginn 2026</t>
  </si>
  <si>
    <t>Textil-, Bekleidungs- und Ledergewerbe|Erwartungen|Frühsommer 2026</t>
  </si>
  <si>
    <t>Textil-, Bekleidungs- und Ledergewerbe|Erwartungen|Herbst 2026</t>
  </si>
  <si>
    <t>Textil-, Bekleidungs- und Ledergewerbe|Export|Jahresbeginn 2024</t>
  </si>
  <si>
    <t>Textil-, Bekleidungs- und Ledergewerbe|Export|Frühsommer 2024</t>
  </si>
  <si>
    <t>Textil-, Bekleidungs- und Ledergewerbe|Export|Herbst 2024</t>
  </si>
  <si>
    <t>Textil-, Bekleidungs- und Ledergewerbe|Export|Jahresbeginn 2025</t>
  </si>
  <si>
    <t>Textil-, Bekleidungs- und Ledergewerbe|Export|Frühsommer 2025</t>
  </si>
  <si>
    <t>Textil-, Bekleidungs- und Ledergewerbe|Export|Herbst 2025</t>
  </si>
  <si>
    <t>Textil-, Bekleidungs- und Ledergewerbe|Export|Jahresbeginn 2026</t>
  </si>
  <si>
    <t>Textil-, Bekleidungs- und Ledergewerbe|Export|Frühsommer 2026</t>
  </si>
  <si>
    <t>Textil-, Bekleidungs- und Ledergewerbe|Export|Herbst 2026</t>
  </si>
  <si>
    <t>Textil-, Bekleidungs- und Ledergewerbe|Investitionen|Jahresbeginn 2024</t>
  </si>
  <si>
    <t>Textil-, Bekleidungs- und Ledergewerbe|Investitionen|Frühsommer 2024</t>
  </si>
  <si>
    <t>Textil-, Bekleidungs- und Ledergewerbe|Investitionen|Herbst 2024</t>
  </si>
  <si>
    <t>Textil-, Bekleidungs- und Ledergewerbe|Investitionen|Jahresbeginn 2025</t>
  </si>
  <si>
    <t>Textil-, Bekleidungs- und Ledergewerbe|Investitionen|Frühsommer 2025</t>
  </si>
  <si>
    <t>Textil-, Bekleidungs- und Ledergewerbe|Investitionen|Herbst 2025</t>
  </si>
  <si>
    <t>Textil-, Bekleidungs- und Ledergewerbe|Investitionen|Jahresbeginn 2026</t>
  </si>
  <si>
    <t>Textil-, Bekleidungs- und Ledergewerbe|Investitionen|Frühsommer 2026</t>
  </si>
  <si>
    <t>Textil-, Bekleidungs- und Ledergewerbe|Investitionen|Herbst 2026</t>
  </si>
  <si>
    <t>Textil-, Bekleidungs- und Ledergewerbe|Lage|Jahresbeginn 2024</t>
  </si>
  <si>
    <t>Textil-, Bekleidungs- und Ledergewerbe|Lage|Frühsommer 2024</t>
  </si>
  <si>
    <t>Textil-, Bekleidungs- und Ledergewerbe|Lage|Herbst 2024</t>
  </si>
  <si>
    <t>Textil-, Bekleidungs- und Ledergewerbe|Lage|Jahresbeginn 2025</t>
  </si>
  <si>
    <t>Textil-, Bekleidungs- und Ledergewerbe|Lage|Frühsommer 2025</t>
  </si>
  <si>
    <t>Textil-, Bekleidungs- und Ledergewerbe|Lage|Herbst 2025</t>
  </si>
  <si>
    <t>Textil-, Bekleidungs- und Ledergewerbe|Lage|Jahresbeginn 2026</t>
  </si>
  <si>
    <t>Textil-, Bekleidungs- und Ledergewerbe|Lage|Frühsommer 2026</t>
  </si>
  <si>
    <t>Textil-, Bekleidungs- und Ledergewerbe|Lage|Herbst 2026</t>
  </si>
  <si>
    <t>Textilgewerbe|Beschäftigung|Jahresbeginn 2024</t>
  </si>
  <si>
    <t>Textilgewerbe|Beschäftigung|Frühsommer 2024</t>
  </si>
  <si>
    <t>Textilgewerbe|Beschäftigung|Herbst 2024</t>
  </si>
  <si>
    <t>Textilgewerbe|Beschäftigung|Jahresbeginn 2025</t>
  </si>
  <si>
    <t>Textilgewerbe|Beschäftigung|Frühsommer 2025</t>
  </si>
  <si>
    <t>Textilgewerbe|Beschäftigung|Herbst 2025</t>
  </si>
  <si>
    <t>Textilgewerbe|Beschäftigung|Jahresbeginn 2026</t>
  </si>
  <si>
    <t>Textilgewerbe|Beschäftigung|Frühsommer 2026</t>
  </si>
  <si>
    <t>Textilgewerbe|Beschäftigung|Herbst 2026</t>
  </si>
  <si>
    <t>Textilgewerbe|Erwartungen|Jahresbeginn 2024</t>
  </si>
  <si>
    <t>Textilgewerbe|Erwartungen|Frühsommer 2024</t>
  </si>
  <si>
    <t>Textilgewerbe|Erwartungen|Herbst 2024</t>
  </si>
  <si>
    <t>Textilgewerbe|Erwartungen|Jahresbeginn 2025</t>
  </si>
  <si>
    <t>Textilgewerbe|Erwartungen|Frühsommer 2025</t>
  </si>
  <si>
    <t>Textilgewerbe|Erwartungen|Herbst 2025</t>
  </si>
  <si>
    <t>Textilgewerbe|Erwartungen|Jahresbeginn 2026</t>
  </si>
  <si>
    <t>Textilgewerbe|Erwartungen|Frühsommer 2026</t>
  </si>
  <si>
    <t>Textilgewerbe|Erwartungen|Herbst 2026</t>
  </si>
  <si>
    <t>Textilgewerbe|Export|Jahresbeginn 2024</t>
  </si>
  <si>
    <t>Textilgewerbe|Export|Frühsommer 2024</t>
  </si>
  <si>
    <t>Textilgewerbe|Export|Herbst 2024</t>
  </si>
  <si>
    <t>Textilgewerbe|Export|Jahresbeginn 2025</t>
  </si>
  <si>
    <t>Textilgewerbe|Export|Frühsommer 2025</t>
  </si>
  <si>
    <t>Textilgewerbe|Export|Herbst 2025</t>
  </si>
  <si>
    <t>Textilgewerbe|Export|Jahresbeginn 2026</t>
  </si>
  <si>
    <t>Textilgewerbe|Export|Frühsommer 2026</t>
  </si>
  <si>
    <t>Textilgewerbe|Export|Herbst 2026</t>
  </si>
  <si>
    <t>Textilgewerbe|Investitionen|Jahresbeginn 2024</t>
  </si>
  <si>
    <t>Textilgewerbe|Investitionen|Frühsommer 2024</t>
  </si>
  <si>
    <t>Textilgewerbe|Investitionen|Herbst 2024</t>
  </si>
  <si>
    <t>Textilgewerbe|Investitionen|Jahresbeginn 2025</t>
  </si>
  <si>
    <t>Textilgewerbe|Investitionen|Frühsommer 2025</t>
  </si>
  <si>
    <t>Textilgewerbe|Investitionen|Herbst 2025</t>
  </si>
  <si>
    <t>Textilgewerbe|Investitionen|Jahresbeginn 2026</t>
  </si>
  <si>
    <t>Textilgewerbe|Investitionen|Frühsommer 2026</t>
  </si>
  <si>
    <t>Textilgewerbe|Investitionen|Herbst 2026</t>
  </si>
  <si>
    <t>Textilgewerbe|Lage|Jahresbeginn 2024</t>
  </si>
  <si>
    <t>Textilgewerbe|Lage|Frühsommer 2024</t>
  </si>
  <si>
    <t>Textilgewerbe|Lage|Herbst 2024</t>
  </si>
  <si>
    <t>Textilgewerbe|Lage|Jahresbeginn 2025</t>
  </si>
  <si>
    <t>Textilgewerbe|Lage|Frühsommer 2025</t>
  </si>
  <si>
    <t>Textilgewerbe|Lage|Herbst 2025</t>
  </si>
  <si>
    <t>Textilgewerbe|Lage|Jahresbeginn 2026</t>
  </si>
  <si>
    <t>Textilgewerbe|Lage|Frühsommer 2026</t>
  </si>
  <si>
    <t>Textilgewerbe|Lage|Herbst 2026</t>
  </si>
  <si>
    <t>Tiefbau|Beschäftigung|Jahresbeginn 2024</t>
  </si>
  <si>
    <t>Tiefbau|Beschäftigung|Frühsommer 2024</t>
  </si>
  <si>
    <t>Tiefbau|Beschäftigung|Herbst 2024</t>
  </si>
  <si>
    <t>Tiefbau|Beschäftigung|Jahresbeginn 2025</t>
  </si>
  <si>
    <t>Tiefbau|Beschäftigung|Frühsommer 2025</t>
  </si>
  <si>
    <t>Tiefbau|Beschäftigung|Herbst 2025</t>
  </si>
  <si>
    <t>Tiefbau|Beschäftigung|Jahresbeginn 2026</t>
  </si>
  <si>
    <t>Tiefbau|Beschäftigung|Frühsommer 2026</t>
  </si>
  <si>
    <t>Tiefbau|Beschäftigung|Herbst 2026</t>
  </si>
  <si>
    <t>Tiefbau|Erwartungen|Jahresbeginn 2024</t>
  </si>
  <si>
    <t>Tiefbau|Erwartungen|Frühsommer 2024</t>
  </si>
  <si>
    <t>Tiefbau|Erwartungen|Herbst 2024</t>
  </si>
  <si>
    <t>Tiefbau|Erwartungen|Jahresbeginn 2025</t>
  </si>
  <si>
    <t>Tiefbau|Erwartungen|Frühsommer 2025</t>
  </si>
  <si>
    <t>Tiefbau|Erwartungen|Herbst 2025</t>
  </si>
  <si>
    <t>Tiefbau|Erwartungen|Jahresbeginn 2026</t>
  </si>
  <si>
    <t>Tiefbau|Erwartungen|Frühsommer 2026</t>
  </si>
  <si>
    <t>Tiefbau|Erwartungen|Herbst 2026</t>
  </si>
  <si>
    <t>Tiefbau|Export|Jahresbeginn 2024</t>
  </si>
  <si>
    <t>Tiefbau|Export|Frühsommer 2024</t>
  </si>
  <si>
    <t>Tiefbau|Export|Herbst 2024</t>
  </si>
  <si>
    <t>Tiefbau|Export|Jahresbeginn 2025</t>
  </si>
  <si>
    <t>Tiefbau|Export|Frühsommer 2025</t>
  </si>
  <si>
    <t>Tiefbau|Export|Herbst 2025</t>
  </si>
  <si>
    <t>Tiefbau|Export|Jahresbeginn 2026</t>
  </si>
  <si>
    <t>Tiefbau|Export|Frühsommer 2026</t>
  </si>
  <si>
    <t>Tiefbau|Export|Herbst 2026</t>
  </si>
  <si>
    <t>Tiefbau|Investitionen|Jahresbeginn 2024</t>
  </si>
  <si>
    <t>Tiefbau|Investitionen|Frühsommer 2024</t>
  </si>
  <si>
    <t>Tiefbau|Investitionen|Herbst 2024</t>
  </si>
  <si>
    <t>Tiefbau|Investitionen|Jahresbeginn 2025</t>
  </si>
  <si>
    <t>Tiefbau|Investitionen|Frühsommer 2025</t>
  </si>
  <si>
    <t>Tiefbau|Investitionen|Herbst 2025</t>
  </si>
  <si>
    <t>Tiefbau|Investitionen|Jahresbeginn 2026</t>
  </si>
  <si>
    <t>Tiefbau|Investitionen|Frühsommer 2026</t>
  </si>
  <si>
    <t>Tiefbau|Investitionen|Herbst 2026</t>
  </si>
  <si>
    <t>Tiefbau|Lage|Jahresbeginn 2024</t>
  </si>
  <si>
    <t>Tiefbau|Lage|Frühsommer 2024</t>
  </si>
  <si>
    <t>Tiefbau|Lage|Herbst 2024</t>
  </si>
  <si>
    <t>Tiefbau|Lage|Jahresbeginn 2025</t>
  </si>
  <si>
    <t>Tiefbau|Lage|Frühsommer 2025</t>
  </si>
  <si>
    <t>Tiefbau|Lage|Herbst 2025</t>
  </si>
  <si>
    <t>Tiefbau|Lage|Jahresbeginn 2026</t>
  </si>
  <si>
    <t>Tiefbau|Lage|Frühsommer 2026</t>
  </si>
  <si>
    <t>Tiefbau|Lage|Herbst 2026</t>
  </si>
  <si>
    <t>Unternehmensberatung|Beschäftigung|Jahresbeginn 2024</t>
  </si>
  <si>
    <t>Unternehmensberatung|Beschäftigung|Frühsommer 2024</t>
  </si>
  <si>
    <t>Unternehmensberatung|Beschäftigung|Herbst 2024</t>
  </si>
  <si>
    <t>Unternehmensberatung|Beschäftigung|Jahresbeginn 2025</t>
  </si>
  <si>
    <t>Unternehmensberatung|Beschäftigung|Frühsommer 2025</t>
  </si>
  <si>
    <t>Unternehmensberatung|Beschäftigung|Herbst 2025</t>
  </si>
  <si>
    <t>Unternehmensberatung|Beschäftigung|Jahresbeginn 2026</t>
  </si>
  <si>
    <t>Unternehmensberatung|Beschäftigung|Frühsommer 2026</t>
  </si>
  <si>
    <t>Unternehmensberatung|Beschäftigung|Herbst 2026</t>
  </si>
  <si>
    <t>Unternehmensberatung|Erwartungen|Jahresbeginn 2024</t>
  </si>
  <si>
    <t>Unternehmensberatung|Erwartungen|Frühsommer 2024</t>
  </si>
  <si>
    <t>Unternehmensberatung|Erwartungen|Herbst 2024</t>
  </si>
  <si>
    <t>Unternehmensberatung|Erwartungen|Jahresbeginn 2025</t>
  </si>
  <si>
    <t>Unternehmensberatung|Erwartungen|Frühsommer 2025</t>
  </si>
  <si>
    <t>Unternehmensberatung|Erwartungen|Herbst 2025</t>
  </si>
  <si>
    <t>Unternehmensberatung|Erwartungen|Jahresbeginn 2026</t>
  </si>
  <si>
    <t>Unternehmensberatung|Erwartungen|Frühsommer 2026</t>
  </si>
  <si>
    <t>Unternehmensberatung|Erwartungen|Herbst 2026</t>
  </si>
  <si>
    <t>Unternehmensberatung|Export|Jahresbeginn 2024</t>
  </si>
  <si>
    <t>Unternehmensberatung|Export|Frühsommer 2024</t>
  </si>
  <si>
    <t>Unternehmensberatung|Export|Herbst 2024</t>
  </si>
  <si>
    <t>Unternehmensberatung|Export|Jahresbeginn 2025</t>
  </si>
  <si>
    <t>Unternehmensberatung|Export|Frühsommer 2025</t>
  </si>
  <si>
    <t>Unternehmensberatung|Export|Herbst 2025</t>
  </si>
  <si>
    <t>Unternehmensberatung|Export|Jahresbeginn 2026</t>
  </si>
  <si>
    <t>Unternehmensberatung|Export|Frühsommer 2026</t>
  </si>
  <si>
    <t>Unternehmensberatung|Export|Herbst 2026</t>
  </si>
  <si>
    <t>Unternehmensberatung|Investitionen|Jahresbeginn 2024</t>
  </si>
  <si>
    <t>Unternehmensberatung|Investitionen|Frühsommer 2024</t>
  </si>
  <si>
    <t>Unternehmensberatung|Investitionen|Herbst 2024</t>
  </si>
  <si>
    <t>Unternehmensberatung|Investitionen|Jahresbeginn 2025</t>
  </si>
  <si>
    <t>Unternehmensberatung|Investitionen|Frühsommer 2025</t>
  </si>
  <si>
    <t>Unternehmensberatung|Investitionen|Herbst 2025</t>
  </si>
  <si>
    <t>Unternehmensberatung|Investitionen|Jahresbeginn 2026</t>
  </si>
  <si>
    <t>Unternehmensberatung|Investitionen|Frühsommer 2026</t>
  </si>
  <si>
    <t>Unternehmensberatung|Investitionen|Herbst 2026</t>
  </si>
  <si>
    <t>Unternehmensberatung|Lage|Jahresbeginn 2024</t>
  </si>
  <si>
    <t>Unternehmensberatung|Lage|Frühsommer 2024</t>
  </si>
  <si>
    <t>Unternehmensberatung|Lage|Herbst 2024</t>
  </si>
  <si>
    <t>Unternehmensberatung|Lage|Jahresbeginn 2025</t>
  </si>
  <si>
    <t>Unternehmensberatung|Lage|Frühsommer 2025</t>
  </si>
  <si>
    <t>Unternehmensberatung|Lage|Herbst 2025</t>
  </si>
  <si>
    <t>Unternehmensberatung|Lage|Jahresbeginn 2026</t>
  </si>
  <si>
    <t>Unternehmensberatung|Lage|Frühsommer 2026</t>
  </si>
  <si>
    <t>Unternehmensberatung|Lage|Herbst 2026</t>
  </si>
  <si>
    <t>Verkehr und Lagerei|Beschäftigung|Jahresbeginn 2024</t>
  </si>
  <si>
    <t>Verkehr und Lagerei|Beschäftigung|Frühsommer 2024</t>
  </si>
  <si>
    <t>Verkehr und Lagerei|Beschäftigung|Herbst 2024</t>
  </si>
  <si>
    <t>Verkehr und Lagerei|Beschäftigung|Jahresbeginn 2025</t>
  </si>
  <si>
    <t>Verkehr und Lagerei|Beschäftigung|Frühsommer 2025</t>
  </si>
  <si>
    <t>Verkehr und Lagerei|Beschäftigung|Herbst 2025</t>
  </si>
  <si>
    <t>Verkehr und Lagerei|Beschäftigung|Jahresbeginn 2026</t>
  </si>
  <si>
    <t>Verkehr und Lagerei|Beschäftigung|Frühsommer 2026</t>
  </si>
  <si>
    <t>Verkehr und Lagerei|Beschäftigung|Herbst 2026</t>
  </si>
  <si>
    <t>Verkehr und Lagerei|Erwartungen|Jahresbeginn 2024</t>
  </si>
  <si>
    <t>Verkehr und Lagerei|Erwartungen|Frühsommer 2024</t>
  </si>
  <si>
    <t>Verkehr und Lagerei|Erwartungen|Herbst 2024</t>
  </si>
  <si>
    <t>Verkehr und Lagerei|Erwartungen|Jahresbeginn 2025</t>
  </si>
  <si>
    <t>Verkehr und Lagerei|Erwartungen|Frühsommer 2025</t>
  </si>
  <si>
    <t>Verkehr und Lagerei|Erwartungen|Herbst 2025</t>
  </si>
  <si>
    <t>Verkehr und Lagerei|Erwartungen|Jahresbeginn 2026</t>
  </si>
  <si>
    <t>Verkehr und Lagerei|Erwartungen|Frühsommer 2026</t>
  </si>
  <si>
    <t>Verkehr und Lagerei|Erwartungen|Herbst 2026</t>
  </si>
  <si>
    <t>Verkehr und Lagerei|Export|Jahresbeginn 2024</t>
  </si>
  <si>
    <t>Verkehr und Lagerei|Export|Frühsommer 2024</t>
  </si>
  <si>
    <t>Verkehr und Lagerei|Export|Herbst 2024</t>
  </si>
  <si>
    <t>Verkehr und Lagerei|Export|Jahresbeginn 2025</t>
  </si>
  <si>
    <t>Verkehr und Lagerei|Export|Frühsommer 2025</t>
  </si>
  <si>
    <t>Verkehr und Lagerei|Export|Herbst 2025</t>
  </si>
  <si>
    <t>Verkehr und Lagerei|Export|Jahresbeginn 2026</t>
  </si>
  <si>
    <t>Verkehr und Lagerei|Export|Frühsommer 2026</t>
  </si>
  <si>
    <t>Verkehr und Lagerei|Export|Herbst 2026</t>
  </si>
  <si>
    <t>Verkehr und Lagerei|Investitionen|Jahresbeginn 2024</t>
  </si>
  <si>
    <t>Verkehr und Lagerei|Investitionen|Frühsommer 2024</t>
  </si>
  <si>
    <t>Verkehr und Lagerei|Investitionen|Herbst 2024</t>
  </si>
  <si>
    <t>Verkehr und Lagerei|Investitionen|Jahresbeginn 2025</t>
  </si>
  <si>
    <t>Verkehr und Lagerei|Investitionen|Frühsommer 2025</t>
  </si>
  <si>
    <t>Verkehr und Lagerei|Investitionen|Herbst 2025</t>
  </si>
  <si>
    <t>Verkehr und Lagerei|Investitionen|Jahresbeginn 2026</t>
  </si>
  <si>
    <t>Verkehr und Lagerei|Investitionen|Frühsommer 2026</t>
  </si>
  <si>
    <t>Verkehr und Lagerei|Investitionen|Herbst 2026</t>
  </si>
  <si>
    <t>Verkehr und Lagerei|Lage|Jahresbeginn 2024</t>
  </si>
  <si>
    <t>Verkehr und Lagerei|Lage|Frühsommer 2024</t>
  </si>
  <si>
    <t>Verkehr und Lagerei|Lage|Herbst 2024</t>
  </si>
  <si>
    <t>Verkehr und Lagerei|Lage|Jahresbeginn 2025</t>
  </si>
  <si>
    <t>Verkehr und Lagerei|Lage|Frühsommer 2025</t>
  </si>
  <si>
    <t>Verkehr und Lagerei|Lage|Herbst 2025</t>
  </si>
  <si>
    <t>Verkehr und Lagerei|Lage|Jahresbeginn 2026</t>
  </si>
  <si>
    <t>Verkehr und Lagerei|Lage|Frühsommer 2026</t>
  </si>
  <si>
    <t>Verkehr und Lagerei|Lage|Herbst 2026</t>
  </si>
  <si>
    <t>Verlagswesen|Beschäftigung|Jahresbeginn 2024</t>
  </si>
  <si>
    <t>Verlagswesen|Beschäftigung|Frühsommer 2024</t>
  </si>
  <si>
    <t>Verlagswesen|Beschäftigung|Herbst 2024</t>
  </si>
  <si>
    <t>Verlagswesen|Beschäftigung|Jahresbeginn 2025</t>
  </si>
  <si>
    <t>Verlagswesen|Beschäftigung|Frühsommer 2025</t>
  </si>
  <si>
    <t>Verlagswesen|Beschäftigung|Herbst 2025</t>
  </si>
  <si>
    <t>Verlagswesen|Beschäftigung|Jahresbeginn 2026</t>
  </si>
  <si>
    <t>Verlagswesen|Beschäftigung|Frühsommer 2026</t>
  </si>
  <si>
    <t>Verlagswesen|Beschäftigung|Herbst 2026</t>
  </si>
  <si>
    <t>Verlagswesen|Erwartungen|Jahresbeginn 2024</t>
  </si>
  <si>
    <t>Verlagswesen|Erwartungen|Frühsommer 2024</t>
  </si>
  <si>
    <t>Verlagswesen|Erwartungen|Herbst 2024</t>
  </si>
  <si>
    <t>Verlagswesen|Erwartungen|Jahresbeginn 2025</t>
  </si>
  <si>
    <t>Verlagswesen|Erwartungen|Frühsommer 2025</t>
  </si>
  <si>
    <t>Verlagswesen|Erwartungen|Herbst 2025</t>
  </si>
  <si>
    <t>Verlagswesen|Erwartungen|Jahresbeginn 2026</t>
  </si>
  <si>
    <t>Verlagswesen|Erwartungen|Frühsommer 2026</t>
  </si>
  <si>
    <t>Verlagswesen|Erwartungen|Herbst 2026</t>
  </si>
  <si>
    <t>Verlagswesen|Export|Jahresbeginn 2024</t>
  </si>
  <si>
    <t>Verlagswesen|Export|Frühsommer 2024</t>
  </si>
  <si>
    <t>Verlagswesen|Export|Herbst 2024</t>
  </si>
  <si>
    <t>Verlagswesen|Export|Jahresbeginn 2025</t>
  </si>
  <si>
    <t>Verlagswesen|Export|Frühsommer 2025</t>
  </si>
  <si>
    <t>Verlagswesen|Export|Herbst 2025</t>
  </si>
  <si>
    <t>Verlagswesen|Export|Jahresbeginn 2026</t>
  </si>
  <si>
    <t>Verlagswesen|Export|Frühsommer 2026</t>
  </si>
  <si>
    <t>Verlagswesen|Export|Herbst 2026</t>
  </si>
  <si>
    <t>Verlagswesen|Investitionen|Jahresbeginn 2024</t>
  </si>
  <si>
    <t>Verlagswesen|Investitionen|Frühsommer 2024</t>
  </si>
  <si>
    <t>Verlagswesen|Investitionen|Herbst 2024</t>
  </si>
  <si>
    <t>Verlagswesen|Investitionen|Jahresbeginn 2025</t>
  </si>
  <si>
    <t>Verlagswesen|Investitionen|Frühsommer 2025</t>
  </si>
  <si>
    <t>Verlagswesen|Investitionen|Herbst 2025</t>
  </si>
  <si>
    <t>Verlagswesen|Investitionen|Jahresbeginn 2026</t>
  </si>
  <si>
    <t>Verlagswesen|Investitionen|Frühsommer 2026</t>
  </si>
  <si>
    <t>Verlagswesen|Investitionen|Herbst 2026</t>
  </si>
  <si>
    <t>Verlagswesen|Lage|Jahresbeginn 2024</t>
  </si>
  <si>
    <t>Verlagswesen|Lage|Frühsommer 2024</t>
  </si>
  <si>
    <t>Verlagswesen|Lage|Herbst 2024</t>
  </si>
  <si>
    <t>Verlagswesen|Lage|Jahresbeginn 2025</t>
  </si>
  <si>
    <t>Verlagswesen|Lage|Frühsommer 2025</t>
  </si>
  <si>
    <t>Verlagswesen|Lage|Herbst 2025</t>
  </si>
  <si>
    <t>Verlagswesen|Lage|Jahresbeginn 2026</t>
  </si>
  <si>
    <t>Verlagswesen|Lage|Frühsommer 2026</t>
  </si>
  <si>
    <t>Verlagswesen|Lage|Herbst 2026</t>
  </si>
  <si>
    <t>Vermittlung und Überlassung von Arbeitskräften|Beschäftigung|Jahresbeginn 2024</t>
  </si>
  <si>
    <t>Vermittlung und Überlassung von Arbeitskräften|Beschäftigung|Frühsommer 2024</t>
  </si>
  <si>
    <t>Vermittlung und Überlassung von Arbeitskräften|Beschäftigung|Herbst 2024</t>
  </si>
  <si>
    <t>Vermittlung und Überlassung von Arbeitskräften|Beschäftigung|Jahresbeginn 2025</t>
  </si>
  <si>
    <t>Vermittlung und Überlassung von Arbeitskräften|Beschäftigung|Frühsommer 2025</t>
  </si>
  <si>
    <t>Vermittlung und Überlassung von Arbeitskräften|Beschäftigung|Herbst 2025</t>
  </si>
  <si>
    <t>Vermittlung und Überlassung von Arbeitskräften|Beschäftigung|Jahresbeginn 2026</t>
  </si>
  <si>
    <t>Vermittlung und Überlassung von Arbeitskräften|Beschäftigung|Frühsommer 2026</t>
  </si>
  <si>
    <t>Vermittlung und Überlassung von Arbeitskräften|Beschäftigung|Herbst 2026</t>
  </si>
  <si>
    <t>Vermittlung und Überlassung von Arbeitskräften|Erwartungen|Jahresbeginn 2024</t>
  </si>
  <si>
    <t>Vermittlung und Überlassung von Arbeitskräften|Erwartungen|Frühsommer 2024</t>
  </si>
  <si>
    <t>Vermittlung und Überlassung von Arbeitskräften|Erwartungen|Herbst 2024</t>
  </si>
  <si>
    <t>Vermittlung und Überlassung von Arbeitskräften|Erwartungen|Jahresbeginn 2025</t>
  </si>
  <si>
    <t>Vermittlung und Überlassung von Arbeitskräften|Erwartungen|Frühsommer 2025</t>
  </si>
  <si>
    <t>Vermittlung und Überlassung von Arbeitskräften|Erwartungen|Herbst 2025</t>
  </si>
  <si>
    <t>Vermittlung und Überlassung von Arbeitskräften|Erwartungen|Jahresbeginn 2026</t>
  </si>
  <si>
    <t>Vermittlung und Überlassung von Arbeitskräften|Erwartungen|Frühsommer 2026</t>
  </si>
  <si>
    <t>Vermittlung und Überlassung von Arbeitskräften|Erwartungen|Herbst 2026</t>
  </si>
  <si>
    <t>Vermittlung und Überlassung von Arbeitskräften|Export|Jahresbeginn 2024</t>
  </si>
  <si>
    <t>Vermittlung und Überlassung von Arbeitskräften|Export|Frühsommer 2024</t>
  </si>
  <si>
    <t>Vermittlung und Überlassung von Arbeitskräften|Export|Herbst 2024</t>
  </si>
  <si>
    <t>Vermittlung und Überlassung von Arbeitskräften|Export|Jahresbeginn 2025</t>
  </si>
  <si>
    <t>Vermittlung und Überlassung von Arbeitskräften|Export|Frühsommer 2025</t>
  </si>
  <si>
    <t>Vermittlung und Überlassung von Arbeitskräften|Export|Herbst 2025</t>
  </si>
  <si>
    <t>Vermittlung und Überlassung von Arbeitskräften|Export|Jahresbeginn 2026</t>
  </si>
  <si>
    <t>Vermittlung und Überlassung von Arbeitskräften|Export|Frühsommer 2026</t>
  </si>
  <si>
    <t>Vermittlung und Überlassung von Arbeitskräften|Export|Herbst 2026</t>
  </si>
  <si>
    <t>Vermittlung und Überlassung von Arbeitskräften|Investitionen|Jahresbeginn 2024</t>
  </si>
  <si>
    <t>Vermittlung und Überlassung von Arbeitskräften|Investitionen|Frühsommer 2024</t>
  </si>
  <si>
    <t>Vermittlung und Überlassung von Arbeitskräften|Investitionen|Herbst 2024</t>
  </si>
  <si>
    <t>Vermittlung und Überlassung von Arbeitskräften|Investitionen|Jahresbeginn 2025</t>
  </si>
  <si>
    <t>Vermittlung und Überlassung von Arbeitskräften|Investitionen|Frühsommer 2025</t>
  </si>
  <si>
    <t>Vermittlung und Überlassung von Arbeitskräften|Investitionen|Herbst 2025</t>
  </si>
  <si>
    <t>Vermittlung und Überlassung von Arbeitskräften|Investitionen|Jahresbeginn 2026</t>
  </si>
  <si>
    <t>Vermittlung und Überlassung von Arbeitskräften|Investitionen|Frühsommer 2026</t>
  </si>
  <si>
    <t>Vermittlung und Überlassung von Arbeitskräften|Investitionen|Herbst 2026</t>
  </si>
  <si>
    <t>Vermittlung und Überlassung von Arbeitskräften|Lage|Jahresbeginn 2024</t>
  </si>
  <si>
    <t>Vermittlung und Überlassung von Arbeitskräften|Lage|Frühsommer 2024</t>
  </si>
  <si>
    <t>Vermittlung und Überlassung von Arbeitskräften|Lage|Herbst 2024</t>
  </si>
  <si>
    <t>Vermittlung und Überlassung von Arbeitskräften|Lage|Jahresbeginn 2025</t>
  </si>
  <si>
    <t>Vermittlung und Überlassung von Arbeitskräften|Lage|Frühsommer 2025</t>
  </si>
  <si>
    <t>Vermittlung und Überlassung von Arbeitskräften|Lage|Herbst 2025</t>
  </si>
  <si>
    <t>Vermittlung und Überlassung von Arbeitskräften|Lage|Jahresbeginn 2026</t>
  </si>
  <si>
    <t>Vermittlung und Überlassung von Arbeitskräften|Lage|Frühsommer 2026</t>
  </si>
  <si>
    <t>Vermittlung und Überlassung von Arbeitskräften|Lage|Herbst 2026</t>
  </si>
  <si>
    <t>Versicherungswirtschaft|Beschäftigung|Jahresbeginn 2024</t>
  </si>
  <si>
    <t>Versicherungswirtschaft|Beschäftigung|Frühsommer 2024</t>
  </si>
  <si>
    <t>Versicherungswirtschaft|Beschäftigung|Herbst 2024</t>
  </si>
  <si>
    <t>Versicherungswirtschaft|Beschäftigung|Jahresbeginn 2025</t>
  </si>
  <si>
    <t>Versicherungswirtschaft|Beschäftigung|Frühsommer 2025</t>
  </si>
  <si>
    <t>Versicherungswirtschaft|Beschäftigung|Herbst 2025</t>
  </si>
  <si>
    <t>Versicherungswirtschaft|Beschäftigung|Jahresbeginn 2026</t>
  </si>
  <si>
    <t>Versicherungswirtschaft|Beschäftigung|Frühsommer 2026</t>
  </si>
  <si>
    <t>Versicherungswirtschaft|Beschäftigung|Herbst 2026</t>
  </si>
  <si>
    <t>Versicherungswirtschaft|Erwartungen|Jahresbeginn 2024</t>
  </si>
  <si>
    <t>Versicherungswirtschaft|Erwartungen|Frühsommer 2024</t>
  </si>
  <si>
    <t>Versicherungswirtschaft|Erwartungen|Herbst 2024</t>
  </si>
  <si>
    <t>Versicherungswirtschaft|Erwartungen|Jahresbeginn 2025</t>
  </si>
  <si>
    <t>Versicherungswirtschaft|Erwartungen|Frühsommer 2025</t>
  </si>
  <si>
    <t>Versicherungswirtschaft|Erwartungen|Herbst 2025</t>
  </si>
  <si>
    <t>Versicherungswirtschaft|Erwartungen|Jahresbeginn 2026</t>
  </si>
  <si>
    <t>Versicherungswirtschaft|Erwartungen|Frühsommer 2026</t>
  </si>
  <si>
    <t>Versicherungswirtschaft|Erwartungen|Herbst 2026</t>
  </si>
  <si>
    <t>Versicherungswirtschaft|Export|Jahresbeginn 2024</t>
  </si>
  <si>
    <t>Versicherungswirtschaft|Export|Frühsommer 2024</t>
  </si>
  <si>
    <t>Versicherungswirtschaft|Export|Herbst 2024</t>
  </si>
  <si>
    <t>Versicherungswirtschaft|Export|Jahresbeginn 2025</t>
  </si>
  <si>
    <t>Versicherungswirtschaft|Export|Frühsommer 2025</t>
  </si>
  <si>
    <t>Versicherungswirtschaft|Export|Herbst 2025</t>
  </si>
  <si>
    <t>Versicherungswirtschaft|Export|Jahresbeginn 2026</t>
  </si>
  <si>
    <t>Versicherungswirtschaft|Export|Frühsommer 2026</t>
  </si>
  <si>
    <t>Versicherungswirtschaft|Export|Herbst 2026</t>
  </si>
  <si>
    <t>Versicherungswirtschaft|Investitionen|Jahresbeginn 2024</t>
  </si>
  <si>
    <t>Versicherungswirtschaft|Investitionen|Frühsommer 2024</t>
  </si>
  <si>
    <t>Versicherungswirtschaft|Investitionen|Herbst 2024</t>
  </si>
  <si>
    <t>Versicherungswirtschaft|Investitionen|Jahresbeginn 2025</t>
  </si>
  <si>
    <t>Versicherungswirtschaft|Investitionen|Frühsommer 2025</t>
  </si>
  <si>
    <t>Versicherungswirtschaft|Investitionen|Herbst 2025</t>
  </si>
  <si>
    <t>Versicherungswirtschaft|Investitionen|Jahresbeginn 2026</t>
  </si>
  <si>
    <t>Versicherungswirtschaft|Investitionen|Frühsommer 2026</t>
  </si>
  <si>
    <t>Versicherungswirtschaft|Investitionen|Herbst 2026</t>
  </si>
  <si>
    <t>Versicherungswirtschaft|Lage|Jahresbeginn 2024</t>
  </si>
  <si>
    <t>Versicherungswirtschaft|Lage|Frühsommer 2024</t>
  </si>
  <si>
    <t>Versicherungswirtschaft|Lage|Herbst 2024</t>
  </si>
  <si>
    <t>Versicherungswirtschaft|Lage|Jahresbeginn 2025</t>
  </si>
  <si>
    <t>Versicherungswirtschaft|Lage|Frühsommer 2025</t>
  </si>
  <si>
    <t>Versicherungswirtschaft|Lage|Herbst 2025</t>
  </si>
  <si>
    <t>Versicherungswirtschaft|Lage|Jahresbeginn 2026</t>
  </si>
  <si>
    <t>Versicherungswirtschaft|Lage|Frühsommer 2026</t>
  </si>
  <si>
    <t>Versicherungswirtschaft|Lage|Herbst 2026</t>
  </si>
  <si>
    <t>Werbung und Marktforschung|Beschäftigung|Jahresbeginn 2024</t>
  </si>
  <si>
    <t>Werbung und Marktforschung|Beschäftigung|Frühsommer 2024</t>
  </si>
  <si>
    <t>Werbung und Marktforschung|Beschäftigung|Herbst 2024</t>
  </si>
  <si>
    <t>Werbung und Marktforschung|Beschäftigung|Jahresbeginn 2025</t>
  </si>
  <si>
    <t>Werbung und Marktforschung|Beschäftigung|Frühsommer 2025</t>
  </si>
  <si>
    <t>Werbung und Marktforschung|Beschäftigung|Herbst 2025</t>
  </si>
  <si>
    <t>Werbung und Marktforschung|Beschäftigung|Jahresbeginn 2026</t>
  </si>
  <si>
    <t>Werbung und Marktforschung|Beschäftigung|Frühsommer 2026</t>
  </si>
  <si>
    <t>Werbung und Marktforschung|Beschäftigung|Herbst 2026</t>
  </si>
  <si>
    <t>Werbung und Marktforschung|Erwartungen|Jahresbeginn 2024</t>
  </si>
  <si>
    <t>Werbung und Marktforschung|Erwartungen|Frühsommer 2024</t>
  </si>
  <si>
    <t>Werbung und Marktforschung|Erwartungen|Herbst 2024</t>
  </si>
  <si>
    <t>Werbung und Marktforschung|Erwartungen|Jahresbeginn 2025</t>
  </si>
  <si>
    <t>Werbung und Marktforschung|Erwartungen|Frühsommer 2025</t>
  </si>
  <si>
    <t>Werbung und Marktforschung|Erwartungen|Herbst 2025</t>
  </si>
  <si>
    <t>Werbung und Marktforschung|Erwartungen|Jahresbeginn 2026</t>
  </si>
  <si>
    <t>Werbung und Marktforschung|Erwartungen|Frühsommer 2026</t>
  </si>
  <si>
    <t>Werbung und Marktforschung|Erwartungen|Herbst 2026</t>
  </si>
  <si>
    <t>Werbung und Marktforschung|Export|Jahresbeginn 2024</t>
  </si>
  <si>
    <t>Werbung und Marktforschung|Export|Frühsommer 2024</t>
  </si>
  <si>
    <t>Werbung und Marktforschung|Export|Herbst 2024</t>
  </si>
  <si>
    <t>Werbung und Marktforschung|Export|Jahresbeginn 2025</t>
  </si>
  <si>
    <t>Werbung und Marktforschung|Export|Frühsommer 2025</t>
  </si>
  <si>
    <t>Werbung und Marktforschung|Export|Herbst 2025</t>
  </si>
  <si>
    <t>Werbung und Marktforschung|Export|Jahresbeginn 2026</t>
  </si>
  <si>
    <t>Werbung und Marktforschung|Export|Frühsommer 2026</t>
  </si>
  <si>
    <t>Werbung und Marktforschung|Export|Herbst 2026</t>
  </si>
  <si>
    <t>Werbung und Marktforschung|Investitionen|Jahresbeginn 2024</t>
  </si>
  <si>
    <t>Werbung und Marktforschung|Investitionen|Frühsommer 2024</t>
  </si>
  <si>
    <t>Werbung und Marktforschung|Investitionen|Herbst 2024</t>
  </si>
  <si>
    <t>Werbung und Marktforschung|Investitionen|Jahresbeginn 2025</t>
  </si>
  <si>
    <t>Werbung und Marktforschung|Investitionen|Frühsommer 2025</t>
  </si>
  <si>
    <t>Werbung und Marktforschung|Investitionen|Herbst 2025</t>
  </si>
  <si>
    <t>Werbung und Marktforschung|Investitionen|Jahresbeginn 2026</t>
  </si>
  <si>
    <t>Werbung und Marktforschung|Investitionen|Frühsommer 2026</t>
  </si>
  <si>
    <t>Werbung und Marktforschung|Investitionen|Herbst 2026</t>
  </si>
  <si>
    <t>Werbung und Marktforschung|Lage|Jahresbeginn 2024</t>
  </si>
  <si>
    <t>Werbung und Marktforschung|Lage|Frühsommer 2024</t>
  </si>
  <si>
    <t>Werbung und Marktforschung|Lage|Herbst 2024</t>
  </si>
  <si>
    <t>Werbung und Marktforschung|Lage|Jahresbeginn 2025</t>
  </si>
  <si>
    <t>Werbung und Marktforschung|Lage|Frühsommer 2025</t>
  </si>
  <si>
    <t>Werbung und Marktforschung|Lage|Herbst 2025</t>
  </si>
  <si>
    <t>Werbung und Marktforschung|Lage|Jahresbeginn 2026</t>
  </si>
  <si>
    <t>Werbung und Marktforschung|Lage|Frühsommer 2026</t>
  </si>
  <si>
    <t>Werbung und Marktforschung|Lage|Herbst 2026</t>
  </si>
  <si>
    <t>Alle Branchen|Arbeitskosten</t>
  </si>
  <si>
    <t>Industrie (ohne Baugewerbe)|Arbeitskosten</t>
  </si>
  <si>
    <t>Gewinnung von Steinen und Erden, Bergbau|Arbeitskosten</t>
  </si>
  <si>
    <t>Nahrungs- und Futtermittelindustrie|Arbeitskosten</t>
  </si>
  <si>
    <t>Getränkeindustrie|Arbeitskosten</t>
  </si>
  <si>
    <t>Textil-, Bekleidungs- und Ledergewerbe|Arbeitskosten</t>
  </si>
  <si>
    <t>Textilgewerbe|Arbeitskosten</t>
  </si>
  <si>
    <t>Holzgewerbe (ohne Möbel)|Arbeitskosten</t>
  </si>
  <si>
    <t>Papiergewerbe|Arbeitskosten</t>
  </si>
  <si>
    <t>Druckgewerbe|Arbeitskosten</t>
  </si>
  <si>
    <t>Chemische Industrie|Arbeitskosten</t>
  </si>
  <si>
    <t>Pharmazeutische Industrie|Arbeitskosten</t>
  </si>
  <si>
    <t>Gummi- und Kunststoffindustrie|Arbeitskosten</t>
  </si>
  <si>
    <t>Glas, Keramik, Steineverarbeitung|Arbeitskosten</t>
  </si>
  <si>
    <t>Metallerzeugung und -bearbeitung|Arbeitskosten</t>
  </si>
  <si>
    <t>Metallerzeugnisse|Arbeitskosten</t>
  </si>
  <si>
    <t>Elektrotechnik|Arbeitskosten</t>
  </si>
  <si>
    <t>Datenverarbeitungsgeräte, elektrische und optische Erzeugnisse|Arbeitskosten</t>
  </si>
  <si>
    <t>Elektrische Ausrüstungen|Arbeitskosten</t>
  </si>
  <si>
    <t>Maschinenbau|Arbeitskosten</t>
  </si>
  <si>
    <t>Kraftfahrzeugbau|Arbeitskosten</t>
  </si>
  <si>
    <t>Sonst. Fahrzeugbau|Arbeitskosten</t>
  </si>
  <si>
    <t>Möbel|Arbeitskosten</t>
  </si>
  <si>
    <t>Schmuck, Musikinstrumente, Sportgeräte, Spielwaren und sonstige Waren|Arbeitskosten</t>
  </si>
  <si>
    <t>Reparatur und Installation von Maschinen und Ausrüstungen|Arbeitskosten</t>
  </si>
  <si>
    <t>Energieversorgung|Arbeitskosten</t>
  </si>
  <si>
    <t>Abwasser- und Abfallentsorgung, Beseitigung von Umweltverschmutzungen|Arbeitskosten</t>
  </si>
  <si>
    <t>Baugewerbe|Arbeitskosten</t>
  </si>
  <si>
    <t>Hochbau|Arbeitskosten</t>
  </si>
  <si>
    <t>Tiefbau|Arbeitskosten</t>
  </si>
  <si>
    <t>Ausbaugewerbe|Arbeitskosten</t>
  </si>
  <si>
    <t>Handel|Arbeitskosten</t>
  </si>
  <si>
    <t>Großhandel und Handelsvermittlung|Arbeitskosten</t>
  </si>
  <si>
    <t>Einzelhandel|Arbeitskosten</t>
  </si>
  <si>
    <t>Dienstleistungen (ohne Handel)|Arbeitskosten</t>
  </si>
  <si>
    <t>Verkehr und Lagerei|Arbeitskosten</t>
  </si>
  <si>
    <t>Landverkehr|Arbeitskosten</t>
  </si>
  <si>
    <t>Lagerei und Verkehrsdienstleistungen|Arbeitskosten</t>
  </si>
  <si>
    <t>Gastgewerbe|Arbeitskosten</t>
  </si>
  <si>
    <t>Beherbergung|Arbeitskosten</t>
  </si>
  <si>
    <t>Gastronomie|Arbeitskosten</t>
  </si>
  <si>
    <t>Verlagswesen|Arbeitskosten</t>
  </si>
  <si>
    <t>Medien- und Filmwirtschaft|Arbeitskosten</t>
  </si>
  <si>
    <t>IT-Dienstleistungen|Arbeitskosten</t>
  </si>
  <si>
    <t>Informationsdienstleistungen|Arbeitskosten</t>
  </si>
  <si>
    <t>Finanz- und Versicherungsdienstleistungen|Arbeitskosten</t>
  </si>
  <si>
    <t>Kreditgewerbe|Arbeitskosten</t>
  </si>
  <si>
    <t>Versicherungswirtschaft|Arbeitskosten</t>
  </si>
  <si>
    <t>Immobilienwirtschaft|Arbeitskosten</t>
  </si>
  <si>
    <t>Forschung und Entwicklung|Arbeitskosten</t>
  </si>
  <si>
    <t>Werbung und Marktforschung|Arbeitskosten</t>
  </si>
  <si>
    <t>Leasing/Vermietungsleistungen|Arbeitskosten</t>
  </si>
  <si>
    <t>Vermittlung und Überlassung von Arbeitskräften|Arbeitskosten</t>
  </si>
  <si>
    <t>Reisevermittlung|Arbeitskosten</t>
  </si>
  <si>
    <t>Rechts- und Steuerberatung, Wirtschaftsprüfung|Arbeitskosten</t>
  </si>
  <si>
    <t>Unternehmensberatung|Arbeitskosten</t>
  </si>
  <si>
    <t>Architektur- und Ingenieurbüros, naturwissenschaftliche Untersuchung|Arbeitskosten</t>
  </si>
  <si>
    <t>Sonstige freiberufliche, wissenschaftliche und technische Tätigkeiten|Arbeitskosten</t>
  </si>
  <si>
    <t>Sonstige wirtschaftliche Dienstleistungen für Unternehmen|Arbeitskosten</t>
  </si>
  <si>
    <t>Sicherheitswirtschaft|Arbeitskosten</t>
  </si>
  <si>
    <t>Gebäudebetreuung, Garten- und Landschaftsbau|Arbeitskosten</t>
  </si>
  <si>
    <t>Bildungswirtschaft|Arbeitskosten</t>
  </si>
  <si>
    <t>Gesundheits- und soziale Dienste|Arbeitskosten</t>
  </si>
  <si>
    <t>Kunst, Unterhaltung, Erholung (alt: Freizeitwirtschaft)|Arbeitskosten</t>
  </si>
  <si>
    <t>Sonstige personenbezogene Dienstleistungen|Arbeitskosten</t>
  </si>
  <si>
    <t>Informationswirtschaft|Arbeitskosten</t>
  </si>
  <si>
    <t>Alle Branchen|Auslandsnachfrage</t>
  </si>
  <si>
    <t>Industrie (ohne Baugewerbe)|Auslandsnachfrage</t>
  </si>
  <si>
    <t>Gewinnung von Steinen und Erden, Bergbau|Auslandsnachfrage</t>
  </si>
  <si>
    <t>Nahrungs- und Futtermittelindustrie|Auslandsnachfrage</t>
  </si>
  <si>
    <t>Getränkeindustrie|Auslandsnachfrage</t>
  </si>
  <si>
    <t>Textil-, Bekleidungs- und Ledergewerbe|Auslandsnachfrage</t>
  </si>
  <si>
    <t>Textilgewerbe|Auslandsnachfrage</t>
  </si>
  <si>
    <t>Holzgewerbe (ohne Möbel)|Auslandsnachfrage</t>
  </si>
  <si>
    <t>Papiergewerbe|Auslandsnachfrage</t>
  </si>
  <si>
    <t>Druckgewerbe|Auslandsnachfrage</t>
  </si>
  <si>
    <t>Chemische Industrie|Auslandsnachfrage</t>
  </si>
  <si>
    <t>Pharmazeutische Industrie|Auslandsnachfrage</t>
  </si>
  <si>
    <t>Gummi- und Kunststoffindustrie|Auslandsnachfrage</t>
  </si>
  <si>
    <t>Glas, Keramik, Steineverarbeitung|Auslandsnachfrage</t>
  </si>
  <si>
    <t>Metallerzeugung und -bearbeitung|Auslandsnachfrage</t>
  </si>
  <si>
    <t>Metallerzeugnisse|Auslandsnachfrage</t>
  </si>
  <si>
    <t>Elektrotechnik|Auslandsnachfrage</t>
  </si>
  <si>
    <t>Datenverarbeitungsgeräte, elektrische und optische Erzeugnisse|Auslandsnachfrage</t>
  </si>
  <si>
    <t>Elektrische Ausrüstungen|Auslandsnachfrage</t>
  </si>
  <si>
    <t>Maschinenbau|Auslandsnachfrage</t>
  </si>
  <si>
    <t>Kraftfahrzeugbau|Auslandsnachfrage</t>
  </si>
  <si>
    <t>Sonst. Fahrzeugbau|Auslandsnachfrage</t>
  </si>
  <si>
    <t>Möbel|Auslandsnachfrage</t>
  </si>
  <si>
    <t>Schmuck, Musikinstrumente, Sportgeräte, Spielwaren und sonstige Waren|Auslandsnachfrage</t>
  </si>
  <si>
    <t>Reparatur und Installation von Maschinen und Ausrüstungen|Auslandsnachfrage</t>
  </si>
  <si>
    <t>Energieversorgung|Auslandsnachfrage</t>
  </si>
  <si>
    <t>Abwasser- und Abfallentsorgung, Beseitigung von Umweltverschmutzungen|Auslandsnachfrage</t>
  </si>
  <si>
    <t>Baugewerbe|Auslandsnachfrage</t>
  </si>
  <si>
    <t>Hochbau|Auslandsnachfrage</t>
  </si>
  <si>
    <t>Tiefbau|Auslandsnachfrage</t>
  </si>
  <si>
    <t>Ausbaugewerbe|Auslandsnachfrage</t>
  </si>
  <si>
    <t>Handel|Auslandsnachfrage</t>
  </si>
  <si>
    <t>Großhandel und Handelsvermittlung|Auslandsnachfrage</t>
  </si>
  <si>
    <t>Einzelhandel|Auslandsnachfrage</t>
  </si>
  <si>
    <t>Dienstleistungen (ohne Handel)|Auslandsnachfrage</t>
  </si>
  <si>
    <t>Verkehr und Lagerei|Auslandsnachfrage</t>
  </si>
  <si>
    <t>Landverkehr|Auslandsnachfrage</t>
  </si>
  <si>
    <t>Lagerei und Verkehrsdienstleistungen|Auslandsnachfrage</t>
  </si>
  <si>
    <t>Gastgewerbe|Auslandsnachfrage</t>
  </si>
  <si>
    <t>Beherbergung|Auslandsnachfrage</t>
  </si>
  <si>
    <t>Gastronomie|Auslandsnachfrage</t>
  </si>
  <si>
    <t>Verlagswesen|Auslandsnachfrage</t>
  </si>
  <si>
    <t>Medien- und Filmwirtschaft|Auslandsnachfrage</t>
  </si>
  <si>
    <t>IT-Dienstleistungen|Auslandsnachfrage</t>
  </si>
  <si>
    <t>Informationsdienstleistungen|Auslandsnachfrage</t>
  </si>
  <si>
    <t>Finanz- und Versicherungsdienstleistungen|Auslandsnachfrage</t>
  </si>
  <si>
    <t>Kreditgewerbe|Auslandsnachfrage</t>
  </si>
  <si>
    <t>Versicherungswirtschaft|Auslandsnachfrage</t>
  </si>
  <si>
    <t>Immobilienwirtschaft|Auslandsnachfrage</t>
  </si>
  <si>
    <t>Forschung und Entwicklung|Auslandsnachfrage</t>
  </si>
  <si>
    <t>Werbung und Marktforschung|Auslandsnachfrage</t>
  </si>
  <si>
    <t>Leasing/Vermietungsleistungen|Auslandsnachfrage</t>
  </si>
  <si>
    <t>Vermittlung und Überlassung von Arbeitskräften|Auslandsnachfrage</t>
  </si>
  <si>
    <t>Reisevermittlung|Auslandsnachfrage</t>
  </si>
  <si>
    <t>Rechts- und Steuerberatung, Wirtschaftsprüfung|Auslandsnachfrage</t>
  </si>
  <si>
    <t>Unternehmensberatung|Auslandsnachfrage</t>
  </si>
  <si>
    <t>Architektur- und Ingenieurbüros, naturwissenschaftliche Untersuchung|Auslandsnachfrage</t>
  </si>
  <si>
    <t>Sonstige freiberufliche, wissenschaftliche und technische Tätigkeiten|Auslandsnachfrage</t>
  </si>
  <si>
    <t>Sonstige wirtschaftliche Dienstleistungen für Unternehmen|Auslandsnachfrage</t>
  </si>
  <si>
    <t>Sicherheitswirtschaft|Auslandsnachfrage</t>
  </si>
  <si>
    <t>Gebäudebetreuung, Garten- und Landschaftsbau|Auslandsnachfrage</t>
  </si>
  <si>
    <t>Bildungswirtschaft|Auslandsnachfrage</t>
  </si>
  <si>
    <t>Gesundheits- und soziale Dienste|Auslandsnachfrage</t>
  </si>
  <si>
    <t>Kunst, Unterhaltung, Erholung (alt: Freizeitwirtschaft)|Auslandsnachfrage</t>
  </si>
  <si>
    <t>Sonstige personenbezogene Dienstleistungen|Auslandsnachfrage</t>
  </si>
  <si>
    <t>Informationswirtschaft|Auslandsnachfrage</t>
  </si>
  <si>
    <t>Alle Branchen|Energie- und Rohstoffpreise</t>
  </si>
  <si>
    <t>Industrie (ohne Baugewerbe)|Energie- und Rohstoffpreise</t>
  </si>
  <si>
    <t>Gewinnung von Steinen und Erden, Bergbau|Energie- und Rohstoffpreise</t>
  </si>
  <si>
    <t>Nahrungs- und Futtermittelindustrie|Energie- und Rohstoffpreise</t>
  </si>
  <si>
    <t>Getränkeindustrie|Energie- und Rohstoffpreise</t>
  </si>
  <si>
    <t>Textil-, Bekleidungs- und Ledergewerbe|Energie- und Rohstoffpreise</t>
  </si>
  <si>
    <t>Textilgewerbe|Energie- und Rohstoffpreise</t>
  </si>
  <si>
    <t>Holzgewerbe (ohne Möbel)|Energie- und Rohstoffpreise</t>
  </si>
  <si>
    <t>Papiergewerbe|Energie- und Rohstoffpreise</t>
  </si>
  <si>
    <t>Druckgewerbe|Energie- und Rohstoffpreise</t>
  </si>
  <si>
    <t>Chemische Industrie|Energie- und Rohstoffpreise</t>
  </si>
  <si>
    <t>Pharmazeutische Industrie|Energie- und Rohstoffpreise</t>
  </si>
  <si>
    <t>Gummi- und Kunststoffindustrie|Energie- und Rohstoffpreise</t>
  </si>
  <si>
    <t>Glas, Keramik, Steineverarbeitung|Energie- und Rohstoffpreise</t>
  </si>
  <si>
    <t>Metallerzeugung und -bearbeitung|Energie- und Rohstoffpreise</t>
  </si>
  <si>
    <t>Metallerzeugnisse|Energie- und Rohstoffpreise</t>
  </si>
  <si>
    <t>Elektrotechnik|Energie- und Rohstoffpreise</t>
  </si>
  <si>
    <t>Datenverarbeitungsgeräte, elektrische und optische Erzeugnisse|Energie- und Rohstoffpreise</t>
  </si>
  <si>
    <t>Elektrische Ausrüstungen|Energie- und Rohstoffpreise</t>
  </si>
  <si>
    <t>Maschinenbau|Energie- und Rohstoffpreise</t>
  </si>
  <si>
    <t>Kraftfahrzeugbau|Energie- und Rohstoffpreise</t>
  </si>
  <si>
    <t>Sonst. Fahrzeugbau|Energie- und Rohstoffpreise</t>
  </si>
  <si>
    <t>Möbel|Energie- und Rohstoffpreise</t>
  </si>
  <si>
    <t>Schmuck, Musikinstrumente, Sportgeräte, Spielwaren und sonstige Waren|Energie- und Rohstoffpreise</t>
  </si>
  <si>
    <t>Reparatur und Installation von Maschinen und Ausrüstungen|Energie- und Rohstoffpreise</t>
  </si>
  <si>
    <t>Energieversorgung|Energie- und Rohstoffpreise</t>
  </si>
  <si>
    <t>Abwasser- und Abfallentsorgung, Beseitigung von Umweltverschmutzungen|Energie- und Rohstoffpreise</t>
  </si>
  <si>
    <t>Baugewerbe|Energie- und Rohstoffpreise</t>
  </si>
  <si>
    <t>Hochbau|Energie- und Rohstoffpreise</t>
  </si>
  <si>
    <t>Tiefbau|Energie- und Rohstoffpreise</t>
  </si>
  <si>
    <t>Ausbaugewerbe|Energie- und Rohstoffpreise</t>
  </si>
  <si>
    <t>Handel|Energie- und Rohstoffpreise</t>
  </si>
  <si>
    <t>Großhandel und Handelsvermittlung|Energie- und Rohstoffpreise</t>
  </si>
  <si>
    <t>Einzelhandel|Energie- und Rohstoffpreise</t>
  </si>
  <si>
    <t>Dienstleistungen (ohne Handel)|Energie- und Rohstoffpreise</t>
  </si>
  <si>
    <t>Verkehr und Lagerei|Energie- und Rohstoffpreise</t>
  </si>
  <si>
    <t>Landverkehr|Energie- und Rohstoffpreise</t>
  </si>
  <si>
    <t>Lagerei und Verkehrsdienstleistungen|Energie- und Rohstoffpreise</t>
  </si>
  <si>
    <t>Gastgewerbe|Energie- und Rohstoffpreise</t>
  </si>
  <si>
    <t>Beherbergung|Energie- und Rohstoffpreise</t>
  </si>
  <si>
    <t>Gastronomie|Energie- und Rohstoffpreise</t>
  </si>
  <si>
    <t>Verlagswesen|Energie- und Rohstoffpreise</t>
  </si>
  <si>
    <t>Medien- und Filmwirtschaft|Energie- und Rohstoffpreise</t>
  </si>
  <si>
    <t>IT-Dienstleistungen|Energie- und Rohstoffpreise</t>
  </si>
  <si>
    <t>Informationsdienstleistungen|Energie- und Rohstoffpreise</t>
  </si>
  <si>
    <t>Finanz- und Versicherungsdienstleistungen|Energie- und Rohstoffpreise</t>
  </si>
  <si>
    <t>Kreditgewerbe|Energie- und Rohstoffpreise</t>
  </si>
  <si>
    <t>Versicherungswirtschaft|Energie- und Rohstoffpreise</t>
  </si>
  <si>
    <t>Immobilienwirtschaft|Energie- und Rohstoffpreise</t>
  </si>
  <si>
    <t>Forschung und Entwicklung|Energie- und Rohstoffpreise</t>
  </si>
  <si>
    <t>Werbung und Marktforschung|Energie- und Rohstoffpreise</t>
  </si>
  <si>
    <t>Leasing/Vermietungsleistungen|Energie- und Rohstoffpreise</t>
  </si>
  <si>
    <t>Vermittlung und Überlassung von Arbeitskräften|Energie- und Rohstoffpreise</t>
  </si>
  <si>
    <t>Reisevermittlung|Energie- und Rohstoffpreise</t>
  </si>
  <si>
    <t>Rechts- und Steuerberatung, Wirtschaftsprüfung|Energie- und Rohstoffpreise</t>
  </si>
  <si>
    <t>Unternehmensberatung|Energie- und Rohstoffpreise</t>
  </si>
  <si>
    <t>Architektur- und Ingenieurbüros, naturwissenschaftliche Untersuchung|Energie- und Rohstoffpreise</t>
  </si>
  <si>
    <t>Sonstige freiberufliche, wissenschaftliche und technische Tätigkeiten|Energie- und Rohstoffpreise</t>
  </si>
  <si>
    <t>Sonstige wirtschaftliche Dienstleistungen für Unternehmen|Energie- und Rohstoffpreise</t>
  </si>
  <si>
    <t>Sicherheitswirtschaft|Energie- und Rohstoffpreise</t>
  </si>
  <si>
    <t>Gebäudebetreuung, Garten- und Landschaftsbau|Energie- und Rohstoffpreise</t>
  </si>
  <si>
    <t>Bildungswirtschaft|Energie- und Rohstoffpreise</t>
  </si>
  <si>
    <t>Gesundheits- und soziale Dienste|Energie- und Rohstoffpreise</t>
  </si>
  <si>
    <t>Kunst, Unterhaltung, Erholung (alt: Freizeitwirtschaft)|Energie- und Rohstoffpreise</t>
  </si>
  <si>
    <t>Sonstige personenbezogene Dienstleistungen|Energie- und Rohstoffpreise</t>
  </si>
  <si>
    <t>Informationswirtschaft|Energie- und Rohstoffpreise</t>
  </si>
  <si>
    <t>Alle Branchen|Fachkräftemangel</t>
  </si>
  <si>
    <t>Industrie (ohne Baugewerbe)|Fachkräftemangel</t>
  </si>
  <si>
    <t>Gewinnung von Steinen und Erden, Bergbau|Fachkräftemangel</t>
  </si>
  <si>
    <t>Nahrungs- und Futtermittelindustrie|Fachkräftemangel</t>
  </si>
  <si>
    <t>Getränkeindustrie|Fachkräftemangel</t>
  </si>
  <si>
    <t>Textil-, Bekleidungs- und Ledergewerbe|Fachkräftemangel</t>
  </si>
  <si>
    <t>Textilgewerbe|Fachkräftemangel</t>
  </si>
  <si>
    <t>Holzgewerbe (ohne Möbel)|Fachkräftemangel</t>
  </si>
  <si>
    <t>Papiergewerbe|Fachkräftemangel</t>
  </si>
  <si>
    <t>Druckgewerbe|Fachkräftemangel</t>
  </si>
  <si>
    <t>Chemische Industrie|Fachkräftemangel</t>
  </si>
  <si>
    <t>Pharmazeutische Industrie|Fachkräftemangel</t>
  </si>
  <si>
    <t>Gummi- und Kunststoffindustrie|Fachkräftemangel</t>
  </si>
  <si>
    <t>Glas, Keramik, Steineverarbeitung|Fachkräftemangel</t>
  </si>
  <si>
    <t>Metallerzeugung und -bearbeitung|Fachkräftemangel</t>
  </si>
  <si>
    <t>Metallerzeugnisse|Fachkräftemangel</t>
  </si>
  <si>
    <t>Elektrotechnik|Fachkräftemangel</t>
  </si>
  <si>
    <t>Datenverarbeitungsgeräte, elektrische und optische Erzeugnisse|Fachkräftemangel</t>
  </si>
  <si>
    <t>Elektrische Ausrüstungen|Fachkräftemangel</t>
  </si>
  <si>
    <t>Maschinenbau|Fachkräftemangel</t>
  </si>
  <si>
    <t>Kraftfahrzeugbau|Fachkräftemangel</t>
  </si>
  <si>
    <t>Sonst. Fahrzeugbau|Fachkräftemangel</t>
  </si>
  <si>
    <t>Möbel|Fachkräftemangel</t>
  </si>
  <si>
    <t>Schmuck, Musikinstrumente, Sportgeräte, Spielwaren und sonstige Waren|Fachkräftemangel</t>
  </si>
  <si>
    <t>Reparatur und Installation von Maschinen und Ausrüstungen|Fachkräftemangel</t>
  </si>
  <si>
    <t>Energieversorgung|Fachkräftemangel</t>
  </si>
  <si>
    <t>Abwasser- und Abfallentsorgung, Beseitigung von Umweltverschmutzungen|Fachkräftemangel</t>
  </si>
  <si>
    <t>Baugewerbe|Fachkräftemangel</t>
  </si>
  <si>
    <t>Hochbau|Fachkräftemangel</t>
  </si>
  <si>
    <t>Tiefbau|Fachkräftemangel</t>
  </si>
  <si>
    <t>Ausbaugewerbe|Fachkräftemangel</t>
  </si>
  <si>
    <t>Handel|Fachkräftemangel</t>
  </si>
  <si>
    <t>Großhandel und Handelsvermittlung|Fachkräftemangel</t>
  </si>
  <si>
    <t>Einzelhandel|Fachkräftemangel</t>
  </si>
  <si>
    <t>Dienstleistungen (ohne Handel)|Fachkräftemangel</t>
  </si>
  <si>
    <t>Verkehr und Lagerei|Fachkräftemangel</t>
  </si>
  <si>
    <t>Landverkehr|Fachkräftemangel</t>
  </si>
  <si>
    <t>Lagerei und Verkehrsdienstleistungen|Fachkräftemangel</t>
  </si>
  <si>
    <t>Gastgewerbe|Fachkräftemangel</t>
  </si>
  <si>
    <t>Beherbergung|Fachkräftemangel</t>
  </si>
  <si>
    <t>Gastronomie|Fachkräftemangel</t>
  </si>
  <si>
    <t>Verlagswesen|Fachkräftemangel</t>
  </si>
  <si>
    <t>Medien- und Filmwirtschaft|Fachkräftemangel</t>
  </si>
  <si>
    <t>IT-Dienstleistungen|Fachkräftemangel</t>
  </si>
  <si>
    <t>Informationsdienstleistungen|Fachkräftemangel</t>
  </si>
  <si>
    <t>Finanz- und Versicherungsdienstleistungen|Fachkräftemangel</t>
  </si>
  <si>
    <t>Kreditgewerbe|Fachkräftemangel</t>
  </si>
  <si>
    <t>Versicherungswirtschaft|Fachkräftemangel</t>
  </si>
  <si>
    <t>Immobilienwirtschaft|Fachkräftemangel</t>
  </si>
  <si>
    <t>Forschung und Entwicklung|Fachkräftemangel</t>
  </si>
  <si>
    <t>Werbung und Marktforschung|Fachkräftemangel</t>
  </si>
  <si>
    <t>Leasing/Vermietungsleistungen|Fachkräftemangel</t>
  </si>
  <si>
    <t>Vermittlung und Überlassung von Arbeitskräften|Fachkräftemangel</t>
  </si>
  <si>
    <t>Reisevermittlung|Fachkräftemangel</t>
  </si>
  <si>
    <t>Rechts- und Steuerberatung, Wirtschaftsprüfung|Fachkräftemangel</t>
  </si>
  <si>
    <t>Unternehmensberatung|Fachkräftemangel</t>
  </si>
  <si>
    <t>Architektur- und Ingenieurbüros, naturwissenschaftliche Untersuchung|Fachkräftemangel</t>
  </si>
  <si>
    <t>Sonstige freiberufliche, wissenschaftliche und technische Tätigkeiten|Fachkräftemangel</t>
  </si>
  <si>
    <t>Sonstige wirtschaftliche Dienstleistungen für Unternehmen|Fachkräftemangel</t>
  </si>
  <si>
    <t>Sicherheitswirtschaft|Fachkräftemangel</t>
  </si>
  <si>
    <t>Gebäudebetreuung, Garten- und Landschaftsbau|Fachkräftemangel</t>
  </si>
  <si>
    <t>Bildungswirtschaft|Fachkräftemangel</t>
  </si>
  <si>
    <t>Gesundheits- und soziale Dienste|Fachkräftemangel</t>
  </si>
  <si>
    <t>Kunst, Unterhaltung, Erholung (alt: Freizeitwirtschaft)|Fachkräftemangel</t>
  </si>
  <si>
    <t>Sonstige personenbezogene Dienstleistungen|Fachkräftemangel</t>
  </si>
  <si>
    <t>Informationswirtschaft|Fachkräftemangel</t>
  </si>
  <si>
    <t>Alle Branchen|Finanzierung</t>
  </si>
  <si>
    <t>Industrie (ohne Baugewerbe)|Finanzierung</t>
  </si>
  <si>
    <t>Gewinnung von Steinen und Erden, Bergbau|Finanzierung</t>
  </si>
  <si>
    <t>Nahrungs- und Futtermittelindustrie|Finanzierung</t>
  </si>
  <si>
    <t>Getränkeindustrie|Finanzierung</t>
  </si>
  <si>
    <t>Textil-, Bekleidungs- und Ledergewerbe|Finanzierung</t>
  </si>
  <si>
    <t>Textilgewerbe|Finanzierung</t>
  </si>
  <si>
    <t>Holzgewerbe (ohne Möbel)|Finanzierung</t>
  </si>
  <si>
    <t>Papiergewerbe|Finanzierung</t>
  </si>
  <si>
    <t>Druckgewerbe|Finanzierung</t>
  </si>
  <si>
    <t>Chemische Industrie|Finanzierung</t>
  </si>
  <si>
    <t>Pharmazeutische Industrie|Finanzierung</t>
  </si>
  <si>
    <t>Gummi- und Kunststoffindustrie|Finanzierung</t>
  </si>
  <si>
    <t>Glas, Keramik, Steineverarbeitung|Finanzierung</t>
  </si>
  <si>
    <t>Metallerzeugung und -bearbeitung|Finanzierung</t>
  </si>
  <si>
    <t>Metallerzeugnisse|Finanzierung</t>
  </si>
  <si>
    <t>Elektrotechnik|Finanzierung</t>
  </si>
  <si>
    <t>Datenverarbeitungsgeräte, elektrische und optische Erzeugnisse|Finanzierung</t>
  </si>
  <si>
    <t>Elektrische Ausrüstungen|Finanzierung</t>
  </si>
  <si>
    <t>Maschinenbau|Finanzierung</t>
  </si>
  <si>
    <t>Kraftfahrzeugbau|Finanzierung</t>
  </si>
  <si>
    <t>Sonst. Fahrzeugbau|Finanzierung</t>
  </si>
  <si>
    <t>Möbel|Finanzierung</t>
  </si>
  <si>
    <t>Schmuck, Musikinstrumente, Sportgeräte, Spielwaren und sonstige Waren|Finanzierung</t>
  </si>
  <si>
    <t>Reparatur und Installation von Maschinen und Ausrüstungen|Finanzierung</t>
  </si>
  <si>
    <t>Energieversorgung|Finanzierung</t>
  </si>
  <si>
    <t>Abwasser- und Abfallentsorgung, Beseitigung von Umweltverschmutzungen|Finanzierung</t>
  </si>
  <si>
    <t>Baugewerbe|Finanzierung</t>
  </si>
  <si>
    <t>Hochbau|Finanzierung</t>
  </si>
  <si>
    <t>Tiefbau|Finanzierung</t>
  </si>
  <si>
    <t>Ausbaugewerbe|Finanzierung</t>
  </si>
  <si>
    <t>Handel|Finanzierung</t>
  </si>
  <si>
    <t>Großhandel und Handelsvermittlung|Finanzierung</t>
  </si>
  <si>
    <t>Einzelhandel|Finanzierung</t>
  </si>
  <si>
    <t>Dienstleistungen (ohne Handel)|Finanzierung</t>
  </si>
  <si>
    <t>Verkehr und Lagerei|Finanzierung</t>
  </si>
  <si>
    <t>Landverkehr|Finanzierung</t>
  </si>
  <si>
    <t>Lagerei und Verkehrsdienstleistungen|Finanzierung</t>
  </si>
  <si>
    <t>Gastgewerbe|Finanzierung</t>
  </si>
  <si>
    <t>Beherbergung|Finanzierung</t>
  </si>
  <si>
    <t>Gastronomie|Finanzierung</t>
  </si>
  <si>
    <t>Verlagswesen|Finanzierung</t>
  </si>
  <si>
    <t>Medien- und Filmwirtschaft|Finanzierung</t>
  </si>
  <si>
    <t>IT-Dienstleistungen|Finanzierung</t>
  </si>
  <si>
    <t>Informationsdienstleistungen|Finanzierung</t>
  </si>
  <si>
    <t>Finanz- und Versicherungsdienstleistungen|Finanzierung</t>
  </si>
  <si>
    <t>Kreditgewerbe|Finanzierung</t>
  </si>
  <si>
    <t>Versicherungswirtschaft|Finanzierung</t>
  </si>
  <si>
    <t>Immobilienwirtschaft|Finanzierung</t>
  </si>
  <si>
    <t>Forschung und Entwicklung|Finanzierung</t>
  </si>
  <si>
    <t>Werbung und Marktforschung|Finanzierung</t>
  </si>
  <si>
    <t>Leasing/Vermietungsleistungen|Finanzierung</t>
  </si>
  <si>
    <t>Vermittlung und Überlassung von Arbeitskräften|Finanzierung</t>
  </si>
  <si>
    <t>Reisevermittlung|Finanzierung</t>
  </si>
  <si>
    <t>Rechts- und Steuerberatung, Wirtschaftsprüfung|Finanzierung</t>
  </si>
  <si>
    <t>Unternehmensberatung|Finanzierung</t>
  </si>
  <si>
    <t>Architektur- und Ingenieurbüros, naturwissenschaftliche Untersuchung|Finanzierung</t>
  </si>
  <si>
    <t>Sonstige freiberufliche, wissenschaftliche und technische Tätigkeiten|Finanzierung</t>
  </si>
  <si>
    <t>Sonstige wirtschaftliche Dienstleistungen für Unternehmen|Finanzierung</t>
  </si>
  <si>
    <t>Sicherheitswirtschaft|Finanzierung</t>
  </si>
  <si>
    <t>Gebäudebetreuung, Garten- und Landschaftsbau|Finanzierung</t>
  </si>
  <si>
    <t>Bildungswirtschaft|Finanzierung</t>
  </si>
  <si>
    <t>Gesundheits- und soziale Dienste|Finanzierung</t>
  </si>
  <si>
    <t>Kunst, Unterhaltung, Erholung (alt: Freizeitwirtschaft)|Finanzierung</t>
  </si>
  <si>
    <t>Sonstige personenbezogene Dienstleistungen|Finanzierung</t>
  </si>
  <si>
    <t>Informationswirtschaft|Finanzierung</t>
  </si>
  <si>
    <t>Alle Branchen|Inlandsnachfrage</t>
  </si>
  <si>
    <t>Industrie (ohne Baugewerbe)|Inlandsnachfrage</t>
  </si>
  <si>
    <t>Gewinnung von Steinen und Erden, Bergbau|Inlandsnachfrage</t>
  </si>
  <si>
    <t>Nahrungs- und Futtermittelindustrie|Inlandsnachfrage</t>
  </si>
  <si>
    <t>Getränkeindustrie|Inlandsnachfrage</t>
  </si>
  <si>
    <t>Textil-, Bekleidungs- und Ledergewerbe|Inlandsnachfrage</t>
  </si>
  <si>
    <t>Textilgewerbe|Inlandsnachfrage</t>
  </si>
  <si>
    <t>Holzgewerbe (ohne Möbel)|Inlandsnachfrage</t>
  </si>
  <si>
    <t>Papiergewerbe|Inlandsnachfrage</t>
  </si>
  <si>
    <t>Druckgewerbe|Inlandsnachfrage</t>
  </si>
  <si>
    <t>Chemische Industrie|Inlandsnachfrage</t>
  </si>
  <si>
    <t>Pharmazeutische Industrie|Inlandsnachfrage</t>
  </si>
  <si>
    <t>Gummi- und Kunststoffindustrie|Inlandsnachfrage</t>
  </si>
  <si>
    <t>Glas, Keramik, Steineverarbeitung|Inlandsnachfrage</t>
  </si>
  <si>
    <t>Metallerzeugung und -bearbeitung|Inlandsnachfrage</t>
  </si>
  <si>
    <t>Metallerzeugnisse|Inlandsnachfrage</t>
  </si>
  <si>
    <t>Elektrotechnik|Inlandsnachfrage</t>
  </si>
  <si>
    <t>Datenverarbeitungsgeräte, elektrische und optische Erzeugnisse|Inlandsnachfrage</t>
  </si>
  <si>
    <t>Elektrische Ausrüstungen|Inlandsnachfrage</t>
  </si>
  <si>
    <t>Maschinenbau|Inlandsnachfrage</t>
  </si>
  <si>
    <t>Kraftfahrzeugbau|Inlandsnachfrage</t>
  </si>
  <si>
    <t>Sonst. Fahrzeugbau|Inlandsnachfrage</t>
  </si>
  <si>
    <t>Möbel|Inlandsnachfrage</t>
  </si>
  <si>
    <t>Schmuck, Musikinstrumente, Sportgeräte, Spielwaren und sonstige Waren|Inlandsnachfrage</t>
  </si>
  <si>
    <t>Reparatur und Installation von Maschinen und Ausrüstungen|Inlandsnachfrage</t>
  </si>
  <si>
    <t>Energieversorgung|Inlandsnachfrage</t>
  </si>
  <si>
    <t>Abwasser- und Abfallentsorgung, Beseitigung von Umweltverschmutzungen|Inlandsnachfrage</t>
  </si>
  <si>
    <t>Baugewerbe|Inlandsnachfrage</t>
  </si>
  <si>
    <t>Hochbau|Inlandsnachfrage</t>
  </si>
  <si>
    <t>Tiefbau|Inlandsnachfrage</t>
  </si>
  <si>
    <t>Ausbaugewerbe|Inlandsnachfrage</t>
  </si>
  <si>
    <t>Handel|Inlandsnachfrage</t>
  </si>
  <si>
    <t>Großhandel und Handelsvermittlung|Inlandsnachfrage</t>
  </si>
  <si>
    <t>Einzelhandel|Inlandsnachfrage</t>
  </si>
  <si>
    <t>Dienstleistungen (ohne Handel)|Inlandsnachfrage</t>
  </si>
  <si>
    <t>Verkehr und Lagerei|Inlandsnachfrage</t>
  </si>
  <si>
    <t>Landverkehr|Inlandsnachfrage</t>
  </si>
  <si>
    <t>Lagerei und Verkehrsdienstleistungen|Inlandsnachfrage</t>
  </si>
  <si>
    <t>Gastgewerbe|Inlandsnachfrage</t>
  </si>
  <si>
    <t>Beherbergung|Inlandsnachfrage</t>
  </si>
  <si>
    <t>Gastronomie|Inlandsnachfrage</t>
  </si>
  <si>
    <t>Verlagswesen|Inlandsnachfrage</t>
  </si>
  <si>
    <t>Medien- und Filmwirtschaft|Inlandsnachfrage</t>
  </si>
  <si>
    <t>IT-Dienstleistungen|Inlandsnachfrage</t>
  </si>
  <si>
    <t>Informationsdienstleistungen|Inlandsnachfrage</t>
  </si>
  <si>
    <t>Finanz- und Versicherungsdienstleistungen|Inlandsnachfrage</t>
  </si>
  <si>
    <t>Kreditgewerbe|Inlandsnachfrage</t>
  </si>
  <si>
    <t>Versicherungswirtschaft|Inlandsnachfrage</t>
  </si>
  <si>
    <t>Immobilienwirtschaft|Inlandsnachfrage</t>
  </si>
  <si>
    <t>Forschung und Entwicklung|Inlandsnachfrage</t>
  </si>
  <si>
    <t>Werbung und Marktforschung|Inlandsnachfrage</t>
  </si>
  <si>
    <t>Leasing/Vermietungsleistungen|Inlandsnachfrage</t>
  </si>
  <si>
    <t>Vermittlung und Überlassung von Arbeitskräften|Inlandsnachfrage</t>
  </si>
  <si>
    <t>Reisevermittlung|Inlandsnachfrage</t>
  </si>
  <si>
    <t>Rechts- und Steuerberatung, Wirtschaftsprüfung|Inlandsnachfrage</t>
  </si>
  <si>
    <t>Unternehmensberatung|Inlandsnachfrage</t>
  </si>
  <si>
    <t>Architektur- und Ingenieurbüros, naturwissenschaftliche Untersuchung|Inlandsnachfrage</t>
  </si>
  <si>
    <t>Sonstige freiberufliche, wissenschaftliche und technische Tätigkeiten|Inlandsnachfrage</t>
  </si>
  <si>
    <t>Sonstige wirtschaftliche Dienstleistungen für Unternehmen|Inlandsnachfrage</t>
  </si>
  <si>
    <t>Sicherheitswirtschaft|Inlandsnachfrage</t>
  </si>
  <si>
    <t>Gebäudebetreuung, Garten- und Landschaftsbau|Inlandsnachfrage</t>
  </si>
  <si>
    <t>Bildungswirtschaft|Inlandsnachfrage</t>
  </si>
  <si>
    <t>Gesundheits- und soziale Dienste|Inlandsnachfrage</t>
  </si>
  <si>
    <t>Kunst, Unterhaltung, Erholung (alt: Freizeitwirtschaft)|Inlandsnachfrage</t>
  </si>
  <si>
    <t>Sonstige personenbezogene Dienstleistungen|Inlandsnachfrage</t>
  </si>
  <si>
    <t>Informationswirtschaft|Inlandsnachfrage</t>
  </si>
  <si>
    <t>Alle Branchen|Wechselkurs</t>
  </si>
  <si>
    <t>Industrie (ohne Baugewerbe)|Wechselkurs</t>
  </si>
  <si>
    <t>Gewinnung von Steinen und Erden, Bergbau|Wechselkurs</t>
  </si>
  <si>
    <t>Nahrungs- und Futtermittelindustrie|Wechselkurs</t>
  </si>
  <si>
    <t>Getränkeindustrie|Wechselkurs</t>
  </si>
  <si>
    <t>Textil-, Bekleidungs- und Ledergewerbe|Wechselkurs</t>
  </si>
  <si>
    <t>Textilgewerbe|Wechselkurs</t>
  </si>
  <si>
    <t>Holzgewerbe (ohne Möbel)|Wechselkurs</t>
  </si>
  <si>
    <t>Papiergewerbe|Wechselkurs</t>
  </si>
  <si>
    <t>Druckgewerbe|Wechselkurs</t>
  </si>
  <si>
    <t>Chemische Industrie|Wechselkurs</t>
  </si>
  <si>
    <t>Pharmazeutische Industrie|Wechselkurs</t>
  </si>
  <si>
    <t>Gummi- und Kunststoffindustrie|Wechselkurs</t>
  </si>
  <si>
    <t>Glas, Keramik, Steineverarbeitung|Wechselkurs</t>
  </si>
  <si>
    <t>Metallerzeugung und -bearbeitung|Wechselkurs</t>
  </si>
  <si>
    <t>Metallerzeugnisse|Wechselkurs</t>
  </si>
  <si>
    <t>Elektrotechnik|Wechselkurs</t>
  </si>
  <si>
    <t>Datenverarbeitungsgeräte, elektrische und optische Erzeugnisse|Wechselkurs</t>
  </si>
  <si>
    <t>Elektrische Ausrüstungen|Wechselkurs</t>
  </si>
  <si>
    <t>Maschinenbau|Wechselkurs</t>
  </si>
  <si>
    <t>Kraftfahrzeugbau|Wechselkurs</t>
  </si>
  <si>
    <t>Sonst. Fahrzeugbau|Wechselkurs</t>
  </si>
  <si>
    <t>Möbel|Wechselkurs</t>
  </si>
  <si>
    <t>Schmuck, Musikinstrumente, Sportgeräte, Spielwaren und sonstige Waren|Wechselkurs</t>
  </si>
  <si>
    <t>Reparatur und Installation von Maschinen und Ausrüstungen|Wechselkurs</t>
  </si>
  <si>
    <t>Energieversorgung|Wechselkurs</t>
  </si>
  <si>
    <t>Abwasser- und Abfallentsorgung, Beseitigung von Umweltverschmutzungen|Wechselkurs</t>
  </si>
  <si>
    <t>Baugewerbe|Wechselkurs</t>
  </si>
  <si>
    <t>Hochbau|Wechselkurs</t>
  </si>
  <si>
    <t>Tiefbau|Wechselkurs</t>
  </si>
  <si>
    <t>Ausbaugewerbe|Wechselkurs</t>
  </si>
  <si>
    <t>Handel|Wechselkurs</t>
  </si>
  <si>
    <t>Großhandel und Handelsvermittlung|Wechselkurs</t>
  </si>
  <si>
    <t>Einzelhandel|Wechselkurs</t>
  </si>
  <si>
    <t>Dienstleistungen (ohne Handel)|Wechselkurs</t>
  </si>
  <si>
    <t>Verkehr und Lagerei|Wechselkurs</t>
  </si>
  <si>
    <t>Landverkehr|Wechselkurs</t>
  </si>
  <si>
    <t>Lagerei und Verkehrsdienstleistungen|Wechselkurs</t>
  </si>
  <si>
    <t>Gastgewerbe|Wechselkurs</t>
  </si>
  <si>
    <t>Beherbergung|Wechselkurs</t>
  </si>
  <si>
    <t>Gastronomie|Wechselkurs</t>
  </si>
  <si>
    <t>Verlagswesen|Wechselkurs</t>
  </si>
  <si>
    <t>Medien- und Filmwirtschaft|Wechselkurs</t>
  </si>
  <si>
    <t>IT-Dienstleistungen|Wechselkurs</t>
  </si>
  <si>
    <t>Informationsdienstleistungen|Wechselkurs</t>
  </si>
  <si>
    <t>Finanz- und Versicherungsdienstleistungen|Wechselkurs</t>
  </si>
  <si>
    <t>Kreditgewerbe|Wechselkurs</t>
  </si>
  <si>
    <t>Versicherungswirtschaft|Wechselkurs</t>
  </si>
  <si>
    <t>Immobilienwirtschaft|Wechselkurs</t>
  </si>
  <si>
    <t>Forschung und Entwicklung|Wechselkurs</t>
  </si>
  <si>
    <t>Werbung und Marktforschung|Wechselkurs</t>
  </si>
  <si>
    <t>Leasing/Vermietungsleistungen|Wechselkurs</t>
  </si>
  <si>
    <t>Vermittlung und Überlassung von Arbeitskräften|Wechselkurs</t>
  </si>
  <si>
    <t>Reisevermittlung|Wechselkurs</t>
  </si>
  <si>
    <t>Rechts- und Steuerberatung, Wirtschaftsprüfung|Wechselkurs</t>
  </si>
  <si>
    <t>Unternehmensberatung|Wechselkurs</t>
  </si>
  <si>
    <t>Architektur- und Ingenieurbüros, naturwissenschaftliche Untersuchung|Wechselkurs</t>
  </si>
  <si>
    <t>Sonstige freiberufliche, wissenschaftliche und technische Tätigkeiten|Wechselkurs</t>
  </si>
  <si>
    <t>Sonstige wirtschaftliche Dienstleistungen für Unternehmen|Wechselkurs</t>
  </si>
  <si>
    <t>Sicherheitswirtschaft|Wechselkurs</t>
  </si>
  <si>
    <t>Gebäudebetreuung, Garten- und Landschaftsbau|Wechselkurs</t>
  </si>
  <si>
    <t>Bildungswirtschaft|Wechselkurs</t>
  </si>
  <si>
    <t>Gesundheits- und soziale Dienste|Wechselkurs</t>
  </si>
  <si>
    <t>Kunst, Unterhaltung, Erholung (alt: Freizeitwirtschaft)|Wechselkurs</t>
  </si>
  <si>
    <t>Sonstige personenbezogene Dienstleistungen|Wechselkurs</t>
  </si>
  <si>
    <t>Informationswirtschaft|Wechselkurs</t>
  </si>
  <si>
    <t>Alle Branchen|Wirtschaftspolitische Rahmenbedingungen</t>
  </si>
  <si>
    <t>Industrie (ohne Baugewerbe)|Wirtschaftspolitische Rahmenbedingungen</t>
  </si>
  <si>
    <t>Gewinnung von Steinen und Erden, Bergbau|Wirtschaftspolitische Rahmenbedingungen</t>
  </si>
  <si>
    <t>Nahrungs- und Futtermittelindustrie|Wirtschaftspolitische Rahmenbedingungen</t>
  </si>
  <si>
    <t>Getränkeindustrie|Wirtschaftspolitische Rahmenbedingungen</t>
  </si>
  <si>
    <t>Textil-, Bekleidungs- und Ledergewerbe|Wirtschaftspolitische Rahmenbedingungen</t>
  </si>
  <si>
    <t>Textilgewerbe|Wirtschaftspolitische Rahmenbedingungen</t>
  </si>
  <si>
    <t>Holzgewerbe (ohne Möbel)|Wirtschaftspolitische Rahmenbedingungen</t>
  </si>
  <si>
    <t>Papiergewerbe|Wirtschaftspolitische Rahmenbedingungen</t>
  </si>
  <si>
    <t>Druckgewerbe|Wirtschaftspolitische Rahmenbedingungen</t>
  </si>
  <si>
    <t>Chemische Industrie|Wirtschaftspolitische Rahmenbedingungen</t>
  </si>
  <si>
    <t>Pharmazeutische Industrie|Wirtschaftspolitische Rahmenbedingungen</t>
  </si>
  <si>
    <t>Gummi- und Kunststoffindustrie|Wirtschaftspolitische Rahmenbedingungen</t>
  </si>
  <si>
    <t>Glas, Keramik, Steineverarbeitung|Wirtschaftspolitische Rahmenbedingungen</t>
  </si>
  <si>
    <t>Metallerzeugung und -bearbeitung|Wirtschaftspolitische Rahmenbedingungen</t>
  </si>
  <si>
    <t>Metallerzeugnisse|Wirtschaftspolitische Rahmenbedingungen</t>
  </si>
  <si>
    <t>Elektrotechnik|Wirtschaftspolitische Rahmenbedingungen</t>
  </si>
  <si>
    <t>Datenverarbeitungsgeräte, elektrische und optische Erzeugnisse|Wirtschaftspolitische Rahmenbedingungen</t>
  </si>
  <si>
    <t>Elektrische Ausrüstungen|Wirtschaftspolitische Rahmenbedingungen</t>
  </si>
  <si>
    <t>Maschinenbau|Wirtschaftspolitische Rahmenbedingungen</t>
  </si>
  <si>
    <t>Kraftfahrzeugbau|Wirtschaftspolitische Rahmenbedingungen</t>
  </si>
  <si>
    <t>Sonst. Fahrzeugbau|Wirtschaftspolitische Rahmenbedingungen</t>
  </si>
  <si>
    <t>Möbel|Wirtschaftspolitische Rahmenbedingungen</t>
  </si>
  <si>
    <t>Schmuck, Musikinstrumente, Sportgeräte, Spielwaren und sonstige Waren|Wirtschaftspolitische Rahmenbedingungen</t>
  </si>
  <si>
    <t>Reparatur und Installation von Maschinen und Ausrüstungen|Wirtschaftspolitische Rahmenbedingungen</t>
  </si>
  <si>
    <t>Energieversorgung|Wirtschaftspolitische Rahmenbedingungen</t>
  </si>
  <si>
    <t>Abwasser- und Abfallentsorgung, Beseitigung von Umweltverschmutzungen|Wirtschaftspolitische Rahmenbedingungen</t>
  </si>
  <si>
    <t>Baugewerbe|Wirtschaftspolitische Rahmenbedingungen</t>
  </si>
  <si>
    <t>Hochbau|Wirtschaftspolitische Rahmenbedingungen</t>
  </si>
  <si>
    <t>Tiefbau|Wirtschaftspolitische Rahmenbedingungen</t>
  </si>
  <si>
    <t>Ausbaugewerbe|Wirtschaftspolitische Rahmenbedingungen</t>
  </si>
  <si>
    <t>Handel|Wirtschaftspolitische Rahmenbedingungen</t>
  </si>
  <si>
    <t>Großhandel und Handelsvermittlung|Wirtschaftspolitische Rahmenbedingungen</t>
  </si>
  <si>
    <t>Einzelhandel|Wirtschaftspolitische Rahmenbedingungen</t>
  </si>
  <si>
    <t>Dienstleistungen (ohne Handel)|Wirtschaftspolitische Rahmenbedingungen</t>
  </si>
  <si>
    <t>Verkehr und Lagerei|Wirtschaftspolitische Rahmenbedingungen</t>
  </si>
  <si>
    <t>Landverkehr|Wirtschaftspolitische Rahmenbedingungen</t>
  </si>
  <si>
    <t>Lagerei und Verkehrsdienstleistungen|Wirtschaftspolitische Rahmenbedingungen</t>
  </si>
  <si>
    <t>Gastgewerbe|Wirtschaftspolitische Rahmenbedingungen</t>
  </si>
  <si>
    <t>Beherbergung|Wirtschaftspolitische Rahmenbedingungen</t>
  </si>
  <si>
    <t>Gastronomie|Wirtschaftspolitische Rahmenbedingungen</t>
  </si>
  <si>
    <t>Verlagswesen|Wirtschaftspolitische Rahmenbedingungen</t>
  </si>
  <si>
    <t>Medien- und Filmwirtschaft|Wirtschaftspolitische Rahmenbedingungen</t>
  </si>
  <si>
    <t>IT-Dienstleistungen|Wirtschaftspolitische Rahmenbedingungen</t>
  </si>
  <si>
    <t>Informationsdienstleistungen|Wirtschaftspolitische Rahmenbedingungen</t>
  </si>
  <si>
    <t>Finanz- und Versicherungsdienstleistungen|Wirtschaftspolitische Rahmenbedingungen</t>
  </si>
  <si>
    <t>Kreditgewerbe|Wirtschaftspolitische Rahmenbedingungen</t>
  </si>
  <si>
    <t>Versicherungswirtschaft|Wirtschaftspolitische Rahmenbedingungen</t>
  </si>
  <si>
    <t>Immobilienwirtschaft|Wirtschaftspolitische Rahmenbedingungen</t>
  </si>
  <si>
    <t>Forschung und Entwicklung|Wirtschaftspolitische Rahmenbedingungen</t>
  </si>
  <si>
    <t>Werbung und Marktforschung|Wirtschaftspolitische Rahmenbedingungen</t>
  </si>
  <si>
    <t>Leasing/Vermietungsleistungen|Wirtschaftspolitische Rahmenbedingungen</t>
  </si>
  <si>
    <t>Vermittlung und Überlassung von Arbeitskräften|Wirtschaftspolitische Rahmenbedingungen</t>
  </si>
  <si>
    <t>Reisevermittlung|Wirtschaftspolitische Rahmenbedingungen</t>
  </si>
  <si>
    <t>Rechts- und Steuerberatung, Wirtschaftsprüfung|Wirtschaftspolitische Rahmenbedingungen</t>
  </si>
  <si>
    <t>Unternehmensberatung|Wirtschaftspolitische Rahmenbedingungen</t>
  </si>
  <si>
    <t>Architektur- und Ingenieurbüros, naturwissenschaftliche Untersuchung|Wirtschaftspolitische Rahmenbedingungen</t>
  </si>
  <si>
    <t>Sonstige freiberufliche, wissenschaftliche und technische Tätigkeiten|Wirtschaftspolitische Rahmenbedingungen</t>
  </si>
  <si>
    <t>Sonstige wirtschaftliche Dienstleistungen für Unternehmen|Wirtschaftspolitische Rahmenbedingungen</t>
  </si>
  <si>
    <t>Sicherheitswirtschaft|Wirtschaftspolitische Rahmenbedingungen</t>
  </si>
  <si>
    <t>Gebäudebetreuung, Garten- und Landschaftsbau|Wirtschaftspolitische Rahmenbedingungen</t>
  </si>
  <si>
    <t>Bildungswirtschaft|Wirtschaftspolitische Rahmenbedingungen</t>
  </si>
  <si>
    <t>Gesundheits- und soziale Dienste|Wirtschaftspolitische Rahmenbedingungen</t>
  </si>
  <si>
    <t>Kunst, Unterhaltung, Erholung (alt: Freizeitwirtschaft)|Wirtschaftspolitische Rahmenbedingungen</t>
  </si>
  <si>
    <t>Sonstige personenbezogene Dienstleistungen|Wirtschaftspolitische Rahmenbedingungen</t>
  </si>
  <si>
    <t>Informationswirtschaft|Wirtschaftspolitische Rahmenbedingungen</t>
  </si>
  <si>
    <t>Alle Branchen|Ersatzbedarf</t>
  </si>
  <si>
    <t>Industrie (ohne Baugewerbe)|Ersatzbedarf</t>
  </si>
  <si>
    <t>Gewinnung von Steinen und Erden, Bergbau|Ersatzbedarf</t>
  </si>
  <si>
    <t>Nahrungs- und Futtermittelindustrie|Ersatzbedarf</t>
  </si>
  <si>
    <t>Getränkeindustrie|Ersatzbedarf</t>
  </si>
  <si>
    <t>Textil-, Bekleidungs- und Ledergewerbe|Ersatzbedarf</t>
  </si>
  <si>
    <t>Textilgewerbe|Ersatzbedarf</t>
  </si>
  <si>
    <t>Holzgewerbe (ohne Möbel)|Ersatzbedarf</t>
  </si>
  <si>
    <t>Papiergewerbe|Ersatzbedarf</t>
  </si>
  <si>
    <t>Druckgewerbe|Ersatzbedarf</t>
  </si>
  <si>
    <t>Chemische Industrie|Ersatzbedarf</t>
  </si>
  <si>
    <t>Pharmazeutische Industrie|Ersatzbedarf</t>
  </si>
  <si>
    <t>Gummi- und Kunststoffindustrie|Ersatzbedarf</t>
  </si>
  <si>
    <t>Glas, Keramik, Steineverarbeitung|Ersatzbedarf</t>
  </si>
  <si>
    <t>Metallerzeugung und -bearbeitung|Ersatzbedarf</t>
  </si>
  <si>
    <t>Metallerzeugnisse|Ersatzbedarf</t>
  </si>
  <si>
    <t>Elektrotechnik|Ersatzbedarf</t>
  </si>
  <si>
    <t>Datenverarbeitungsgeräte, elektrische und optische Erzeugnisse|Ersatzbedarf</t>
  </si>
  <si>
    <t>Elektrische Ausrüstungen|Ersatzbedarf</t>
  </si>
  <si>
    <t>Maschinenbau|Ersatzbedarf</t>
  </si>
  <si>
    <t>Kraftfahrzeugbau|Ersatzbedarf</t>
  </si>
  <si>
    <t>Sonst. Fahrzeugbau|Ersatzbedarf</t>
  </si>
  <si>
    <t>Möbel|Ersatzbedarf</t>
  </si>
  <si>
    <t>Schmuck, Musikinstrumente, Sportgeräte, Spielwaren und sonstige Waren|Ersatzbedarf</t>
  </si>
  <si>
    <t>Reparatur und Installation von Maschinen und Ausrüstungen|Ersatzbedarf</t>
  </si>
  <si>
    <t>Energieversorgung|Ersatzbedarf</t>
  </si>
  <si>
    <t>Abwasser- und Abfallentsorgung, Beseitigung von Umweltverschmutzungen|Ersatzbedarf</t>
  </si>
  <si>
    <t>Baugewerbe|Ersatzbedarf</t>
  </si>
  <si>
    <t>Hochbau|Ersatzbedarf</t>
  </si>
  <si>
    <t>Tiefbau|Ersatzbedarf</t>
  </si>
  <si>
    <t>Ausbaugewerbe|Ersatzbedarf</t>
  </si>
  <si>
    <t>Handel|Ersatzbedarf</t>
  </si>
  <si>
    <t>Großhandel und Handelsvermittlung|Ersatzbedarf</t>
  </si>
  <si>
    <t>Einzelhandel|Ersatzbedarf</t>
  </si>
  <si>
    <t>Dienstleistungen (ohne Handel)|Ersatzbedarf</t>
  </si>
  <si>
    <t>Verkehr und Lagerei|Ersatzbedarf</t>
  </si>
  <si>
    <t>Landverkehr|Ersatzbedarf</t>
  </si>
  <si>
    <t>Lagerei und Verkehrsdienstleistungen|Ersatzbedarf</t>
  </si>
  <si>
    <t>Gastgewerbe|Ersatzbedarf</t>
  </si>
  <si>
    <t>Beherbergung|Ersatzbedarf</t>
  </si>
  <si>
    <t>Gastronomie|Ersatzbedarf</t>
  </si>
  <si>
    <t>Verlagswesen|Ersatzbedarf</t>
  </si>
  <si>
    <t>Medien- und Filmwirtschaft|Ersatzbedarf</t>
  </si>
  <si>
    <t>IT-Dienstleistungen|Ersatzbedarf</t>
  </si>
  <si>
    <t>Informationsdienstleistungen|Ersatzbedarf</t>
  </si>
  <si>
    <t>Finanz- und Versicherungsdienstleistungen|Ersatzbedarf</t>
  </si>
  <si>
    <t>Kreditgewerbe|Ersatzbedarf</t>
  </si>
  <si>
    <t>Versicherungswirtschaft|Ersatzbedarf</t>
  </si>
  <si>
    <t>Immobilienwirtschaft|Ersatzbedarf</t>
  </si>
  <si>
    <t>Forschung und Entwicklung|Ersatzbedarf</t>
  </si>
  <si>
    <t>Werbung und Marktforschung|Ersatzbedarf</t>
  </si>
  <si>
    <t>Leasing/Vermietungsleistungen|Ersatzbedarf</t>
  </si>
  <si>
    <t>Vermittlung und Überlassung von Arbeitskräften|Ersatzbedarf</t>
  </si>
  <si>
    <t>Reisevermittlung|Ersatzbedarf</t>
  </si>
  <si>
    <t>Rechts- und Steuerberatung, Wirtschaftsprüfung|Ersatzbedarf</t>
  </si>
  <si>
    <t>Unternehmensberatung|Ersatzbedarf</t>
  </si>
  <si>
    <t>Architektur- und Ingenieurbüros, naturwissenschaftliche Untersuchung|Ersatzbedarf</t>
  </si>
  <si>
    <t>Sonstige freiberufliche, wissenschaftliche und technische Tätigkeiten|Ersatzbedarf</t>
  </si>
  <si>
    <t>Sonstige wirtschaftliche Dienstleistungen für Unternehmen|Ersatzbedarf</t>
  </si>
  <si>
    <t>Sicherheitswirtschaft|Ersatzbedarf</t>
  </si>
  <si>
    <t>Gebäudebetreuung, Garten- und Landschaftsbau|Ersatzbedarf</t>
  </si>
  <si>
    <t>Bildungswirtschaft|Ersatzbedarf</t>
  </si>
  <si>
    <t>Gesundheits- und soziale Dienste|Ersatzbedarf</t>
  </si>
  <si>
    <t>Kunst, Unterhaltung, Erholung (alt: Freizeitwirtschaft)|Ersatzbedarf</t>
  </si>
  <si>
    <t>Sonstige personenbezogene Dienstleistungen|Ersatzbedarf</t>
  </si>
  <si>
    <t>Informationswirtschaft|Ersatzbedarf</t>
  </si>
  <si>
    <t>Alle Branchen|Kapazitätserweiterung</t>
  </si>
  <si>
    <t>Industrie (ohne Baugewerbe)|Kapazitätserweiterung</t>
  </si>
  <si>
    <t>Gewinnung von Steinen und Erden, Bergbau|Kapazitätserweiterung</t>
  </si>
  <si>
    <t>Nahrungs- und Futtermittelindustrie|Kapazitätserweiterung</t>
  </si>
  <si>
    <t>Getränkeindustrie|Kapazitätserweiterung</t>
  </si>
  <si>
    <t>Textil-, Bekleidungs- und Ledergewerbe|Kapazitätserweiterung</t>
  </si>
  <si>
    <t>Textilgewerbe|Kapazitätserweiterung</t>
  </si>
  <si>
    <t>Holzgewerbe (ohne Möbel)|Kapazitätserweiterung</t>
  </si>
  <si>
    <t>Papiergewerbe|Kapazitätserweiterung</t>
  </si>
  <si>
    <t>Druckgewerbe|Kapazitätserweiterung</t>
  </si>
  <si>
    <t>Chemische Industrie|Kapazitätserweiterung</t>
  </si>
  <si>
    <t>Pharmazeutische Industrie|Kapazitätserweiterung</t>
  </si>
  <si>
    <t>Gummi- und Kunststoffindustrie|Kapazitätserweiterung</t>
  </si>
  <si>
    <t>Glas, Keramik, Steineverarbeitung|Kapazitätserweiterung</t>
  </si>
  <si>
    <t>Metallerzeugung und -bearbeitung|Kapazitätserweiterung</t>
  </si>
  <si>
    <t>Metallerzeugnisse|Kapazitätserweiterung</t>
  </si>
  <si>
    <t>Elektrotechnik|Kapazitätserweiterung</t>
  </si>
  <si>
    <t>Datenverarbeitungsgeräte, elektrische und optische Erzeugnisse|Kapazitätserweiterung</t>
  </si>
  <si>
    <t>Elektrische Ausrüstungen|Kapazitätserweiterung</t>
  </si>
  <si>
    <t>Maschinenbau|Kapazitätserweiterung</t>
  </si>
  <si>
    <t>Kraftfahrzeugbau|Kapazitätserweiterung</t>
  </si>
  <si>
    <t>Sonst. Fahrzeugbau|Kapazitätserweiterung</t>
  </si>
  <si>
    <t>Möbel|Kapazitätserweiterung</t>
  </si>
  <si>
    <t>Schmuck, Musikinstrumente, Sportgeräte, Spielwaren und sonstige Waren|Kapazitätserweiterung</t>
  </si>
  <si>
    <t>Reparatur und Installation von Maschinen und Ausrüstungen|Kapazitätserweiterung</t>
  </si>
  <si>
    <t>Energieversorgung|Kapazitätserweiterung</t>
  </si>
  <si>
    <t>Abwasser- und Abfallentsorgung, Beseitigung von Umweltverschmutzungen|Kapazitätserweiterung</t>
  </si>
  <si>
    <t>Baugewerbe|Kapazitätserweiterung</t>
  </si>
  <si>
    <t>Hochbau|Kapazitätserweiterung</t>
  </si>
  <si>
    <t>Tiefbau|Kapazitätserweiterung</t>
  </si>
  <si>
    <t>Ausbaugewerbe|Kapazitätserweiterung</t>
  </si>
  <si>
    <t>Handel|Kapazitätserweiterung</t>
  </si>
  <si>
    <t>Großhandel und Handelsvermittlung|Kapazitätserweiterung</t>
  </si>
  <si>
    <t>Einzelhandel|Kapazitätserweiterung</t>
  </si>
  <si>
    <t>Dienstleistungen (ohne Handel)|Kapazitätserweiterung</t>
  </si>
  <si>
    <t>Verkehr und Lagerei|Kapazitätserweiterung</t>
  </si>
  <si>
    <t>Landverkehr|Kapazitätserweiterung</t>
  </si>
  <si>
    <t>Lagerei und Verkehrsdienstleistungen|Kapazitätserweiterung</t>
  </si>
  <si>
    <t>Gastgewerbe|Kapazitätserweiterung</t>
  </si>
  <si>
    <t>Beherbergung|Kapazitätserweiterung</t>
  </si>
  <si>
    <t>Gastronomie|Kapazitätserweiterung</t>
  </si>
  <si>
    <t>Verlagswesen|Kapazitätserweiterung</t>
  </si>
  <si>
    <t>Medien- und Filmwirtschaft|Kapazitätserweiterung</t>
  </si>
  <si>
    <t>IT-Dienstleistungen|Kapazitätserweiterung</t>
  </si>
  <si>
    <t>Informationsdienstleistungen|Kapazitätserweiterung</t>
  </si>
  <si>
    <t>Finanz- und Versicherungsdienstleistungen|Kapazitätserweiterung</t>
  </si>
  <si>
    <t>Kreditgewerbe|Kapazitätserweiterung</t>
  </si>
  <si>
    <t>Versicherungswirtschaft|Kapazitätserweiterung</t>
  </si>
  <si>
    <t>Immobilienwirtschaft|Kapazitätserweiterung</t>
  </si>
  <si>
    <t>Forschung und Entwicklung|Kapazitätserweiterung</t>
  </si>
  <si>
    <t>Werbung und Marktforschung|Kapazitätserweiterung</t>
  </si>
  <si>
    <t>Leasing/Vermietungsleistungen|Kapazitätserweiterung</t>
  </si>
  <si>
    <t>Vermittlung und Überlassung von Arbeitskräften|Kapazitätserweiterung</t>
  </si>
  <si>
    <t>Reisevermittlung|Kapazitätserweiterung</t>
  </si>
  <si>
    <t>Rechts- und Steuerberatung, Wirtschaftsprüfung|Kapazitätserweiterung</t>
  </si>
  <si>
    <t>Unternehmensberatung|Kapazitätserweiterung</t>
  </si>
  <si>
    <t>Architektur- und Ingenieurbüros, naturwissenschaftliche Untersuchung|Kapazitätserweiterung</t>
  </si>
  <si>
    <t>Sonstige freiberufliche, wissenschaftliche und technische Tätigkeiten|Kapazitätserweiterung</t>
  </si>
  <si>
    <t>Sonstige wirtschaftliche Dienstleistungen für Unternehmen|Kapazitätserweiterung</t>
  </si>
  <si>
    <t>Sicherheitswirtschaft|Kapazitätserweiterung</t>
  </si>
  <si>
    <t>Gebäudebetreuung, Garten- und Landschaftsbau|Kapazitätserweiterung</t>
  </si>
  <si>
    <t>Bildungswirtschaft|Kapazitätserweiterung</t>
  </si>
  <si>
    <t>Gesundheits- und soziale Dienste|Kapazitätserweiterung</t>
  </si>
  <si>
    <t>Kunst, Unterhaltung, Erholung (alt: Freizeitwirtschaft)|Kapazitätserweiterung</t>
  </si>
  <si>
    <t>Sonstige personenbezogene Dienstleistungen|Kapazitätserweiterung</t>
  </si>
  <si>
    <t>Informationswirtschaft|Kapazitätserweiterung</t>
  </si>
  <si>
    <t>Alle Branchen|Produktinnovation</t>
  </si>
  <si>
    <t>Industrie (ohne Baugewerbe)|Produktinnovation</t>
  </si>
  <si>
    <t>Gewinnung von Steinen und Erden, Bergbau|Produktinnovation</t>
  </si>
  <si>
    <t>Nahrungs- und Futtermittelindustrie|Produktinnovation</t>
  </si>
  <si>
    <t>Getränkeindustrie|Produktinnovation</t>
  </si>
  <si>
    <t>Textil-, Bekleidungs- und Ledergewerbe|Produktinnovation</t>
  </si>
  <si>
    <t>Textilgewerbe|Produktinnovation</t>
  </si>
  <si>
    <t>Holzgewerbe (ohne Möbel)|Produktinnovation</t>
  </si>
  <si>
    <t>Papiergewerbe|Produktinnovation</t>
  </si>
  <si>
    <t>Druckgewerbe|Produktinnovation</t>
  </si>
  <si>
    <t>Chemische Industrie|Produktinnovation</t>
  </si>
  <si>
    <t>Pharmazeutische Industrie|Produktinnovation</t>
  </si>
  <si>
    <t>Gummi- und Kunststoffindustrie|Produktinnovation</t>
  </si>
  <si>
    <t>Glas, Keramik, Steineverarbeitung|Produktinnovation</t>
  </si>
  <si>
    <t>Metallerzeugung und -bearbeitung|Produktinnovation</t>
  </si>
  <si>
    <t>Metallerzeugnisse|Produktinnovation</t>
  </si>
  <si>
    <t>Elektrotechnik|Produktinnovation</t>
  </si>
  <si>
    <t>Datenverarbeitungsgeräte, elektrische und optische Erzeugnisse|Produktinnovation</t>
  </si>
  <si>
    <t>Elektrische Ausrüstungen|Produktinnovation</t>
  </si>
  <si>
    <t>Maschinenbau|Produktinnovation</t>
  </si>
  <si>
    <t>Kraftfahrzeugbau|Produktinnovation</t>
  </si>
  <si>
    <t>Sonst. Fahrzeugbau|Produktinnovation</t>
  </si>
  <si>
    <t>Möbel|Produktinnovation</t>
  </si>
  <si>
    <t>Schmuck, Musikinstrumente, Sportgeräte, Spielwaren und sonstige Waren|Produktinnovation</t>
  </si>
  <si>
    <t>Reparatur und Installation von Maschinen und Ausrüstungen|Produktinnovation</t>
  </si>
  <si>
    <t>Energieversorgung|Produktinnovation</t>
  </si>
  <si>
    <t>Abwasser- und Abfallentsorgung, Beseitigung von Umweltverschmutzungen|Produktinnovation</t>
  </si>
  <si>
    <t>Baugewerbe|Produktinnovation</t>
  </si>
  <si>
    <t>Hochbau|Produktinnovation</t>
  </si>
  <si>
    <t>Tiefbau|Produktinnovation</t>
  </si>
  <si>
    <t>Ausbaugewerbe|Produktinnovation</t>
  </si>
  <si>
    <t>Handel|Produktinnovation</t>
  </si>
  <si>
    <t>Großhandel und Handelsvermittlung|Produktinnovation</t>
  </si>
  <si>
    <t>Einzelhandel|Produktinnovation</t>
  </si>
  <si>
    <t>Dienstleistungen (ohne Handel)|Produktinnovation</t>
  </si>
  <si>
    <t>Verkehr und Lagerei|Produktinnovation</t>
  </si>
  <si>
    <t>Landverkehr|Produktinnovation</t>
  </si>
  <si>
    <t>Lagerei und Verkehrsdienstleistungen|Produktinnovation</t>
  </si>
  <si>
    <t>Gastgewerbe|Produktinnovation</t>
  </si>
  <si>
    <t>Beherbergung|Produktinnovation</t>
  </si>
  <si>
    <t>Gastronomie|Produktinnovation</t>
  </si>
  <si>
    <t>Verlagswesen|Produktinnovation</t>
  </si>
  <si>
    <t>Medien- und Filmwirtschaft|Produktinnovation</t>
  </si>
  <si>
    <t>IT-Dienstleistungen|Produktinnovation</t>
  </si>
  <si>
    <t>Informationsdienstleistungen|Produktinnovation</t>
  </si>
  <si>
    <t>Finanz- und Versicherungsdienstleistungen|Produktinnovation</t>
  </si>
  <si>
    <t>Kreditgewerbe|Produktinnovation</t>
  </si>
  <si>
    <t>Versicherungswirtschaft|Produktinnovation</t>
  </si>
  <si>
    <t>Immobilienwirtschaft|Produktinnovation</t>
  </si>
  <si>
    <t>Forschung und Entwicklung|Produktinnovation</t>
  </si>
  <si>
    <t>Werbung und Marktforschung|Produktinnovation</t>
  </si>
  <si>
    <t>Leasing/Vermietungsleistungen|Produktinnovation</t>
  </si>
  <si>
    <t>Vermittlung und Überlassung von Arbeitskräften|Produktinnovation</t>
  </si>
  <si>
    <t>Reisevermittlung|Produktinnovation</t>
  </si>
  <si>
    <t>Rechts- und Steuerberatung, Wirtschaftsprüfung|Produktinnovation</t>
  </si>
  <si>
    <t>Unternehmensberatung|Produktinnovation</t>
  </si>
  <si>
    <t>Architektur- und Ingenieurbüros, naturwissenschaftliche Untersuchung|Produktinnovation</t>
  </si>
  <si>
    <t>Sonstige freiberufliche, wissenschaftliche und technische Tätigkeiten|Produktinnovation</t>
  </si>
  <si>
    <t>Sonstige wirtschaftliche Dienstleistungen für Unternehmen|Produktinnovation</t>
  </si>
  <si>
    <t>Sicherheitswirtschaft|Produktinnovation</t>
  </si>
  <si>
    <t>Gebäudebetreuung, Garten- und Landschaftsbau|Produktinnovation</t>
  </si>
  <si>
    <t>Bildungswirtschaft|Produktinnovation</t>
  </si>
  <si>
    <t>Gesundheits- und soziale Dienste|Produktinnovation</t>
  </si>
  <si>
    <t>Kunst, Unterhaltung, Erholung (alt: Freizeitwirtschaft)|Produktinnovation</t>
  </si>
  <si>
    <t>Sonstige personenbezogene Dienstleistungen|Produktinnovation</t>
  </si>
  <si>
    <t>Informationswirtschaft|Produktinnovation</t>
  </si>
  <si>
    <t>Alle Branchen|Rationalisierung</t>
  </si>
  <si>
    <t>Industrie (ohne Baugewerbe)|Rationalisierung</t>
  </si>
  <si>
    <t>Gewinnung von Steinen und Erden, Bergbau|Rationalisierung</t>
  </si>
  <si>
    <t>Nahrungs- und Futtermittelindustrie|Rationalisierung</t>
  </si>
  <si>
    <t>Getränkeindustrie|Rationalisierung</t>
  </si>
  <si>
    <t>Textil-, Bekleidungs- und Ledergewerbe|Rationalisierung</t>
  </si>
  <si>
    <t>Textilgewerbe|Rationalisierung</t>
  </si>
  <si>
    <t>Holzgewerbe (ohne Möbel)|Rationalisierung</t>
  </si>
  <si>
    <t>Papiergewerbe|Rationalisierung</t>
  </si>
  <si>
    <t>Druckgewerbe|Rationalisierung</t>
  </si>
  <si>
    <t>Chemische Industrie|Rationalisierung</t>
  </si>
  <si>
    <t>Pharmazeutische Industrie|Rationalisierung</t>
  </si>
  <si>
    <t>Gummi- und Kunststoffindustrie|Rationalisierung</t>
  </si>
  <si>
    <t>Glas, Keramik, Steineverarbeitung|Rationalisierung</t>
  </si>
  <si>
    <t>Metallerzeugung und -bearbeitung|Rationalisierung</t>
  </si>
  <si>
    <t>Metallerzeugnisse|Rationalisierung</t>
  </si>
  <si>
    <t>Elektrotechnik|Rationalisierung</t>
  </si>
  <si>
    <t>Datenverarbeitungsgeräte, elektrische und optische Erzeugnisse|Rationalisierung</t>
  </si>
  <si>
    <t>Elektrische Ausrüstungen|Rationalisierung</t>
  </si>
  <si>
    <t>Maschinenbau|Rationalisierung</t>
  </si>
  <si>
    <t>Kraftfahrzeugbau|Rationalisierung</t>
  </si>
  <si>
    <t>Sonst. Fahrzeugbau|Rationalisierung</t>
  </si>
  <si>
    <t>Möbel|Rationalisierung</t>
  </si>
  <si>
    <t>Schmuck, Musikinstrumente, Sportgeräte, Spielwaren und sonstige Waren|Rationalisierung</t>
  </si>
  <si>
    <t>Reparatur und Installation von Maschinen und Ausrüstungen|Rationalisierung</t>
  </si>
  <si>
    <t>Energieversorgung|Rationalisierung</t>
  </si>
  <si>
    <t>Abwasser- und Abfallentsorgung, Beseitigung von Umweltverschmutzungen|Rationalisierung</t>
  </si>
  <si>
    <t>Baugewerbe|Rationalisierung</t>
  </si>
  <si>
    <t>Hochbau|Rationalisierung</t>
  </si>
  <si>
    <t>Tiefbau|Rationalisierung</t>
  </si>
  <si>
    <t>Ausbaugewerbe|Rationalisierung</t>
  </si>
  <si>
    <t>Handel|Rationalisierung</t>
  </si>
  <si>
    <t>Großhandel und Handelsvermittlung|Rationalisierung</t>
  </si>
  <si>
    <t>Einzelhandel|Rationalisierung</t>
  </si>
  <si>
    <t>Dienstleistungen (ohne Handel)|Rationalisierung</t>
  </si>
  <si>
    <t>Verkehr und Lagerei|Rationalisierung</t>
  </si>
  <si>
    <t>Landverkehr|Rationalisierung</t>
  </si>
  <si>
    <t>Lagerei und Verkehrsdienstleistungen|Rationalisierung</t>
  </si>
  <si>
    <t>Gastgewerbe|Rationalisierung</t>
  </si>
  <si>
    <t>Beherbergung|Rationalisierung</t>
  </si>
  <si>
    <t>Gastronomie|Rationalisierung</t>
  </si>
  <si>
    <t>Verlagswesen|Rationalisierung</t>
  </si>
  <si>
    <t>Medien- und Filmwirtschaft|Rationalisierung</t>
  </si>
  <si>
    <t>IT-Dienstleistungen|Rationalisierung</t>
  </si>
  <si>
    <t>Informationsdienstleistungen|Rationalisierung</t>
  </si>
  <si>
    <t>Finanz- und Versicherungsdienstleistungen|Rationalisierung</t>
  </si>
  <si>
    <t>Kreditgewerbe|Rationalisierung</t>
  </si>
  <si>
    <t>Versicherungswirtschaft|Rationalisierung</t>
  </si>
  <si>
    <t>Immobilienwirtschaft|Rationalisierung</t>
  </si>
  <si>
    <t>Forschung und Entwicklung|Rationalisierung</t>
  </si>
  <si>
    <t>Werbung und Marktforschung|Rationalisierung</t>
  </si>
  <si>
    <t>Leasing/Vermietungsleistungen|Rationalisierung</t>
  </si>
  <si>
    <t>Vermittlung und Überlassung von Arbeitskräften|Rationalisierung</t>
  </si>
  <si>
    <t>Reisevermittlung|Rationalisierung</t>
  </si>
  <si>
    <t>Rechts- und Steuerberatung, Wirtschaftsprüfung|Rationalisierung</t>
  </si>
  <si>
    <t>Unternehmensberatung|Rationalisierung</t>
  </si>
  <si>
    <t>Architektur- und Ingenieurbüros, naturwissenschaftliche Untersuchung|Rationalisierung</t>
  </si>
  <si>
    <t>Sonstige freiberufliche, wissenschaftliche und technische Tätigkeiten|Rationalisierung</t>
  </si>
  <si>
    <t>Sonstige wirtschaftliche Dienstleistungen für Unternehmen|Rationalisierung</t>
  </si>
  <si>
    <t>Sicherheitswirtschaft|Rationalisierung</t>
  </si>
  <si>
    <t>Gebäudebetreuung, Garten- und Landschaftsbau|Rationalisierung</t>
  </si>
  <si>
    <t>Bildungswirtschaft|Rationalisierung</t>
  </si>
  <si>
    <t>Gesundheits- und soziale Dienste|Rationalisierung</t>
  </si>
  <si>
    <t>Kunst, Unterhaltung, Erholung (alt: Freizeitwirtschaft)|Rationalisierung</t>
  </si>
  <si>
    <t>Sonstige personenbezogene Dienstleistungen|Rationalisierung</t>
  </si>
  <si>
    <t>Informationswirtschaft|Rationalisierung</t>
  </si>
  <si>
    <t>Alle Branchen|Umweltschutz</t>
  </si>
  <si>
    <t>Industrie (ohne Baugewerbe)|Umweltschutz</t>
  </si>
  <si>
    <t>Gewinnung von Steinen und Erden, Bergbau|Umweltschutz</t>
  </si>
  <si>
    <t>Nahrungs- und Futtermittelindustrie|Umweltschutz</t>
  </si>
  <si>
    <t>Getränkeindustrie|Umweltschutz</t>
  </si>
  <si>
    <t>Textil-, Bekleidungs- und Ledergewerbe|Umweltschutz</t>
  </si>
  <si>
    <t>Textilgewerbe|Umweltschutz</t>
  </si>
  <si>
    <t>Holzgewerbe (ohne Möbel)|Umweltschutz</t>
  </si>
  <si>
    <t>Papiergewerbe|Umweltschutz</t>
  </si>
  <si>
    <t>Druckgewerbe|Umweltschutz</t>
  </si>
  <si>
    <t>Chemische Industrie|Umweltschutz</t>
  </si>
  <si>
    <t>Pharmazeutische Industrie|Umweltschutz</t>
  </si>
  <si>
    <t>Gummi- und Kunststoffindustrie|Umweltschutz</t>
  </si>
  <si>
    <t>Glas, Keramik, Steineverarbeitung|Umweltschutz</t>
  </si>
  <si>
    <t>Metallerzeugung und -bearbeitung|Umweltschutz</t>
  </si>
  <si>
    <t>Metallerzeugnisse|Umweltschutz</t>
  </si>
  <si>
    <t>Elektrotechnik|Umweltschutz</t>
  </si>
  <si>
    <t>Datenverarbeitungsgeräte, elektrische und optische Erzeugnisse|Umweltschutz</t>
  </si>
  <si>
    <t>Elektrische Ausrüstungen|Umweltschutz</t>
  </si>
  <si>
    <t>Maschinenbau|Umweltschutz</t>
  </si>
  <si>
    <t>Kraftfahrzeugbau|Umweltschutz</t>
  </si>
  <si>
    <t>Sonst. Fahrzeugbau|Umweltschutz</t>
  </si>
  <si>
    <t>Möbel|Umweltschutz</t>
  </si>
  <si>
    <t>Schmuck, Musikinstrumente, Sportgeräte, Spielwaren und sonstige Waren|Umweltschutz</t>
  </si>
  <si>
    <t>Reparatur und Installation von Maschinen und Ausrüstungen|Umweltschutz</t>
  </si>
  <si>
    <t>Energieversorgung|Umweltschutz</t>
  </si>
  <si>
    <t>Abwasser- und Abfallentsorgung, Beseitigung von Umweltverschmutzungen|Umweltschutz</t>
  </si>
  <si>
    <t>Baugewerbe|Umweltschutz</t>
  </si>
  <si>
    <t>Hochbau|Umweltschutz</t>
  </si>
  <si>
    <t>Tiefbau|Umweltschutz</t>
  </si>
  <si>
    <t>Ausbaugewerbe|Umweltschutz</t>
  </si>
  <si>
    <t>Handel|Umweltschutz</t>
  </si>
  <si>
    <t>Großhandel und Handelsvermittlung|Umweltschutz</t>
  </si>
  <si>
    <t>Einzelhandel|Umweltschutz</t>
  </si>
  <si>
    <t>Dienstleistungen (ohne Handel)|Umweltschutz</t>
  </si>
  <si>
    <t>Verkehr und Lagerei|Umweltschutz</t>
  </si>
  <si>
    <t>Landverkehr|Umweltschutz</t>
  </si>
  <si>
    <t>Lagerei und Verkehrsdienstleistungen|Umweltschutz</t>
  </si>
  <si>
    <t>Gastgewerbe|Umweltschutz</t>
  </si>
  <si>
    <t>Beherbergung|Umweltschutz</t>
  </si>
  <si>
    <t>Gastronomie|Umweltschutz</t>
  </si>
  <si>
    <t>Verlagswesen|Umweltschutz</t>
  </si>
  <si>
    <t>Medien- und Filmwirtschaft|Umweltschutz</t>
  </si>
  <si>
    <t>IT-Dienstleistungen|Umweltschutz</t>
  </si>
  <si>
    <t>Informationsdienstleistungen|Umweltschutz</t>
  </si>
  <si>
    <t>Finanz- und Versicherungsdienstleistungen|Umweltschutz</t>
  </si>
  <si>
    <t>Kreditgewerbe|Umweltschutz</t>
  </si>
  <si>
    <t>Versicherungswirtschaft|Umweltschutz</t>
  </si>
  <si>
    <t>Immobilienwirtschaft|Umweltschutz</t>
  </si>
  <si>
    <t>Forschung und Entwicklung|Umweltschutz</t>
  </si>
  <si>
    <t>Werbung und Marktforschung|Umweltschutz</t>
  </si>
  <si>
    <t>Leasing/Vermietungsleistungen|Umweltschutz</t>
  </si>
  <si>
    <t>Vermittlung und Überlassung von Arbeitskräften|Umweltschutz</t>
  </si>
  <si>
    <t>Reisevermittlung|Umweltschutz</t>
  </si>
  <si>
    <t>Rechts- und Steuerberatung, Wirtschaftsprüfung|Umweltschutz</t>
  </si>
  <si>
    <t>Unternehmensberatung|Umweltschutz</t>
  </si>
  <si>
    <t>Architektur- und Ingenieurbüros, naturwissenschaftliche Untersuchung|Umweltschutz</t>
  </si>
  <si>
    <t>Sonstige freiberufliche, wissenschaftliche und technische Tätigkeiten|Umweltschutz</t>
  </si>
  <si>
    <t>Sonstige wirtschaftliche Dienstleistungen für Unternehmen|Umweltschutz</t>
  </si>
  <si>
    <t>Sicherheitswirtschaft|Umweltschutz</t>
  </si>
  <si>
    <t>Gebäudebetreuung, Garten- und Landschaftsbau|Umweltschutz</t>
  </si>
  <si>
    <t>Bildungswirtschaft|Umweltschutz</t>
  </si>
  <si>
    <t>Gesundheits- und soziale Dienste|Umweltschutz</t>
  </si>
  <si>
    <t>Kunst, Unterhaltung, Erholung (alt: Freizeitwirtschaft)|Umweltschutz</t>
  </si>
  <si>
    <t>Sonstige personenbezogene Dienstleistungen|Umweltschutz</t>
  </si>
  <si>
    <t>Informationswirtschaft|Umweltschutz</t>
  </si>
  <si>
    <t>WZ-Code</t>
  </si>
  <si>
    <t>05 bis 96 ohne 84 und 94</t>
  </si>
  <si>
    <t>05 bis 39</t>
  </si>
  <si>
    <t>05 bis 09</t>
  </si>
  <si>
    <t>10</t>
  </si>
  <si>
    <t>11</t>
  </si>
  <si>
    <t>13 bis 15</t>
  </si>
  <si>
    <t>13</t>
  </si>
  <si>
    <t>16</t>
  </si>
  <si>
    <t>17</t>
  </si>
  <si>
    <t>18</t>
  </si>
  <si>
    <t>20</t>
  </si>
  <si>
    <t>21</t>
  </si>
  <si>
    <t>22</t>
  </si>
  <si>
    <t>23</t>
  </si>
  <si>
    <t>24</t>
  </si>
  <si>
    <t>25</t>
  </si>
  <si>
    <t>26 und 27</t>
  </si>
  <si>
    <t>26</t>
  </si>
  <si>
    <t>27</t>
  </si>
  <si>
    <t>28</t>
  </si>
  <si>
    <t>29</t>
  </si>
  <si>
    <t>30</t>
  </si>
  <si>
    <t>31</t>
  </si>
  <si>
    <t>32</t>
  </si>
  <si>
    <t>33</t>
  </si>
  <si>
    <t>35</t>
  </si>
  <si>
    <t>36 bis 39</t>
  </si>
  <si>
    <t>41-43 und 68.12</t>
  </si>
  <si>
    <t>41</t>
  </si>
  <si>
    <t>42</t>
  </si>
  <si>
    <t>43 ohne 43.1</t>
  </si>
  <si>
    <t>46 und 47</t>
  </si>
  <si>
    <t>46</t>
  </si>
  <si>
    <t>47</t>
  </si>
  <si>
    <t>49 bis 96 ohne 84 und 94</t>
  </si>
  <si>
    <t>49 bis 52</t>
  </si>
  <si>
    <t>49</t>
  </si>
  <si>
    <t>52</t>
  </si>
  <si>
    <t>55 und 56</t>
  </si>
  <si>
    <t>55</t>
  </si>
  <si>
    <t>56</t>
  </si>
  <si>
    <t>58</t>
  </si>
  <si>
    <t>59 und 60</t>
  </si>
  <si>
    <t>62</t>
  </si>
  <si>
    <t>63</t>
  </si>
  <si>
    <t>64 bis 66</t>
  </si>
  <si>
    <t>64.1 und 64.92</t>
  </si>
  <si>
    <t>65</t>
  </si>
  <si>
    <t>68</t>
  </si>
  <si>
    <t>72</t>
  </si>
  <si>
    <t>73</t>
  </si>
  <si>
    <t>77</t>
  </si>
  <si>
    <t>78</t>
  </si>
  <si>
    <t>79</t>
  </si>
  <si>
    <t>69</t>
  </si>
  <si>
    <t>70</t>
  </si>
  <si>
    <t>71</t>
  </si>
  <si>
    <t>74</t>
  </si>
  <si>
    <t>82</t>
  </si>
  <si>
    <t>80</t>
  </si>
  <si>
    <t>81</t>
  </si>
  <si>
    <t>85</t>
  </si>
  <si>
    <t>86 bis 88</t>
  </si>
  <si>
    <t>90 bis 93</t>
  </si>
  <si>
    <t>96</t>
  </si>
  <si>
    <t>58 bis 63</t>
  </si>
  <si>
    <t>Gelbe Felder auswählen: Branche für A und B sowie den Zeitraum. Die Umfrage „bis“ ist zugleich die ausgewertete Umfrage. Für B „(kein Vergleich)“ wählen, um nur A anzuzeigen.</t>
  </si>
  <si>
    <t>Salden = Anteil positiv minus Anteil negativ. Exporterwartungen: nur Unternehmen mit Exportgeschäft.</t>
  </si>
  <si>
    <t>Stimmung: Der DIHK-Stimmungsindex steigt von 88,1 auf 94,7 Punkte –</t>
  </si>
  <si>
    <t>Vorjahr 93,8, langjähriger Schnitt 109,7.</t>
  </si>
  <si>
    <t>Geschäftserwartungen: 15 % besser, 28 % schlechter – Saldo −13</t>
  </si>
  <si>
    <t>(Vorumfrage −20).</t>
  </si>
  <si>
    <t>Pläne: Investitionen −6 (Vorumfrage −11), Beschäftigung −13 (−14);</t>
  </si>
  <si>
    <t>Exporterwartungen der Industrie +3.</t>
  </si>
  <si>
    <t>Größtes Geschäftsrisiko: Energie- und Rohstoffpreise (67 %, Vorumfrage 70</t>
  </si>
  <si>
    <t>%), gefolgt von Wirtschaftspolitische Rahmenbedingungen (58 %) und</t>
  </si>
  <si>
    <t>Arbeitskosten (56 %).</t>
  </si>
  <si>
    <t>Quelle: DIHK-Konjunkturumfrage. Salden = Anteil positiver minus Anteil negativer Antworten. Stimmungsindex = Wurzel aus (100 + Saldo Lage) × (100 + Saldo Erwartungen); Werte über 100 = überwiegend positive Stimmung.</t>
  </si>
  <si>
    <t>Exporterwartungen: Industrie. Ø = langjähriger Durchschnitt. * Auslandsnachfrage und Wechselkurs: nur exportierende Industrieunternehmen.</t>
  </si>
  <si>
    <t>Durchschnittliche Zahl genannter Risiken je Unternehmen (von 8).</t>
  </si>
  <si>
    <t>Methodik</t>
  </si>
  <si>
    <t>DIHK-Konjunkturumfrage Herbst 2026</t>
  </si>
  <si>
    <t>Grundlage für die DIHK-Ergebnisse sind Befragungen der Unternehmen durch insgesamt 79 IHKs. Im Herbst 2026 haben die IHKs rund 23.500 Antworten ausgewertet. Die regionalen Auswertungen der IHKs können Sie auch im Internet unter www.dihk.de abrufen.</t>
  </si>
  <si>
    <t>Nach Wirtschaftszweigen verteilen sich die Antworten auf die Industrie (25 Prozent), die Bauwirtschaft (sieben Prozent), den Handel (21 Prozent) und die Dienstleister (47 Prozent). Die Einteilung der Branchen und Wirtschaftszweige in der DIHK-Konjunkturumfrage basiert auf der Klassifikation der Wirtschaftszweige des Statistischen Bundesamtes (WZ). Dabei wurde bis zur Umfrage im Frühsommer 2025 die WZ 2008 verwendet. Ab Herbst 2025 basiert die Einteilung auf der WZ 2025.</t>
  </si>
  <si>
    <t>Tabellen mit den Ergebnissen nach Branchen stellt die DIHK als Excel-Datei auf ihrer Homepage zur Verfügung.</t>
  </si>
  <si>
    <t>Nach Unternehmensgrößenklassen teilen sich die Antworten folgendermaßen auf: 40 Prozent Unternehmen mit bis zu neun Beschäftigten, 14 Prozent Unternehmen mit zehn bis 19 Beschäftigten, 36 Prozent Unternehmen mit 20 bis 199 Beschäftigten, sechs Prozent Unternehmen mit 200 bis 499 Beschäftigten, zwei Prozent Unternehmen mit 500 bis 999 Beschäftigten, zwei Prozent Unternehmen mit mehr als 1.000 Beschäftigten.</t>
  </si>
  <si>
    <t>Die IHKs gestalten ihre Stichprobe so aus, dass ein repräsentatives Stimmungsbild der gewerblichen Wirtschaft vor Ort abgebildet ist (branchen-, regionen- sowie unternehmensgrößenbezogen geschichtete Stichprobe). Die Antworten von Betriebsstätten mit mehr als 500 Beschäftigten sind mit dem Faktor 2 und die Antworten von Betriebsstätten mit mehr als 1.000 Beschäftigten mit dem Faktor 3 gewichtet. Bei den Geschäftsrisiken wird auf die Gewichtung nach Größenklassen verzichtet. Bei Zusatzfragen wird die Größenklassen-Gewichtung dann unterlassen, wenn der ungewichtete Anteil der Unternehmen aussagekräftiger ist.</t>
  </si>
  <si>
    <t>Bei der Frage nach den Geschäftsrisiken können die Unternehmen zu der Antwortoption „Wirtschaftspolitische Rahmenbedingungen“ einen Freitext verfassen. In der aktuellen Umfrage lagen rund 6.300 Freitextantworten vor. Diese werden anhand der genannten Begriffe und behandelten Themen geclustert.</t>
  </si>
  <si>
    <t>Der DIHK-Stimmungsindex (IHK-Konjunkturklimaindikator) wird als geometrisches Mittel der Lage- und Erwartungssalden berechnet. Der Indikator hat demnach folgende mathematische Form:</t>
  </si>
  <si>
    <t>DIHK-Stimmungsindex = √((L1 − L3 + 100) × (E1 − E3 + 100))</t>
  </si>
  <si>
    <t>Dabei stellt L1 den Anteil der Unternehmen mit guter Lageeinschätzung dar, L3 den Anteil der Unternehmen mit schlechter Lageeinschätzung, E1 den Anteil der Unternehmen mit besseren Geschäftserwartungen und E3 den Anteil der Unternehmen mit schlechteren Erwartungen. Werte über 100 bedeuten, dass die Unternehmen ihre Stimmung, Lage und Erwartungen überwiegend positiv bewerten und umgekehrt.</t>
  </si>
  <si>
    <t>Die Umfrage hat vom 07.09.2026 bis 02.10.2026 stattgefunden.</t>
  </si>
  <si>
    <t>Branchen der DIHK-Konjunkturumfrage und Wirtschaftszweige nach WZ 2025</t>
  </si>
  <si>
    <t>Zuordnung der im Dashboard verwendeten Branchenbezeichnungen zur Klassifikation der Wirtschaftszweige, Ausgabe 2025 (WZ 2025), des Statistischen Bundesamtes.</t>
  </si>
  <si>
    <t>Branchenname DIHK</t>
  </si>
  <si>
    <t>Bezeichnung laut WZ 2025</t>
  </si>
  <si>
    <t>WZ-2-Steller</t>
  </si>
  <si>
    <t>alle Branchen der gewerblichen Wirtschaft</t>
  </si>
  <si>
    <t>Bergbau und Gewinnung von Steinen und Erden</t>
  </si>
  <si>
    <t>Textilindustrie</t>
  </si>
  <si>
    <t>Holzgewerbe ohne Möbel</t>
  </si>
  <si>
    <t>Papierindustrie</t>
  </si>
  <si>
    <t>Datenverarbeitungsgeräte, elektr. und opt. Erzeugnisse</t>
  </si>
  <si>
    <t>Sonstiger Fahrzeugbau</t>
  </si>
  <si>
    <t>Möbelindustrie</t>
  </si>
  <si>
    <t>Herstellung von sonstigen Waren</t>
  </si>
  <si>
    <t>Abwasserentsorgung, Abfallbeseitigung und -verwertung</t>
  </si>
  <si>
    <t>Großhandel</t>
  </si>
  <si>
    <t>Lagerei und sonstige Verkehrsdienstleistungen</t>
  </si>
  <si>
    <t>Datenverarbeitung, Hosting, sonstige IT-Dienstleistungen</t>
  </si>
  <si>
    <t>Versicherungen</t>
  </si>
  <si>
    <t>Grundstücks- und Wohnungswesen</t>
  </si>
  <si>
    <t>Architektur- und Ingenieurbüros, naturwissenschaftliche Untersuchungen</t>
  </si>
  <si>
    <t>Sonstige wissenschaftliche und technische Tätigkeiten</t>
  </si>
  <si>
    <t>Sonstige wirtschaftliche Dienstleistungen</t>
  </si>
  <si>
    <t>Erziehung und Unterricht</t>
  </si>
  <si>
    <t>Gesundheits- und Sozialwesen</t>
  </si>
  <si>
    <t>Kunst, Sport und Erholung</t>
  </si>
  <si>
    <t>Quelle: DIHK; Statistisches Bundesamt, Klassifikation der Wirtschaftszweige, Ausgabe 2025 (WZ 2025):</t>
  </si>
  <si>
    <t>WZ 2025 auf dem Klassifikationsserver von Bund und Ländern</t>
  </si>
  <si>
    <t>Ansprechpartner in der DIHK</t>
  </si>
  <si>
    <t>DIHK | Deutsche Industrie- und Handelskammer</t>
  </si>
  <si>
    <t>Name</t>
  </si>
  <si>
    <t>Funktion</t>
  </si>
  <si>
    <t>E-Mail</t>
  </si>
  <si>
    <t>Telefon</t>
  </si>
  <si>
    <t>Dr. Jupp Zenzen</t>
  </si>
  <si>
    <t>Referatsleiter Konjunktur, Wachstum, Unternehmensbefragungen</t>
  </si>
  <si>
    <t>zenzen.jupp@dihk.de</t>
  </si>
  <si>
    <t>+49 30 20308 2331</t>
  </si>
  <si>
    <t>Sebastian Titze</t>
  </si>
  <si>
    <t>Sachbearbeitung/Assistenz</t>
  </si>
  <si>
    <t>titze.sebastian@dihk.de</t>
  </si>
  <si>
    <t>+49 30 20308 2329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</si>
</sst>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0;\-0.0;0.0"/>
  </numFmts>
  <fonts count="37" x14ac:knownFonts="1">
    <font>
      <sz val="11"/>
      <color theme="1"/>
      <name val="Calibri"/>
      <family val="2"/>
      <scheme val="minor"/>
    </font>
    <font>
      <b/>
      <sz val="10"/>
      <color rgb="FFFFFFFF"/>
      <name val="Segoe UI"/>
      <family val="2"/>
    </font>
    <font>
      <b/>
      <sz val="18"/>
      <color rgb="FF003882"/>
      <name val="Segoe UI"/>
      <family val="2"/>
    </font>
    <font>
      <i/>
      <sz val="10"/>
      <color rgb="FF595959"/>
      <name val="Segoe UI"/>
      <family val="2"/>
    </font>
    <font>
      <i/>
      <sz val="9"/>
      <color rgb="FF595959"/>
      <name val="Segoe UI"/>
      <family val="2"/>
    </font>
    <font>
      <b/>
      <sz val="10"/>
      <color rgb="FF003882"/>
      <name val="Segoe UI"/>
      <family val="2"/>
    </font>
    <font>
      <b/>
      <sz val="10"/>
      <name val="Segoe UI"/>
      <family val="2"/>
    </font>
    <font>
      <b/>
      <sz val="9"/>
      <color rgb="FFFFFFFF"/>
      <name val="Segoe UI"/>
      <family val="2"/>
    </font>
    <font>
      <sz val="9"/>
      <color rgb="FF595959"/>
      <name val="Segoe UI"/>
      <family val="2"/>
    </font>
    <font>
      <b/>
      <sz val="9"/>
      <color rgb="FF003882"/>
      <name val="Segoe UI"/>
      <family val="2"/>
    </font>
    <font>
      <b/>
      <sz val="9"/>
      <color rgb="FF006A9E"/>
      <name val="Segoe UI"/>
      <family val="2"/>
    </font>
    <font>
      <b/>
      <sz val="10"/>
      <color rgb="FF006A9E"/>
      <name val="Segoe UI"/>
      <family val="2"/>
    </font>
    <font>
      <i/>
      <sz val="8"/>
      <color rgb="FF595959"/>
      <name val="Segoe UI"/>
      <family val="2"/>
    </font>
    <font>
      <b/>
      <sz val="9"/>
      <color rgb="FFB8340F"/>
      <name val="Segoe UI"/>
      <family val="2"/>
    </font>
    <font>
      <b/>
      <sz val="9"/>
      <color rgb="FF636363"/>
      <name val="Segoe UI"/>
      <family val="2"/>
    </font>
    <font>
      <b/>
      <sz val="11"/>
      <color rgb="FF003882"/>
      <name val="Segoe UI"/>
      <family val="2"/>
    </font>
    <font>
      <b/>
      <sz val="14"/>
      <color rgb="FF003882"/>
      <name val="Segoe UI"/>
      <family val="2"/>
    </font>
    <font>
      <b/>
      <sz val="8"/>
      <color rgb="FFFFFFFF"/>
      <name val="Segoe UI"/>
      <family val="2"/>
    </font>
    <font>
      <sz val="9.5"/>
      <color rgb="FF595959"/>
      <name val="Segoe UI"/>
      <family val="2"/>
    </font>
    <font>
      <b/>
      <sz val="9.5"/>
      <color rgb="FF595959"/>
      <name val="Segoe UI"/>
      <family val="2"/>
    </font>
    <font>
      <sz val="8"/>
      <color rgb="FF636363"/>
      <name val="Segoe UI"/>
      <family val="2"/>
    </font>
    <font>
      <sz val="7.5"/>
      <color rgb="FF595959"/>
      <name val="Segoe UI"/>
      <family val="2"/>
    </font>
    <font>
      <sz val="7"/>
      <color rgb="FF595959"/>
      <name val="Segoe UI"/>
      <family val="2"/>
    </font>
    <font>
      <b/>
      <sz val="7.5"/>
      <color rgb="FF595959"/>
      <name val="Segoe UI"/>
      <family val="2"/>
    </font>
    <font>
      <b/>
      <sz val="22"/>
      <color rgb="FF003882"/>
      <name val="Segoe UI"/>
      <family val="2"/>
    </font>
    <font>
      <b/>
      <sz val="12"/>
      <color rgb="FF006A9E"/>
      <name val="Segoe UI"/>
      <family val="2"/>
    </font>
    <font>
      <sz val="8"/>
      <color rgb="FF595959"/>
      <name val="Segoe UI"/>
      <family val="2"/>
    </font>
    <font>
      <b/>
      <sz val="8.5"/>
      <color rgb="FF003882"/>
      <name val="Segoe UI"/>
      <family val="2"/>
    </font>
    <font>
      <b/>
      <sz val="26"/>
      <color rgb="FF003882"/>
      <name val="Segoe UI"/>
      <family val="2"/>
    </font>
    <font>
      <b/>
      <sz val="9"/>
      <color rgb="FF1A7A45"/>
      <name val="Segoe UI"/>
      <family val="2"/>
    </font>
    <font>
      <i/>
      <sz val="6.5"/>
      <color rgb="FF636363"/>
      <name val="Segoe UI"/>
      <family val="2"/>
    </font>
    <font>
      <sz val="9"/>
      <color rgb="FF006A9E"/>
      <name val="Segoe UI"/>
      <family val="2"/>
    </font>
    <font>
      <sz val="9.5"/>
      <color rgb="FF262626"/>
      <name val="Segoe UI"/>
      <family val="2"/>
    </font>
    <font>
      <b/>
      <sz val="9"/>
      <color rgb="FF262626"/>
      <name val="Segoe UI"/>
      <family val="2"/>
    </font>
    <font>
      <sz val="9"/>
      <color rgb="FF262626"/>
      <name val="Segoe UI"/>
      <family val="2"/>
    </font>
    <font>
      <i/>
      <sz val="7"/>
      <color rgb="FF595959"/>
      <name val="Segoe UI"/>
      <family val="2"/>
    </font>
    <font>
      <u/>
      <sz val="9"/>
      <color rgb="FF003882"/>
      <name val="Segoe UI"/>
      <family val="2"/>
    </font>
  </fonts>
  <fills count="8">
    <fill>
      <patternFill patternType="none"/>
    </fill>
    <fill>
      <patternFill patternType="gray125"/>
    </fill>
    <fill>
      <patternFill patternType="solid">
        <fgColor rgb="FF003882"/>
      </patternFill>
    </fill>
    <fill>
      <patternFill patternType="solid">
        <fgColor rgb="FFFFF2CC"/>
      </patternFill>
    </fill>
    <fill>
      <patternFill patternType="solid">
        <fgColor rgb="FFEEEEEE"/>
      </patternFill>
    </fill>
    <fill>
      <patternFill patternType="solid">
        <fgColor rgb="FFFFFFFF"/>
      </patternFill>
    </fill>
    <fill>
      <patternFill patternType="solid">
        <fgColor rgb="FF006A9E"/>
      </patternFill>
    </fill>
    <fill>
      <patternFill patternType="solid">
        <fgColor rgb="FFE8EEF6"/>
      </patternFill>
    </fill>
  </fills>
  <borders count="15">
    <border>
      <left/>
      <right/>
      <top/>
      <bottom/>
      <diagonal/>
    </border>
    <border>
      <left/>
      <right/>
      <top/>
      <bottom/>
      <diagonal/>
    </border>
    <border>
      <left/>
      <right/>
      <top/>
      <bottom style="dotted">
        <color rgb="FFB1B3B4"/>
      </bottom>
      <diagonal/>
    </border>
    <border>
      <left style="medium">
        <color rgb="FFFFFFFF"/>
      </left>
      <right/>
      <top/>
      <bottom/>
      <diagonal/>
    </border>
    <border>
      <left style="medium">
        <color rgb="FF003882"/>
      </left>
      <right/>
      <top/>
      <bottom style="dotted">
        <color rgb="FFB1B3B4"/>
      </bottom>
      <diagonal/>
    </border>
    <border>
      <left/>
      <right/>
      <top/>
      <bottom style="thin">
        <color rgb="FF003882"/>
      </bottom>
      <diagonal/>
    </border>
    <border>
      <left/>
      <right/>
      <top style="thick">
        <color rgb="FF003882"/>
      </top>
      <bottom/>
      <diagonal/>
    </border>
    <border>
      <left/>
      <right/>
      <top style="thick">
        <color rgb="FF006A9E"/>
      </top>
      <bottom/>
      <diagonal/>
    </border>
    <border>
      <left/>
      <right/>
      <top/>
      <bottom style="medium">
        <color rgb="FF003882"/>
      </bottom>
      <diagonal/>
    </border>
    <border>
      <left/>
      <right/>
      <top/>
      <bottom/>
      <diagonal/>
    </border>
    <border>
      <left/>
      <right/>
      <top/>
      <bottom/>
      <diagonal/>
    </border>
    <border>
      <left/>
      <right/>
      <top/>
      <bottom/>
      <diagonal/>
    </border>
    <border>
      <left style="dotted">
        <color rgb="FFB1B3B4"/>
      </left>
      <right/>
      <top style="dotted">
        <color rgb="FFB1B3B4"/>
      </top>
      <bottom style="dotted">
        <color rgb="FFB1B3B4"/>
      </bottom>
      <diagonal/>
    </border>
    <border>
      <left/>
      <right/>
      <top style="dotted">
        <color rgb="FFB1B3B4"/>
      </top>
      <bottom style="dotted">
        <color rgb="FFB1B3B4"/>
      </bottom>
      <diagonal/>
    </border>
    <border>
      <left/>
      <right style="dotted">
        <color rgb="FFB1B3B4"/>
      </right>
      <top style="dotted">
        <color rgb="FFB1B3B4"/>
      </top>
      <bottom style="dotted">
        <color rgb="FFB1B3B4"/>
      </bottom>
      <diagonal/>
    </border>
  </borders>
  <cellStyleXfs count="1">
    <xf numFmtId="0" fontId="0" fillId="0" borderId="0"/>
  </cellStyleXfs>
  <cellXfs count="101">
    <xf numFmtId="0" fontId="0" fillId="0" borderId="0" xfId="0"/>
    <xf numFmtId="0" fontId="2" fillId="0" borderId="0" xfId="0" applyFont="1"/>
    <xf numFmtId="0" fontId="4" fillId="0" borderId="0" xfId="0" applyFont="1"/>
    <xf numFmtId="0" fontId="26" fillId="0" borderId="0" xfId="0" applyFont="1"/>
    <xf numFmtId="0" fontId="31" fillId="0" borderId="0" xfId="0" applyFont="1" applyAlignment="1">
      <alignment horizontal="center" vertical="top"/>
    </xf>
    <xf numFmtId="0" fontId="0" fillId="0" borderId="5" xfId="0" applyBorder="1"/>
    <xf numFmtId="0" fontId="23" fillId="0" borderId="5" xfId="0" applyFont="1" applyBorder="1" applyAlignment="1">
      <alignment horizontal="center"/>
    </xf>
    <xf numFmtId="0" fontId="0" fillId="0" borderId="2" xfId="0" applyBorder="1"/>
    <xf numFmtId="165" fontId="33" fillId="0" borderId="2" xfId="0" applyNumberFormat="1" applyFont="1" applyBorder="1" applyAlignment="1">
      <alignment horizontal="center" vertical="center"/>
    </xf>
    <xf numFmtId="164" fontId="33" fillId="0" borderId="2" xfId="0" applyNumberFormat="1" applyFont="1" applyBorder="1" applyAlignment="1">
      <alignment horizontal="center" vertical="center"/>
    </xf>
    <xf numFmtId="0" fontId="4" fillId="0" borderId="0" xfId="0" applyFont="1" applyAlignment="1">
      <alignment horizontal="right"/>
    </xf>
    <xf numFmtId="0" fontId="3" fillId="0" borderId="0" xfId="0" applyFont="1"/>
    <xf numFmtId="0" fontId="13" fillId="0" borderId="0" xfId="0" applyFont="1" applyAlignment="1">
      <alignment horizontal="right"/>
    </xf>
    <xf numFmtId="0" fontId="5" fillId="0" borderId="0" xfId="0" applyFont="1"/>
    <xf numFmtId="0" fontId="7" fillId="2" borderId="0" xfId="0" applyFont="1" applyFill="1" applyAlignment="1">
      <alignment horizontal="center" vertical="center" wrapText="1"/>
    </xf>
    <xf numFmtId="0" fontId="7" fillId="2" borderId="0" xfId="0" applyFont="1" applyFill="1" applyAlignment="1">
      <alignment horizontal="left" vertical="center"/>
    </xf>
    <xf numFmtId="0" fontId="9" fillId="4" borderId="1" xfId="0" applyFont="1" applyFill="1" applyBorder="1"/>
    <xf numFmtId="0" fontId="9" fillId="4" borderId="1" xfId="0" applyFont="1" applyFill="1" applyBorder="1" applyAlignment="1">
      <alignment shrinkToFit="1"/>
    </xf>
    <xf numFmtId="1" fontId="8" fillId="4" borderId="1" xfId="0" applyNumberFormat="1" applyFont="1" applyFill="1" applyBorder="1" applyAlignment="1">
      <alignment horizontal="center"/>
    </xf>
    <xf numFmtId="164" fontId="5" fillId="4" borderId="1" xfId="0" applyNumberFormat="1" applyFont="1" applyFill="1" applyBorder="1" applyAlignment="1">
      <alignment horizontal="center"/>
    </xf>
    <xf numFmtId="164" fontId="8" fillId="4" borderId="1" xfId="0" applyNumberFormat="1" applyFont="1" applyFill="1" applyBorder="1" applyAlignment="1">
      <alignment horizontal="center"/>
    </xf>
    <xf numFmtId="0" fontId="9" fillId="5" borderId="2" xfId="0" applyFont="1" applyFill="1" applyBorder="1"/>
    <xf numFmtId="0" fontId="10" fillId="5" borderId="2" xfId="0" applyFont="1" applyFill="1" applyBorder="1" applyAlignment="1">
      <alignment shrinkToFit="1"/>
    </xf>
    <xf numFmtId="1" fontId="8" fillId="5" borderId="2" xfId="0" applyNumberFormat="1" applyFont="1" applyFill="1" applyBorder="1" applyAlignment="1">
      <alignment horizontal="center"/>
    </xf>
    <xf numFmtId="164" fontId="11" fillId="5" borderId="2" xfId="0" applyNumberFormat="1" applyFont="1" applyFill="1" applyBorder="1" applyAlignment="1">
      <alignment horizontal="center"/>
    </xf>
    <xf numFmtId="164" fontId="8" fillId="5" borderId="2" xfId="0" applyNumberFormat="1" applyFont="1" applyFill="1" applyBorder="1" applyAlignment="1">
      <alignment horizontal="center"/>
    </xf>
    <xf numFmtId="165" fontId="5" fillId="4" borderId="1" xfId="0" applyNumberFormat="1" applyFont="1" applyFill="1" applyBorder="1" applyAlignment="1">
      <alignment horizontal="center"/>
    </xf>
    <xf numFmtId="165" fontId="8" fillId="4" borderId="1" xfId="0" applyNumberFormat="1" applyFont="1" applyFill="1" applyBorder="1" applyAlignment="1">
      <alignment horizontal="center"/>
    </xf>
    <xf numFmtId="166" fontId="8" fillId="4" borderId="1" xfId="0" applyNumberFormat="1" applyFont="1" applyFill="1" applyBorder="1" applyAlignment="1">
      <alignment horizontal="center"/>
    </xf>
    <xf numFmtId="165" fontId="11" fillId="5" borderId="2" xfId="0" applyNumberFormat="1" applyFont="1" applyFill="1" applyBorder="1" applyAlignment="1">
      <alignment horizontal="center"/>
    </xf>
    <xf numFmtId="165" fontId="8" fillId="5" borderId="2" xfId="0" applyNumberFormat="1" applyFont="1" applyFill="1" applyBorder="1" applyAlignment="1">
      <alignment horizontal="center"/>
    </xf>
    <xf numFmtId="166" fontId="8" fillId="5" borderId="2" xfId="0" applyNumberFormat="1" applyFont="1" applyFill="1" applyBorder="1" applyAlignment="1">
      <alignment horizontal="center"/>
    </xf>
    <xf numFmtId="0" fontId="12" fillId="0" borderId="0" xfId="0" applyFont="1"/>
    <xf numFmtId="0" fontId="9" fillId="0" borderId="0" xfId="0" applyFont="1"/>
    <xf numFmtId="0" fontId="15" fillId="0" borderId="0" xfId="0" applyFont="1"/>
    <xf numFmtId="0" fontId="8" fillId="0" borderId="0" xfId="0" applyFont="1"/>
    <xf numFmtId="0" fontId="16" fillId="0" borderId="0" xfId="0" applyFont="1"/>
    <xf numFmtId="0" fontId="5" fillId="0" borderId="0" xfId="0" applyFont="1" applyAlignment="1">
      <alignment horizontal="right"/>
    </xf>
    <xf numFmtId="0" fontId="17" fillId="2" borderId="3" xfId="0" applyFont="1" applyFill="1" applyBorder="1" applyAlignment="1">
      <alignment horizontal="center" vertical="center"/>
    </xf>
    <xf numFmtId="0" fontId="17" fillId="2" borderId="1" xfId="0" applyFont="1" applyFill="1" applyBorder="1" applyAlignment="1">
      <alignment horizontal="center" vertical="center"/>
    </xf>
    <xf numFmtId="0" fontId="17" fillId="6" borderId="3" xfId="0" applyFont="1" applyFill="1" applyBorder="1" applyAlignment="1">
      <alignment horizontal="center" vertical="center"/>
    </xf>
    <xf numFmtId="0" fontId="17" fillId="6" borderId="1" xfId="0" applyFont="1" applyFill="1" applyBorder="1" applyAlignment="1">
      <alignment horizontal="center" vertical="center"/>
    </xf>
    <xf numFmtId="3" fontId="20" fillId="0" borderId="2" xfId="0" applyNumberFormat="1" applyFont="1" applyBorder="1" applyAlignment="1">
      <alignment horizontal="center"/>
    </xf>
    <xf numFmtId="0" fontId="19" fillId="0" borderId="2" xfId="0" applyFont="1" applyBorder="1"/>
    <xf numFmtId="0" fontId="18" fillId="0" borderId="2" xfId="0" applyFont="1" applyBorder="1"/>
    <xf numFmtId="3" fontId="18" fillId="0" borderId="2" xfId="0" applyNumberFormat="1" applyFont="1" applyBorder="1" applyAlignment="1">
      <alignment horizontal="center"/>
    </xf>
    <xf numFmtId="165" fontId="18" fillId="0" borderId="4" xfId="0" applyNumberFormat="1" applyFont="1" applyBorder="1" applyAlignment="1">
      <alignment horizontal="center"/>
    </xf>
    <xf numFmtId="166" fontId="18" fillId="0" borderId="2" xfId="0" applyNumberFormat="1" applyFont="1" applyBorder="1" applyAlignment="1">
      <alignment horizontal="center"/>
    </xf>
    <xf numFmtId="164" fontId="18" fillId="0" borderId="4" xfId="0" applyNumberFormat="1" applyFont="1" applyBorder="1" applyAlignment="1">
      <alignment horizontal="center"/>
    </xf>
    <xf numFmtId="164" fontId="18" fillId="0" borderId="2" xfId="0" applyNumberFormat="1" applyFont="1" applyBorder="1" applyAlignment="1">
      <alignment horizontal="center"/>
    </xf>
    <xf numFmtId="1" fontId="18" fillId="0" borderId="4" xfId="0" applyNumberFormat="1" applyFont="1" applyBorder="1" applyAlignment="1">
      <alignment horizontal="center"/>
    </xf>
    <xf numFmtId="0" fontId="18" fillId="0" borderId="2" xfId="0" applyFont="1" applyBorder="1" applyAlignment="1">
      <alignment indent="1"/>
    </xf>
    <xf numFmtId="0" fontId="18" fillId="0" borderId="2" xfId="0" applyFont="1" applyBorder="1" applyAlignment="1">
      <alignment indent="2"/>
    </xf>
    <xf numFmtId="0" fontId="1" fillId="2" borderId="0" xfId="0" applyFont="1" applyFill="1" applyAlignment="1">
      <alignment vertical="center" wrapText="1"/>
    </xf>
    <xf numFmtId="2" fontId="0" fillId="0" borderId="0" xfId="0" applyNumberFormat="1"/>
    <xf numFmtId="0" fontId="1" fillId="2" borderId="0" xfId="0" applyFont="1" applyFill="1" applyAlignment="1">
      <alignment wrapText="1"/>
    </xf>
    <xf numFmtId="0" fontId="0" fillId="3" borderId="0" xfId="0" applyFill="1"/>
    <xf numFmtId="0" fontId="5" fillId="0" borderId="0" xfId="0" applyFont="1" applyAlignment="1">
      <alignment horizontal="right" vertical="center" indent="1"/>
    </xf>
    <xf numFmtId="0" fontId="24" fillId="0" borderId="0" xfId="0" applyFont="1"/>
    <xf numFmtId="0" fontId="32" fillId="0" borderId="0" xfId="0" applyFont="1" applyAlignment="1">
      <alignment vertical="top" wrapText="1"/>
    </xf>
    <xf numFmtId="0" fontId="15" fillId="0" borderId="8" xfId="0" applyFont="1" applyBorder="1"/>
    <xf numFmtId="0" fontId="0" fillId="0" borderId="8" xfId="0" applyBorder="1"/>
    <xf numFmtId="0" fontId="25" fillId="0" borderId="0" xfId="0" applyFont="1"/>
    <xf numFmtId="0" fontId="34" fillId="0" borderId="2" xfId="0" applyFont="1" applyBorder="1" applyAlignment="1">
      <alignment vertical="center"/>
    </xf>
    <xf numFmtId="0" fontId="35" fillId="0" borderId="0" xfId="0" applyFont="1"/>
    <xf numFmtId="0" fontId="9" fillId="0" borderId="2" xfId="0" applyFont="1" applyBorder="1" applyAlignment="1">
      <alignment vertical="center"/>
    </xf>
    <xf numFmtId="0" fontId="0" fillId="6" borderId="1" xfId="0" applyFill="1" applyBorder="1"/>
    <xf numFmtId="0" fontId="0" fillId="2" borderId="1" xfId="0" applyFill="1" applyBorder="1"/>
    <xf numFmtId="0" fontId="1" fillId="2" borderId="3" xfId="0" applyFont="1" applyFill="1" applyBorder="1" applyAlignment="1">
      <alignment horizontal="left" vertical="center" indent="1"/>
    </xf>
    <xf numFmtId="0" fontId="1" fillId="6" borderId="3" xfId="0" applyFont="1" applyFill="1" applyBorder="1" applyAlignment="1">
      <alignment horizontal="left" vertical="center" indent="1"/>
    </xf>
    <xf numFmtId="0" fontId="7" fillId="6" borderId="3" xfId="0" applyFont="1" applyFill="1" applyBorder="1" applyAlignment="1">
      <alignment horizontal="centerContinuous" vertical="center"/>
    </xf>
    <xf numFmtId="0" fontId="0" fillId="6" borderId="1" xfId="0" applyFill="1" applyBorder="1" applyAlignment="1">
      <alignment horizontal="centerContinuous"/>
    </xf>
    <xf numFmtId="0" fontId="7" fillId="2" borderId="3" xfId="0" applyFont="1" applyFill="1" applyBorder="1" applyAlignment="1">
      <alignment horizontal="centerContinuous" vertical="center"/>
    </xf>
    <xf numFmtId="0" fontId="0" fillId="2" borderId="1" xfId="0" applyFill="1" applyBorder="1" applyAlignment="1">
      <alignment horizontal="centerContinuous"/>
    </xf>
    <xf numFmtId="0" fontId="6" fillId="3" borderId="9" xfId="0" applyFont="1" applyFill="1" applyBorder="1"/>
    <xf numFmtId="0" fontId="6" fillId="3" borderId="10" xfId="0" applyFont="1" applyFill="1" applyBorder="1"/>
    <xf numFmtId="0" fontId="6" fillId="3" borderId="11" xfId="0" applyFont="1" applyFill="1" applyBorder="1"/>
    <xf numFmtId="0" fontId="4"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9" fillId="0" borderId="0" xfId="0" applyFont="1" applyAlignment="1">
      <alignment vertical="center"/>
    </xf>
    <xf numFmtId="0" fontId="7" fillId="2" borderId="0" xfId="0" applyFont="1" applyFill="1" applyAlignment="1">
      <alignment horizontal="centerContinuous" vertical="center"/>
    </xf>
    <xf numFmtId="0" fontId="6" fillId="3" borderId="12" xfId="0" applyFont="1" applyFill="1" applyBorder="1" applyAlignment="1">
      <alignment vertical="center"/>
    </xf>
    <xf numFmtId="0" fontId="6" fillId="3" borderId="13" xfId="0" applyFont="1" applyFill="1" applyBorder="1" applyAlignment="1">
      <alignment vertical="center"/>
    </xf>
    <xf numFmtId="0" fontId="6" fillId="3" borderId="14" xfId="0" applyFont="1" applyFill="1" applyBorder="1" applyAlignment="1">
      <alignment vertical="center"/>
    </xf>
    <xf numFmtId="0" fontId="32" fillId="0" borderId="0" xfId="0" applyFont="1" applyAlignment="1">
      <alignment vertical="center"/>
    </xf>
    <xf numFmtId="0" fontId="22" fillId="0" borderId="0" xfId="0" applyFont="1" applyAlignment="1">
      <alignment vertical="top"/>
    </xf>
    <xf numFmtId="0" fontId="21" fillId="7" borderId="0" xfId="0" applyFont="1" applyFill="1" applyAlignment="1">
      <alignment horizontal="centerContinuous" vertical="center"/>
    </xf>
    <xf numFmtId="0" fontId="0" fillId="7" borderId="0" xfId="0" applyFill="1" applyAlignment="1">
      <alignment horizontal="centerContinuous"/>
    </xf>
    <xf numFmtId="0" fontId="27" fillId="7" borderId="6" xfId="0" applyFont="1" applyFill="1" applyBorder="1" applyAlignment="1">
      <alignment horizontal="centerContinuous" vertical="center"/>
    </xf>
    <xf numFmtId="0" fontId="0" fillId="7" borderId="6" xfId="0" applyFill="1" applyBorder="1" applyAlignment="1">
      <alignment horizontal="centerContinuous"/>
    </xf>
    <xf numFmtId="0" fontId="27" fillId="7" borderId="7" xfId="0" applyFont="1" applyFill="1" applyBorder="1" applyAlignment="1">
      <alignment horizontal="centerContinuous" vertical="center"/>
    </xf>
    <xf numFmtId="0" fontId="0" fillId="7" borderId="7" xfId="0" applyFill="1" applyBorder="1" applyAlignment="1">
      <alignment horizontal="centerContinuous"/>
    </xf>
    <xf numFmtId="0" fontId="30" fillId="7" borderId="0" xfId="0" applyFont="1" applyFill="1" applyAlignment="1">
      <alignment horizontal="centerContinuous" vertical="top"/>
    </xf>
    <xf numFmtId="164" fontId="28" fillId="7" borderId="0" xfId="0" applyNumberFormat="1" applyFont="1" applyFill="1" applyAlignment="1">
      <alignment horizontal="centerContinuous" vertical="center"/>
    </xf>
    <xf numFmtId="0" fontId="29" fillId="7" borderId="0" xfId="0" applyFont="1" applyFill="1" applyAlignment="1">
      <alignment horizontal="centerContinuous" vertical="center"/>
    </xf>
    <xf numFmtId="165" fontId="28" fillId="7" borderId="0" xfId="0" applyNumberFormat="1" applyFont="1" applyFill="1" applyAlignment="1">
      <alignment horizontal="centerContinuous" vertical="center"/>
    </xf>
    <xf numFmtId="0" fontId="7" fillId="2" borderId="0" xfId="0" applyFont="1" applyFill="1" applyAlignment="1">
      <alignment horizontal="left" vertical="center" wrapText="1"/>
    </xf>
    <xf numFmtId="0" fontId="34" fillId="0" borderId="2" xfId="0" applyFont="1" applyBorder="1" applyAlignment="1">
      <alignment vertical="top" wrapText="1"/>
    </xf>
    <xf numFmtId="0" fontId="4" fillId="0" borderId="0" xfId="0" applyFont="1" applyAlignment="1">
      <alignment vertical="top"/>
    </xf>
    <xf numFmtId="0" fontId="36" fillId="0" borderId="2" xfId="0" applyFont="1" applyBorder="1" applyAlignment="1">
      <alignment vertical="top"/>
    </xf>
  </cellXfs>
  <cellStyles count="1">
    <cellStyle name="Standard" xfId="0" builtinId="0"/>
  </cellStyles>
  <dxfs count="44">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1A7A45"/>
        <name val="Segoe UI"/>
      </font>
    </dxf>
    <dxf>
      <font>
        <color rgb="FFB8340F"/>
        <name val="Segoe UI"/>
      </font>
    </dxf>
    <dxf>
      <font>
        <color rgb="FFB8340F"/>
        <name val="Segoe UI"/>
      </font>
    </dxf>
    <dxf>
      <font>
        <color rgb="FF1A7A45"/>
        <name val="Segoe UI"/>
      </font>
    </dxf>
    <dxf>
      <font>
        <color rgb="FF1A7A45"/>
        <name val="Segoe UI"/>
      </font>
    </dxf>
    <dxf>
      <font>
        <color rgb="FFB8340F"/>
        <name val="Segoe UI"/>
      </font>
    </dxf>
    <dxf>
      <font>
        <color rgb="FFB8340F"/>
        <name val="Segoe UI"/>
      </font>
    </dxf>
    <dxf>
      <font>
        <color rgb="FF1A7A45"/>
        <name val="Segoe UI"/>
      </font>
    </dxf>
    <dxf>
      <font>
        <color rgb="FFB8340F"/>
        <name val="Segoe UI"/>
      </font>
    </dxf>
    <dxf>
      <font>
        <color rgb="FF1A7A45"/>
        <name val="Segoe UI"/>
      </font>
    </dxf>
    <dxf>
      <font>
        <color rgb="FF1A7A45"/>
        <name val="Segoe UI"/>
      </font>
    </dxf>
    <dxf>
      <font>
        <color rgb="FFB8340F"/>
        <name val="Segoe UI"/>
      </font>
    </dxf>
    <dxf>
      <font>
        <color rgb="FF1A7A45"/>
        <name val="Segoe UI"/>
      </font>
    </dxf>
    <dxf>
      <font>
        <color rgb="FFB8340F"/>
        <name val="Segoe UI"/>
      </font>
    </dxf>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B8340F"/>
        <name val="Segoe UI"/>
      </font>
    </dxf>
    <dxf>
      <font>
        <color rgb="FF1A7A45"/>
        <name val="Segoe UI"/>
      </font>
    </dxf>
    <dxf>
      <font>
        <color rgb="FF1A7A45"/>
        <name val="Segoe UI"/>
      </font>
    </dxf>
    <dxf>
      <font>
        <color rgb="FFB8340F"/>
        <name val="Segoe UI"/>
      </font>
    </dxf>
    <dxf>
      <font>
        <color rgb="FFB8340F"/>
        <name val="Segoe UI"/>
      </font>
    </dxf>
    <dxf>
      <font>
        <color rgb="FF1A7A45"/>
        <name val="Segoe UI"/>
      </font>
    </dxf>
    <dxf>
      <font>
        <i/>
        <color rgb="FF636363"/>
        <name val="Segoe UI"/>
      </font>
    </dxf>
    <dxf>
      <font>
        <b/>
        <color rgb="FFB8340F"/>
        <name val="Segoe UI"/>
      </font>
    </dxf>
    <dxf>
      <font>
        <b/>
        <color rgb="FFB8340F"/>
        <name val="Segoe UI"/>
      </font>
    </dxf>
    <dxf>
      <font>
        <b/>
        <color rgb="FF1A7A45"/>
        <name val="Segoe UI"/>
      </font>
    </dxf>
    <dxf>
      <font>
        <b/>
        <color rgb="FFB8340F"/>
        <name val="Segoe UI"/>
      </font>
    </dxf>
    <dxf>
      <font>
        <b/>
        <color rgb="FF1A7A45"/>
        <name val="Segoe U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autoTitleDeleted val="1"/>
    <c:plotArea>
      <c:layout/>
      <c:lineChart>
        <c:grouping val="standard"/>
        <c:varyColors val="1"/>
        <c:ser>
          <c:idx val="0"/>
          <c:order val="0"/>
          <c:tx>
            <c:strRef>
              <c:f>Berechnung_Tabs!$D$2</c:f>
              <c:strCache>
                <c:ptCount val="1"/>
                <c:pt idx="0">
                  <c:v>Stimmungsindex</c:v>
                </c:pt>
              </c:strCache>
            </c:strRef>
          </c:tx>
          <c:spPr>
            <a:ln w="28575">
              <a:solidFill>
                <a:srgbClr val="003882"/>
              </a:solidFill>
              <a:prstDash val="solid"/>
            </a:ln>
          </c:spPr>
          <c:marker>
            <c:symbol val="none"/>
          </c:marker>
          <c:dLbls>
            <c:dLbl>
              <c:idx val="50"/>
              <c:spPr/>
              <c:txPr>
                <a:bodyPr/>
                <a:lstStyle/>
                <a:p>
                  <a:pPr>
                    <a:defRPr sz="1000" b="1">
                      <a:solidFill>
                        <a:srgbClr val="003882"/>
                      </a:solidFill>
                      <a:latin typeface="Segoe UI"/>
                    </a:defRPr>
                  </a:pPr>
                  <a:endParaRPr lang="de-DE"/>
                </a:p>
              </c:txPr>
              <c:dLblPos val="t"/>
              <c:showLegendKey val="0"/>
              <c:showVal val="1"/>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0-A0A0-4AED-A3DF-A6499002C928}"/>
                </c:ext>
              </c:extLst>
            </c:dLbl>
            <c:spPr>
              <a:noFill/>
              <a:ln>
                <a:noFill/>
              </a:ln>
              <a:effectLst/>
            </c:sp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Berechnung_Tabs!$C$3:$C$53</c:f>
              <c:strCache>
                <c:ptCount val="49"/>
                <c:pt idx="0">
                  <c:v>2010</c:v>
                </c:pt>
                <c:pt idx="6">
                  <c:v>2012</c:v>
                </c:pt>
                <c:pt idx="12">
                  <c:v>2014</c:v>
                </c:pt>
                <c:pt idx="18">
                  <c:v>2016</c:v>
                </c:pt>
                <c:pt idx="24">
                  <c:v>2018</c:v>
                </c:pt>
                <c:pt idx="30">
                  <c:v>2020</c:v>
                </c:pt>
                <c:pt idx="36">
                  <c:v>2022</c:v>
                </c:pt>
                <c:pt idx="42">
                  <c:v>2024</c:v>
                </c:pt>
                <c:pt idx="48">
                  <c:v>2026</c:v>
                </c:pt>
              </c:strCache>
            </c:strRef>
          </c:cat>
          <c:val>
            <c:numRef>
              <c:f>Berechnung_Tabs!$D$3:$D$53</c:f>
              <c:numCache>
                <c:formatCode>General</c:formatCode>
                <c:ptCount val="51"/>
                <c:pt idx="0">
                  <c:v>102.5</c:v>
                </c:pt>
                <c:pt idx="1">
                  <c:v>114.4</c:v>
                </c:pt>
                <c:pt idx="2">
                  <c:v>124</c:v>
                </c:pt>
                <c:pt idx="3">
                  <c:v>128.9</c:v>
                </c:pt>
                <c:pt idx="4">
                  <c:v>130.9</c:v>
                </c:pt>
                <c:pt idx="5">
                  <c:v>121.1</c:v>
                </c:pt>
                <c:pt idx="6">
                  <c:v>119.9</c:v>
                </c:pt>
                <c:pt idx="7">
                  <c:v>121</c:v>
                </c:pt>
                <c:pt idx="8">
                  <c:v>110.4</c:v>
                </c:pt>
                <c:pt idx="9">
                  <c:v>113.8</c:v>
                </c:pt>
                <c:pt idx="10">
                  <c:v>112.9</c:v>
                </c:pt>
                <c:pt idx="11">
                  <c:v>118.7</c:v>
                </c:pt>
                <c:pt idx="12">
                  <c:v>124.3</c:v>
                </c:pt>
                <c:pt idx="13">
                  <c:v>125.3</c:v>
                </c:pt>
                <c:pt idx="14">
                  <c:v>117.8</c:v>
                </c:pt>
                <c:pt idx="15">
                  <c:v>118.8</c:v>
                </c:pt>
                <c:pt idx="16">
                  <c:v>122.1</c:v>
                </c:pt>
                <c:pt idx="17">
                  <c:v>121.3</c:v>
                </c:pt>
                <c:pt idx="18">
                  <c:v>123.8</c:v>
                </c:pt>
                <c:pt idx="19">
                  <c:v>122.5</c:v>
                </c:pt>
                <c:pt idx="20">
                  <c:v>121.8</c:v>
                </c:pt>
                <c:pt idx="21">
                  <c:v>123.8</c:v>
                </c:pt>
                <c:pt idx="22">
                  <c:v>127.4</c:v>
                </c:pt>
                <c:pt idx="23">
                  <c:v>128.6</c:v>
                </c:pt>
                <c:pt idx="24">
                  <c:v>132.19999999999999</c:v>
                </c:pt>
                <c:pt idx="25">
                  <c:v>130.19999999999999</c:v>
                </c:pt>
                <c:pt idx="26">
                  <c:v>126.9</c:v>
                </c:pt>
                <c:pt idx="27">
                  <c:v>123.7</c:v>
                </c:pt>
                <c:pt idx="28">
                  <c:v>119.5</c:v>
                </c:pt>
                <c:pt idx="29">
                  <c:v>110</c:v>
                </c:pt>
                <c:pt idx="30">
                  <c:v>112.9</c:v>
                </c:pt>
                <c:pt idx="31">
                  <c:v>64.400000000000006</c:v>
                </c:pt>
                <c:pt idx="32">
                  <c:v>96</c:v>
                </c:pt>
                <c:pt idx="33">
                  <c:v>94</c:v>
                </c:pt>
                <c:pt idx="34">
                  <c:v>101.5</c:v>
                </c:pt>
                <c:pt idx="35">
                  <c:v>119.1</c:v>
                </c:pt>
                <c:pt idx="36">
                  <c:v>111.3</c:v>
                </c:pt>
                <c:pt idx="37">
                  <c:v>101.2</c:v>
                </c:pt>
                <c:pt idx="38">
                  <c:v>79.5</c:v>
                </c:pt>
                <c:pt idx="39">
                  <c:v>101.2</c:v>
                </c:pt>
                <c:pt idx="40">
                  <c:v>106.3</c:v>
                </c:pt>
                <c:pt idx="41">
                  <c:v>92.2</c:v>
                </c:pt>
                <c:pt idx="42">
                  <c:v>91.9</c:v>
                </c:pt>
                <c:pt idx="43">
                  <c:v>97.2</c:v>
                </c:pt>
                <c:pt idx="44">
                  <c:v>91</c:v>
                </c:pt>
                <c:pt idx="45">
                  <c:v>91.6</c:v>
                </c:pt>
                <c:pt idx="46">
                  <c:v>94.9</c:v>
                </c:pt>
                <c:pt idx="47">
                  <c:v>93.8</c:v>
                </c:pt>
                <c:pt idx="48">
                  <c:v>95.9</c:v>
                </c:pt>
                <c:pt idx="49">
                  <c:v>88.1</c:v>
                </c:pt>
                <c:pt idx="50">
                  <c:v>94.7</c:v>
                </c:pt>
              </c:numCache>
            </c:numRef>
          </c:val>
          <c:smooth val="0"/>
          <c:extLst>
            <c:ext xmlns:c16="http://schemas.microsoft.com/office/drawing/2014/chart" uri="{C3380CC4-5D6E-409C-BE32-E72D297353CC}">
              <c16:uniqueId val="{00000001-A0A0-4AED-A3DF-A6499002C928}"/>
            </c:ext>
          </c:extLst>
        </c:ser>
        <c:dLbls>
          <c:showLegendKey val="0"/>
          <c:showVal val="0"/>
          <c:showCatName val="0"/>
          <c:showSerName val="0"/>
          <c:showPercent val="0"/>
          <c:showBubbleSize val="0"/>
        </c:dLbls>
        <c:smooth val="0"/>
        <c:axId val="10"/>
        <c:axId val="100"/>
      </c:lineChart>
      <c:catAx>
        <c:axId val="10"/>
        <c:scaling>
          <c:orientation val="minMax"/>
        </c:scaling>
        <c:delete val="0"/>
        <c:axPos val="l"/>
        <c:numFmt formatCode="General" sourceLinked="1"/>
        <c:majorTickMark val="none"/>
        <c:minorTickMark val="none"/>
        <c:tickLblPos val="low"/>
        <c:spPr>
          <a:ln w="19050">
            <a:solidFill>
              <a:srgbClr val="404040"/>
            </a:solidFill>
            <a:prstDash val="solid"/>
          </a:ln>
        </c:spPr>
        <c:txPr>
          <a:bodyPr/>
          <a:lstStyle/>
          <a:p>
            <a:pPr>
              <a:defRPr sz="800" b="0">
                <a:solidFill>
                  <a:srgbClr val="595959"/>
                </a:solidFill>
                <a:latin typeface="Segoe UI"/>
              </a:defRPr>
            </a:pPr>
            <a:endParaRPr lang="de-DE"/>
          </a:p>
        </c:txPr>
        <c:crossAx val="100"/>
        <c:crossesAt val="100"/>
        <c:auto val="1"/>
        <c:lblAlgn val="ctr"/>
        <c:lblOffset val="100"/>
        <c:tickLblSkip val="1"/>
        <c:noMultiLvlLbl val="1"/>
      </c:catAx>
      <c:valAx>
        <c:axId val="100"/>
        <c:scaling>
          <c:orientation val="minMax"/>
          <c:min val="60"/>
        </c:scaling>
        <c:delete val="0"/>
        <c:axPos val="l"/>
        <c:majorGridlines>
          <c:spPr>
            <a:ln w="6350">
              <a:solidFill>
                <a:srgbClr val="D9D9D9"/>
              </a:solidFill>
              <a:prstDash val="sysDot"/>
            </a:ln>
          </c:spPr>
        </c:majorGridlines>
        <c:numFmt formatCode="General" sourceLinked="1"/>
        <c:majorTickMark val="none"/>
        <c:minorTickMark val="none"/>
        <c:tickLblPos val="nextTo"/>
        <c:spPr>
          <a:ln>
            <a:noFill/>
            <a:prstDash val="solid"/>
          </a:ln>
        </c:spPr>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spPr>
    <a:ln>
      <a:noFill/>
      <a:prstDash val="soli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autoTitleDeleted val="1"/>
    <c:plotArea>
      <c:layout/>
      <c:barChart>
        <c:barDir val="bar"/>
        <c:grouping val="clustered"/>
        <c:varyColors val="1"/>
        <c:ser>
          <c:idx val="0"/>
          <c:order val="0"/>
          <c:tx>
            <c:v>HB 26</c:v>
          </c:tx>
          <c:spPr>
            <a:solidFill>
              <a:srgbClr val="003882"/>
            </a:solidFill>
            <a:ln>
              <a:noFill/>
              <a:prstDash val="solid"/>
            </a:ln>
          </c:spPr>
          <c:invertIfNegative val="1"/>
          <c:dLbls>
            <c:spPr>
              <a:noFill/>
              <a:ln>
                <a:noFill/>
              </a:ln>
              <a:effectLst/>
            </c:spPr>
            <c:txPr>
              <a:bodyPr/>
              <a:lstStyle/>
              <a:p>
                <a:pPr>
                  <a:defRPr sz="700" b="1">
                    <a:solidFill>
                      <a:srgbClr val="003882"/>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Berechnung_Tabs!$F$3:$F$10</c:f>
              <c:strCache>
                <c:ptCount val="8"/>
                <c:pt idx="0">
                  <c:v>Energie, Rohstoffe</c:v>
                </c:pt>
                <c:pt idx="1">
                  <c:v>Wirtschaftspolitik</c:v>
                </c:pt>
                <c:pt idx="2">
                  <c:v>Arbeitskosten</c:v>
                </c:pt>
                <c:pt idx="3">
                  <c:v>Inlandsnachfrage</c:v>
                </c:pt>
                <c:pt idx="4">
                  <c:v>Auslandsnachfrage*</c:v>
                </c:pt>
                <c:pt idx="5">
                  <c:v>Fachkräftemangel</c:v>
                </c:pt>
                <c:pt idx="6">
                  <c:v>Finanzierung</c:v>
                </c:pt>
                <c:pt idx="7">
                  <c:v>Wechselkurs*</c:v>
                </c:pt>
              </c:strCache>
            </c:strRef>
          </c:cat>
          <c:val>
            <c:numRef>
              <c:f>Berechnung_Tabs!$G$3:$G$10</c:f>
              <c:numCache>
                <c:formatCode>General</c:formatCode>
                <c:ptCount val="8"/>
                <c:pt idx="0">
                  <c:v>67</c:v>
                </c:pt>
                <c:pt idx="1">
                  <c:v>58</c:v>
                </c:pt>
                <c:pt idx="2">
                  <c:v>56</c:v>
                </c:pt>
                <c:pt idx="3">
                  <c:v>54</c:v>
                </c:pt>
                <c:pt idx="4">
                  <c:v>38</c:v>
                </c:pt>
                <c:pt idx="5">
                  <c:v>36</c:v>
                </c:pt>
                <c:pt idx="6">
                  <c:v>16</c:v>
                </c:pt>
                <c:pt idx="7">
                  <c:v>5</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79BA-4C47-A2E5-B02D1FB3F434}"/>
            </c:ext>
          </c:extLst>
        </c:ser>
        <c:ser>
          <c:idx val="1"/>
          <c:order val="1"/>
          <c:tx>
            <c:v>FS 26</c:v>
          </c:tx>
          <c:spPr>
            <a:solidFill>
              <a:srgbClr val="70D5FF"/>
            </a:solidFill>
            <a:ln>
              <a:no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Berechnung_Tabs!$F$3:$F$10</c:f>
              <c:strCache>
                <c:ptCount val="8"/>
                <c:pt idx="0">
                  <c:v>Energie, Rohstoffe</c:v>
                </c:pt>
                <c:pt idx="1">
                  <c:v>Wirtschaftspolitik</c:v>
                </c:pt>
                <c:pt idx="2">
                  <c:v>Arbeitskosten</c:v>
                </c:pt>
                <c:pt idx="3">
                  <c:v>Inlandsnachfrage</c:v>
                </c:pt>
                <c:pt idx="4">
                  <c:v>Auslandsnachfrage*</c:v>
                </c:pt>
                <c:pt idx="5">
                  <c:v>Fachkräftemangel</c:v>
                </c:pt>
                <c:pt idx="6">
                  <c:v>Finanzierung</c:v>
                </c:pt>
                <c:pt idx="7">
                  <c:v>Wechselkurs*</c:v>
                </c:pt>
              </c:strCache>
            </c:strRef>
          </c:cat>
          <c:val>
            <c:numRef>
              <c:f>Berechnung_Tabs!$H$3:$H$10</c:f>
              <c:numCache>
                <c:formatCode>General</c:formatCode>
                <c:ptCount val="8"/>
                <c:pt idx="0">
                  <c:v>70</c:v>
                </c:pt>
                <c:pt idx="1">
                  <c:v>58</c:v>
                </c:pt>
                <c:pt idx="2">
                  <c:v>57</c:v>
                </c:pt>
                <c:pt idx="3">
                  <c:v>56</c:v>
                </c:pt>
                <c:pt idx="4">
                  <c:v>45</c:v>
                </c:pt>
                <c:pt idx="5">
                  <c:v>36</c:v>
                </c:pt>
                <c:pt idx="6">
                  <c:v>15</c:v>
                </c:pt>
                <c:pt idx="7">
                  <c:v>7</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79BA-4C47-A2E5-B02D1FB3F434}"/>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spPr>
          <a:ln w="6350">
            <a:solidFill>
              <a:srgbClr val="B1B3B4"/>
            </a:solidFill>
            <a:prstDash val="solid"/>
          </a:ln>
        </c:spPr>
        <c:txPr>
          <a:bodyPr/>
          <a:lstStyle/>
          <a:p>
            <a:pPr>
              <a:defRPr sz="750" b="0">
                <a:solidFill>
                  <a:srgbClr val="262626"/>
                </a:solidFill>
                <a:latin typeface="Segoe UI"/>
              </a:defRPr>
            </a:pPr>
            <a:endParaRPr lang="de-DE"/>
          </a:p>
        </c:txPr>
        <c:crossAx val="100"/>
        <c:crosses val="autoZero"/>
        <c:auto val="1"/>
        <c:lblAlgn val="ctr"/>
        <c:lblOffset val="100"/>
        <c:tickLblSkip val="1"/>
        <c:noMultiLvlLbl val="1"/>
      </c:catAx>
      <c:valAx>
        <c:axId val="100"/>
        <c:scaling>
          <c:orientation val="minMax"/>
          <c:max val="100"/>
          <c:min val="0"/>
        </c:scaling>
        <c:delete val="1"/>
        <c:axPos val="t"/>
        <c:numFmt formatCode="General" sourceLinked="1"/>
        <c:majorTickMark val="none"/>
        <c:minorTickMark val="none"/>
        <c:tickLblPos val="nextTo"/>
        <c:crossAx val="10"/>
        <c:crosses val="autoZero"/>
        <c:crossBetween val="between"/>
      </c:valAx>
    </c:plotArea>
    <c:legend>
      <c:legendPos val="t"/>
      <c:overlay val="0"/>
      <c:txPr>
        <a:bodyPr/>
        <a:lstStyle/>
        <a:p>
          <a:pPr>
            <a:defRPr sz="750" b="0">
              <a:solidFill>
                <a:srgbClr val="595959"/>
              </a:solidFill>
              <a:latin typeface="Segoe UI"/>
            </a:defRPr>
          </a:pPr>
          <a:endParaRPr lang="de-DE"/>
        </a:p>
      </c:txPr>
    </c:legend>
    <c:plotVisOnly val="1"/>
    <c:dispBlanksAs val="gap"/>
    <c:showDLblsOverMax val="1"/>
  </c:chart>
  <c:spPr>
    <a:ln>
      <a:noFill/>
      <a:prstDash val="soli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autoTitleDeleted val="1"/>
    <c:plotArea>
      <c:layout/>
      <c:barChart>
        <c:barDir val="bar"/>
        <c:grouping val="clustered"/>
        <c:varyColors val="1"/>
        <c:ser>
          <c:idx val="0"/>
          <c:order val="0"/>
          <c:tx>
            <c:v>HB 26</c:v>
          </c:tx>
          <c:spPr>
            <a:solidFill>
              <a:srgbClr val="003882"/>
            </a:solidFill>
            <a:ln>
              <a:noFill/>
              <a:prstDash val="solid"/>
            </a:ln>
          </c:spPr>
          <c:invertIfNegative val="1"/>
          <c:dLbls>
            <c:spPr>
              <a:noFill/>
              <a:ln>
                <a:noFill/>
              </a:ln>
              <a:effectLst/>
            </c:spPr>
            <c:txPr>
              <a:bodyPr/>
              <a:lstStyle/>
              <a:p>
                <a:pPr>
                  <a:defRPr sz="700" b="1">
                    <a:solidFill>
                      <a:srgbClr val="003882"/>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Berechnung_Tabs!$J$3:$J$7</c:f>
              <c:strCache>
                <c:ptCount val="5"/>
                <c:pt idx="0">
                  <c:v>Ersatzbedarf</c:v>
                </c:pt>
                <c:pt idx="1">
                  <c:v>Rationalisierung</c:v>
                </c:pt>
                <c:pt idx="2">
                  <c:v>Produktinnovation</c:v>
                </c:pt>
                <c:pt idx="3">
                  <c:v>Kapazitätserweiterung</c:v>
                </c:pt>
                <c:pt idx="4">
                  <c:v>Umweltschutz</c:v>
                </c:pt>
              </c:strCache>
            </c:strRef>
          </c:cat>
          <c:val>
            <c:numRef>
              <c:f>Berechnung_Tabs!$K$3:$K$7</c:f>
              <c:numCache>
                <c:formatCode>General</c:formatCode>
                <c:ptCount val="5"/>
                <c:pt idx="0">
                  <c:v>66</c:v>
                </c:pt>
                <c:pt idx="1">
                  <c:v>34</c:v>
                </c:pt>
                <c:pt idx="2">
                  <c:v>28</c:v>
                </c:pt>
                <c:pt idx="3">
                  <c:v>19</c:v>
                </c:pt>
                <c:pt idx="4">
                  <c:v>17</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80B5-459B-BF64-7B1C0B2102BA}"/>
            </c:ext>
          </c:extLst>
        </c:ser>
        <c:ser>
          <c:idx val="1"/>
          <c:order val="1"/>
          <c:tx>
            <c:v>FS 26</c:v>
          </c:tx>
          <c:spPr>
            <a:solidFill>
              <a:srgbClr val="70D5FF"/>
            </a:solidFill>
            <a:ln>
              <a:no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Berechnung_Tabs!$J$3:$J$7</c:f>
              <c:strCache>
                <c:ptCount val="5"/>
                <c:pt idx="0">
                  <c:v>Ersatzbedarf</c:v>
                </c:pt>
                <c:pt idx="1">
                  <c:v>Rationalisierung</c:v>
                </c:pt>
                <c:pt idx="2">
                  <c:v>Produktinnovation</c:v>
                </c:pt>
                <c:pt idx="3">
                  <c:v>Kapazitätserweiterung</c:v>
                </c:pt>
                <c:pt idx="4">
                  <c:v>Umweltschutz</c:v>
                </c:pt>
              </c:strCache>
            </c:strRef>
          </c:cat>
          <c:val>
            <c:numRef>
              <c:f>Berechnung_Tabs!$L$3:$L$7</c:f>
              <c:numCache>
                <c:formatCode>General</c:formatCode>
                <c:ptCount val="5"/>
                <c:pt idx="0">
                  <c:v>67</c:v>
                </c:pt>
                <c:pt idx="1">
                  <c:v>34</c:v>
                </c:pt>
                <c:pt idx="2">
                  <c:v>27</c:v>
                </c:pt>
                <c:pt idx="3">
                  <c:v>19</c:v>
                </c:pt>
                <c:pt idx="4">
                  <c:v>16</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1-80B5-459B-BF64-7B1C0B2102BA}"/>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1"/>
        <c:majorTickMark val="none"/>
        <c:minorTickMark val="none"/>
        <c:tickLblPos val="nextTo"/>
        <c:spPr>
          <a:ln w="6350">
            <a:solidFill>
              <a:srgbClr val="B1B3B4"/>
            </a:solidFill>
            <a:prstDash val="solid"/>
          </a:ln>
        </c:spPr>
        <c:txPr>
          <a:bodyPr/>
          <a:lstStyle/>
          <a:p>
            <a:pPr>
              <a:defRPr sz="700" b="0">
                <a:solidFill>
                  <a:srgbClr val="262626"/>
                </a:solidFill>
                <a:latin typeface="Segoe UI"/>
              </a:defRPr>
            </a:pPr>
            <a:endParaRPr lang="de-DE"/>
          </a:p>
        </c:txPr>
        <c:crossAx val="100"/>
        <c:crosses val="autoZero"/>
        <c:auto val="1"/>
        <c:lblAlgn val="ctr"/>
        <c:lblOffset val="100"/>
        <c:tickLblSkip val="1"/>
        <c:noMultiLvlLbl val="1"/>
      </c:catAx>
      <c:valAx>
        <c:axId val="100"/>
        <c:scaling>
          <c:orientation val="minMax"/>
          <c:max val="100"/>
          <c:min val="0"/>
        </c:scaling>
        <c:delete val="1"/>
        <c:axPos val="t"/>
        <c:numFmt formatCode="General" sourceLinked="1"/>
        <c:majorTickMark val="none"/>
        <c:minorTickMark val="none"/>
        <c:tickLblPos val="nextTo"/>
        <c:crossAx val="10"/>
        <c:crosses val="autoZero"/>
        <c:crossBetween val="between"/>
      </c:valAx>
    </c:plotArea>
    <c:legend>
      <c:legendPos val="t"/>
      <c:overlay val="0"/>
      <c:txPr>
        <a:bodyPr/>
        <a:lstStyle/>
        <a:p>
          <a:pPr>
            <a:defRPr sz="750" b="0">
              <a:solidFill>
                <a:srgbClr val="595959"/>
              </a:solidFill>
              <a:latin typeface="Segoe UI"/>
            </a:defRPr>
          </a:pPr>
          <a:endParaRPr lang="de-DE"/>
        </a:p>
      </c:txPr>
    </c:legend>
    <c:plotVisOnly val="1"/>
    <c:dispBlanksAs val="gap"/>
    <c:showDLblsOverMax val="1"/>
  </c:chart>
  <c:spPr>
    <a:ln>
      <a:noFill/>
      <a:prstDash val="soli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Geschäftslage (Saldo)</a:t>
            </a:r>
          </a:p>
        </c:rich>
      </c:tx>
      <c:overlay val="0"/>
    </c:title>
    <c:autoTitleDeleted val="0"/>
    <c:plotArea>
      <c:layout/>
      <c:lineChart>
        <c:grouping val="standard"/>
        <c:varyColors val="1"/>
        <c:ser>
          <c:idx val="0"/>
          <c:order val="0"/>
          <c:tx>
            <c:strRef>
              <c:f>Berechnung!$C$90</c:f>
              <c:strCache>
                <c:ptCount val="1"/>
                <c:pt idx="0">
                  <c:v>Alle Branchen</c:v>
                </c:pt>
              </c:strCache>
            </c:strRef>
          </c:tx>
          <c:spPr>
            <a:ln w="22000">
              <a:solidFill>
                <a:srgbClr val="003882"/>
              </a:solidFill>
              <a:prstDash val="solid"/>
            </a:ln>
          </c:spPr>
          <c:marker>
            <c:symbol val="none"/>
          </c:marker>
          <c:cat>
            <c:strRef>
              <c:f>Berechnung!zr_dash_1</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Berechnung!zr_dash_2</c:f>
              <c:numCache>
                <c:formatCode>General</c:formatCode>
                <c:ptCount val="60"/>
                <c:pt idx="0">
                  <c:v>35</c:v>
                </c:pt>
                <c:pt idx="1">
                  <c:v>36</c:v>
                </c:pt>
                <c:pt idx="2">
                  <c:v>31</c:v>
                </c:pt>
                <c:pt idx="3">
                  <c:v>30</c:v>
                </c:pt>
                <c:pt idx="4">
                  <c:v>25</c:v>
                </c:pt>
                <c:pt idx="5">
                  <c:v>17</c:v>
                </c:pt>
                <c:pt idx="6">
                  <c:v>2</c:v>
                </c:pt>
                <c:pt idx="7">
                  <c:v>-17</c:v>
                </c:pt>
                <c:pt idx="8">
                  <c:v>-10</c:v>
                </c:pt>
                <c:pt idx="9">
                  <c:v>0</c:v>
                </c:pt>
                <c:pt idx="10">
                  <c:v>10</c:v>
                </c:pt>
                <c:pt idx="11">
                  <c:v>26</c:v>
                </c:pt>
                <c:pt idx="12">
                  <c:v>34</c:v>
                </c:pt>
                <c:pt idx="13">
                  <c:v>37</c:v>
                </c:pt>
                <c:pt idx="14">
                  <c:v>37</c:v>
                </c:pt>
                <c:pt idx="15">
                  <c:v>37</c:v>
                </c:pt>
                <c:pt idx="16">
                  <c:v>32</c:v>
                </c:pt>
                <c:pt idx="17">
                  <c:v>27</c:v>
                </c:pt>
                <c:pt idx="18">
                  <c:v>27</c:v>
                </c:pt>
                <c:pt idx="19">
                  <c:v>17</c:v>
                </c:pt>
                <c:pt idx="20">
                  <c:v>27</c:v>
                </c:pt>
                <c:pt idx="21">
                  <c:v>32</c:v>
                </c:pt>
                <c:pt idx="22">
                  <c:v>33</c:v>
                </c:pt>
                <c:pt idx="23">
                  <c:v>31</c:v>
                </c:pt>
                <c:pt idx="24">
                  <c:v>32</c:v>
                </c:pt>
                <c:pt idx="25">
                  <c:v>32</c:v>
                </c:pt>
                <c:pt idx="26">
                  <c:v>35</c:v>
                </c:pt>
                <c:pt idx="27">
                  <c:v>38</c:v>
                </c:pt>
                <c:pt idx="28">
                  <c:v>34</c:v>
                </c:pt>
                <c:pt idx="29">
                  <c:v>36</c:v>
                </c:pt>
                <c:pt idx="30">
                  <c:v>38</c:v>
                </c:pt>
                <c:pt idx="31">
                  <c:v>40</c:v>
                </c:pt>
                <c:pt idx="32">
                  <c:v>45</c:v>
                </c:pt>
                <c:pt idx="33">
                  <c:v>48</c:v>
                </c:pt>
                <c:pt idx="34">
                  <c:v>45</c:v>
                </c:pt>
                <c:pt idx="35">
                  <c:v>45</c:v>
                </c:pt>
                <c:pt idx="36">
                  <c:v>43</c:v>
                </c:pt>
                <c:pt idx="37">
                  <c:v>36</c:v>
                </c:pt>
                <c:pt idx="38">
                  <c:v>30</c:v>
                </c:pt>
                <c:pt idx="39">
                  <c:v>30</c:v>
                </c:pt>
                <c:pt idx="40">
                  <c:v>-26</c:v>
                </c:pt>
                <c:pt idx="41">
                  <c:v>-1</c:v>
                </c:pt>
                <c:pt idx="42">
                  <c:v>-3</c:v>
                </c:pt>
                <c:pt idx="43">
                  <c:v>2</c:v>
                </c:pt>
                <c:pt idx="44">
                  <c:v>29</c:v>
                </c:pt>
                <c:pt idx="45">
                  <c:v>18</c:v>
                </c:pt>
                <c:pt idx="46">
                  <c:v>19</c:v>
                </c:pt>
                <c:pt idx="47">
                  <c:v>13</c:v>
                </c:pt>
                <c:pt idx="48">
                  <c:v>19</c:v>
                </c:pt>
                <c:pt idx="49">
                  <c:v>19</c:v>
                </c:pt>
                <c:pt idx="50">
                  <c:v>9</c:v>
                </c:pt>
                <c:pt idx="51">
                  <c:v>7</c:v>
                </c:pt>
                <c:pt idx="52">
                  <c:v>5</c:v>
                </c:pt>
                <c:pt idx="53">
                  <c:v>1</c:v>
                </c:pt>
                <c:pt idx="54">
                  <c:v>1</c:v>
                </c:pt>
                <c:pt idx="55">
                  <c:v>0</c:v>
                </c:pt>
                <c:pt idx="56">
                  <c:v>0</c:v>
                </c:pt>
                <c:pt idx="57">
                  <c:v>1</c:v>
                </c:pt>
                <c:pt idx="58">
                  <c:v>-3</c:v>
                </c:pt>
                <c:pt idx="59">
                  <c:v>3</c:v>
                </c:pt>
              </c:numCache>
            </c:numRef>
          </c:val>
          <c:smooth val="0"/>
          <c:extLst>
            <c:ext xmlns:c16="http://schemas.microsoft.com/office/drawing/2014/chart" uri="{C3380CC4-5D6E-409C-BE32-E72D297353CC}">
              <c16:uniqueId val="{00000000-F507-4CD6-88BA-49F170883E8E}"/>
            </c:ext>
          </c:extLst>
        </c:ser>
        <c:ser>
          <c:idx val="1"/>
          <c:order val="1"/>
          <c:tx>
            <c:strRef>
              <c:f>Berechnung!$D$90</c:f>
              <c:strCache>
                <c:ptCount val="1"/>
                <c:pt idx="0">
                  <c:v>Industrie</c:v>
                </c:pt>
              </c:strCache>
            </c:strRef>
          </c:tx>
          <c:spPr>
            <a:ln w="22000">
              <a:solidFill>
                <a:srgbClr val="009DDF"/>
              </a:solidFill>
              <a:prstDash val="solid"/>
            </a:ln>
          </c:spPr>
          <c:marker>
            <c:symbol val="none"/>
          </c:marker>
          <c:cat>
            <c:strRef>
              <c:f>Berechnung!zr_dash_1</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Berechnung!zr_dash_3</c:f>
              <c:numCache>
                <c:formatCode>General</c:formatCode>
                <c:ptCount val="60"/>
                <c:pt idx="0">
                  <c:v>47</c:v>
                </c:pt>
                <c:pt idx="1">
                  <c:v>49</c:v>
                </c:pt>
                <c:pt idx="2">
                  <c:v>44</c:v>
                </c:pt>
                <c:pt idx="3">
                  <c:v>42</c:v>
                </c:pt>
                <c:pt idx="4">
                  <c:v>39</c:v>
                </c:pt>
                <c:pt idx="5">
                  <c:v>23</c:v>
                </c:pt>
                <c:pt idx="6">
                  <c:v>-9</c:v>
                </c:pt>
                <c:pt idx="7">
                  <c:v>-40</c:v>
                </c:pt>
                <c:pt idx="8">
                  <c:v>-30</c:v>
                </c:pt>
                <c:pt idx="9">
                  <c:v>-16</c:v>
                </c:pt>
                <c:pt idx="10">
                  <c:v>6</c:v>
                </c:pt>
                <c:pt idx="11">
                  <c:v>27</c:v>
                </c:pt>
                <c:pt idx="12">
                  <c:v>37</c:v>
                </c:pt>
                <c:pt idx="13">
                  <c:v>46</c:v>
                </c:pt>
                <c:pt idx="14">
                  <c:v>43</c:v>
                </c:pt>
                <c:pt idx="15">
                  <c:v>41</c:v>
                </c:pt>
                <c:pt idx="16">
                  <c:v>36</c:v>
                </c:pt>
                <c:pt idx="17">
                  <c:v>25</c:v>
                </c:pt>
                <c:pt idx="18">
                  <c:v>22</c:v>
                </c:pt>
                <c:pt idx="19">
                  <c:v>15</c:v>
                </c:pt>
                <c:pt idx="20">
                  <c:v>23</c:v>
                </c:pt>
                <c:pt idx="21">
                  <c:v>31</c:v>
                </c:pt>
                <c:pt idx="22">
                  <c:v>35</c:v>
                </c:pt>
                <c:pt idx="23">
                  <c:v>28</c:v>
                </c:pt>
                <c:pt idx="24">
                  <c:v>30</c:v>
                </c:pt>
                <c:pt idx="25">
                  <c:v>32</c:v>
                </c:pt>
                <c:pt idx="26">
                  <c:v>30</c:v>
                </c:pt>
                <c:pt idx="27">
                  <c:v>34</c:v>
                </c:pt>
                <c:pt idx="28">
                  <c:v>31</c:v>
                </c:pt>
                <c:pt idx="29">
                  <c:v>32</c:v>
                </c:pt>
                <c:pt idx="30">
                  <c:v>36</c:v>
                </c:pt>
                <c:pt idx="31">
                  <c:v>44</c:v>
                </c:pt>
                <c:pt idx="32">
                  <c:v>48</c:v>
                </c:pt>
                <c:pt idx="33">
                  <c:v>54</c:v>
                </c:pt>
                <c:pt idx="34">
                  <c:v>52</c:v>
                </c:pt>
                <c:pt idx="35">
                  <c:v>47</c:v>
                </c:pt>
                <c:pt idx="36">
                  <c:v>43</c:v>
                </c:pt>
                <c:pt idx="37">
                  <c:v>34</c:v>
                </c:pt>
                <c:pt idx="38">
                  <c:v>16</c:v>
                </c:pt>
                <c:pt idx="39">
                  <c:v>16</c:v>
                </c:pt>
                <c:pt idx="40">
                  <c:v>-23</c:v>
                </c:pt>
                <c:pt idx="41">
                  <c:v>-10</c:v>
                </c:pt>
                <c:pt idx="42">
                  <c:v>6</c:v>
                </c:pt>
                <c:pt idx="43">
                  <c:v>25</c:v>
                </c:pt>
                <c:pt idx="44">
                  <c:v>35</c:v>
                </c:pt>
                <c:pt idx="45">
                  <c:v>35</c:v>
                </c:pt>
                <c:pt idx="46">
                  <c:v>29</c:v>
                </c:pt>
                <c:pt idx="47">
                  <c:v>14</c:v>
                </c:pt>
                <c:pt idx="48">
                  <c:v>21</c:v>
                </c:pt>
                <c:pt idx="49">
                  <c:v>19</c:v>
                </c:pt>
                <c:pt idx="50">
                  <c:v>0</c:v>
                </c:pt>
                <c:pt idx="51">
                  <c:v>-1</c:v>
                </c:pt>
                <c:pt idx="52">
                  <c:v>-5</c:v>
                </c:pt>
                <c:pt idx="53">
                  <c:v>-16</c:v>
                </c:pt>
                <c:pt idx="54">
                  <c:v>-14</c:v>
                </c:pt>
                <c:pt idx="55">
                  <c:v>-11</c:v>
                </c:pt>
                <c:pt idx="56">
                  <c:v>-15</c:v>
                </c:pt>
                <c:pt idx="57">
                  <c:v>-10</c:v>
                </c:pt>
                <c:pt idx="58">
                  <c:v>-7</c:v>
                </c:pt>
                <c:pt idx="59">
                  <c:v>-1</c:v>
                </c:pt>
              </c:numCache>
            </c:numRef>
          </c:val>
          <c:smooth val="0"/>
          <c:extLst>
            <c:ext xmlns:c16="http://schemas.microsoft.com/office/drawing/2014/chart" uri="{C3380CC4-5D6E-409C-BE32-E72D297353CC}">
              <c16:uniqueId val="{00000001-F507-4CD6-88BA-49F170883E8E}"/>
            </c:ext>
          </c:extLst>
        </c:ser>
        <c:ser>
          <c:idx val="2"/>
          <c:order val="2"/>
          <c:tx>
            <c:strRef>
              <c:f>Berechnung!$E$90</c:f>
              <c:strCache>
                <c:ptCount val="1"/>
                <c:pt idx="0">
                  <c:v>Schnitt seit 2003 (A)</c:v>
                </c:pt>
              </c:strCache>
            </c:strRef>
          </c:tx>
          <c:spPr>
            <a:ln w="12000">
              <a:solidFill>
                <a:srgbClr val="B1B3B4"/>
              </a:solidFill>
              <a:prstDash val="dash"/>
            </a:ln>
          </c:spPr>
          <c:marker>
            <c:symbol val="none"/>
          </c:marker>
          <c:cat>
            <c:strRef>
              <c:f>Berechnung!zr_dash_1</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Berechnung!zr_dash_4</c:f>
              <c:numCache>
                <c:formatCode>General</c:formatCode>
                <c:ptCount val="60"/>
                <c:pt idx="0">
                  <c:v>18.585999999999999</c:v>
                </c:pt>
                <c:pt idx="1">
                  <c:v>18.585999999999999</c:v>
                </c:pt>
                <c:pt idx="2">
                  <c:v>18.585999999999999</c:v>
                </c:pt>
                <c:pt idx="3">
                  <c:v>18.585999999999999</c:v>
                </c:pt>
                <c:pt idx="4">
                  <c:v>18.585999999999999</c:v>
                </c:pt>
                <c:pt idx="5">
                  <c:v>18.585999999999999</c:v>
                </c:pt>
                <c:pt idx="6">
                  <c:v>18.585999999999999</c:v>
                </c:pt>
                <c:pt idx="7">
                  <c:v>18.585999999999999</c:v>
                </c:pt>
                <c:pt idx="8">
                  <c:v>18.585999999999999</c:v>
                </c:pt>
                <c:pt idx="9">
                  <c:v>18.585999999999999</c:v>
                </c:pt>
                <c:pt idx="10">
                  <c:v>18.585999999999999</c:v>
                </c:pt>
                <c:pt idx="11">
                  <c:v>18.585999999999999</c:v>
                </c:pt>
                <c:pt idx="12">
                  <c:v>18.585999999999999</c:v>
                </c:pt>
                <c:pt idx="13">
                  <c:v>18.585999999999999</c:v>
                </c:pt>
                <c:pt idx="14">
                  <c:v>18.585999999999999</c:v>
                </c:pt>
                <c:pt idx="15">
                  <c:v>18.585999999999999</c:v>
                </c:pt>
                <c:pt idx="16">
                  <c:v>18.585999999999999</c:v>
                </c:pt>
                <c:pt idx="17">
                  <c:v>18.585999999999999</c:v>
                </c:pt>
                <c:pt idx="18">
                  <c:v>18.585999999999999</c:v>
                </c:pt>
                <c:pt idx="19">
                  <c:v>18.585999999999999</c:v>
                </c:pt>
                <c:pt idx="20">
                  <c:v>18.585999999999999</c:v>
                </c:pt>
                <c:pt idx="21">
                  <c:v>18.585999999999999</c:v>
                </c:pt>
                <c:pt idx="22">
                  <c:v>18.585999999999999</c:v>
                </c:pt>
                <c:pt idx="23">
                  <c:v>18.585999999999999</c:v>
                </c:pt>
                <c:pt idx="24">
                  <c:v>18.585999999999999</c:v>
                </c:pt>
                <c:pt idx="25">
                  <c:v>18.585999999999999</c:v>
                </c:pt>
                <c:pt idx="26">
                  <c:v>18.585999999999999</c:v>
                </c:pt>
                <c:pt idx="27">
                  <c:v>18.585999999999999</c:v>
                </c:pt>
                <c:pt idx="28">
                  <c:v>18.585999999999999</c:v>
                </c:pt>
                <c:pt idx="29">
                  <c:v>18.585999999999999</c:v>
                </c:pt>
                <c:pt idx="30">
                  <c:v>18.585999999999999</c:v>
                </c:pt>
                <c:pt idx="31">
                  <c:v>18.585999999999999</c:v>
                </c:pt>
                <c:pt idx="32">
                  <c:v>18.585999999999999</c:v>
                </c:pt>
                <c:pt idx="33">
                  <c:v>18.585999999999999</c:v>
                </c:pt>
                <c:pt idx="34">
                  <c:v>18.585999999999999</c:v>
                </c:pt>
                <c:pt idx="35">
                  <c:v>18.585999999999999</c:v>
                </c:pt>
                <c:pt idx="36">
                  <c:v>18.585999999999999</c:v>
                </c:pt>
                <c:pt idx="37">
                  <c:v>18.585999999999999</c:v>
                </c:pt>
                <c:pt idx="38">
                  <c:v>18.585999999999999</c:v>
                </c:pt>
                <c:pt idx="39">
                  <c:v>18.585999999999999</c:v>
                </c:pt>
                <c:pt idx="40">
                  <c:v>18.585999999999999</c:v>
                </c:pt>
                <c:pt idx="41">
                  <c:v>18.585999999999999</c:v>
                </c:pt>
                <c:pt idx="42">
                  <c:v>18.585999999999999</c:v>
                </c:pt>
                <c:pt idx="43">
                  <c:v>18.585999999999999</c:v>
                </c:pt>
                <c:pt idx="44">
                  <c:v>18.585999999999999</c:v>
                </c:pt>
                <c:pt idx="45">
                  <c:v>18.585999999999999</c:v>
                </c:pt>
                <c:pt idx="46">
                  <c:v>18.585999999999999</c:v>
                </c:pt>
                <c:pt idx="47">
                  <c:v>18.585999999999999</c:v>
                </c:pt>
                <c:pt idx="48">
                  <c:v>18.585999999999999</c:v>
                </c:pt>
                <c:pt idx="49">
                  <c:v>18.585999999999999</c:v>
                </c:pt>
                <c:pt idx="50">
                  <c:v>18.585999999999999</c:v>
                </c:pt>
                <c:pt idx="51">
                  <c:v>18.585999999999999</c:v>
                </c:pt>
                <c:pt idx="52">
                  <c:v>18.585999999999999</c:v>
                </c:pt>
                <c:pt idx="53">
                  <c:v>18.585999999999999</c:v>
                </c:pt>
                <c:pt idx="54">
                  <c:v>18.585999999999999</c:v>
                </c:pt>
                <c:pt idx="55">
                  <c:v>18.585999999999999</c:v>
                </c:pt>
                <c:pt idx="56">
                  <c:v>18.585999999999999</c:v>
                </c:pt>
                <c:pt idx="57">
                  <c:v>18.585999999999999</c:v>
                </c:pt>
                <c:pt idx="58">
                  <c:v>18.585999999999999</c:v>
                </c:pt>
                <c:pt idx="59">
                  <c:v>18.585999999999999</c:v>
                </c:pt>
              </c:numCache>
            </c:numRef>
          </c:val>
          <c:smooth val="0"/>
          <c:extLst>
            <c:ext xmlns:c16="http://schemas.microsoft.com/office/drawing/2014/chart" uri="{C3380CC4-5D6E-409C-BE32-E72D297353CC}">
              <c16:uniqueId val="{00000002-F507-4CD6-88BA-49F170883E8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0" sourceLinked="0"/>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Geschäftserwartungen (Saldo)</a:t>
            </a:r>
          </a:p>
        </c:rich>
      </c:tx>
      <c:overlay val="0"/>
    </c:title>
    <c:autoTitleDeleted val="0"/>
    <c:plotArea>
      <c:layout/>
      <c:lineChart>
        <c:grouping val="standard"/>
        <c:varyColors val="1"/>
        <c:ser>
          <c:idx val="0"/>
          <c:order val="0"/>
          <c:tx>
            <c:strRef>
              <c:f>Berechnung!$F$90</c:f>
              <c:strCache>
                <c:ptCount val="1"/>
                <c:pt idx="0">
                  <c:v>Alle Branchen</c:v>
                </c:pt>
              </c:strCache>
            </c:strRef>
          </c:tx>
          <c:spPr>
            <a:ln w="22000">
              <a:solidFill>
                <a:srgbClr val="003882"/>
              </a:solidFill>
              <a:prstDash val="solid"/>
            </a:ln>
          </c:spPr>
          <c:marker>
            <c:symbol val="none"/>
          </c:marker>
          <c:cat>
            <c:strRef>
              <c:f>Berechnung!zr_dash_5</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Berechnung!zr_dash_6</c:f>
              <c:numCache>
                <c:formatCode>General</c:formatCode>
                <c:ptCount val="60"/>
                <c:pt idx="0">
                  <c:v>18</c:v>
                </c:pt>
                <c:pt idx="1">
                  <c:v>25</c:v>
                </c:pt>
                <c:pt idx="2">
                  <c:v>15</c:v>
                </c:pt>
                <c:pt idx="3">
                  <c:v>11</c:v>
                </c:pt>
                <c:pt idx="4">
                  <c:v>7</c:v>
                </c:pt>
                <c:pt idx="5">
                  <c:v>-7</c:v>
                </c:pt>
                <c:pt idx="6">
                  <c:v>-35</c:v>
                </c:pt>
                <c:pt idx="7">
                  <c:v>-27</c:v>
                </c:pt>
                <c:pt idx="8">
                  <c:v>0</c:v>
                </c:pt>
                <c:pt idx="9">
                  <c:v>5</c:v>
                </c:pt>
                <c:pt idx="10">
                  <c:v>19</c:v>
                </c:pt>
                <c:pt idx="11">
                  <c:v>22</c:v>
                </c:pt>
                <c:pt idx="12">
                  <c:v>24</c:v>
                </c:pt>
                <c:pt idx="13">
                  <c:v>25</c:v>
                </c:pt>
                <c:pt idx="14">
                  <c:v>7</c:v>
                </c:pt>
                <c:pt idx="15">
                  <c:v>5</c:v>
                </c:pt>
                <c:pt idx="16">
                  <c:v>11</c:v>
                </c:pt>
                <c:pt idx="17">
                  <c:v>-4</c:v>
                </c:pt>
                <c:pt idx="18">
                  <c:v>2</c:v>
                </c:pt>
                <c:pt idx="19">
                  <c:v>9</c:v>
                </c:pt>
                <c:pt idx="20">
                  <c:v>11</c:v>
                </c:pt>
                <c:pt idx="21">
                  <c:v>17</c:v>
                </c:pt>
                <c:pt idx="22">
                  <c:v>18</c:v>
                </c:pt>
                <c:pt idx="23">
                  <c:v>6</c:v>
                </c:pt>
                <c:pt idx="24">
                  <c:v>7</c:v>
                </c:pt>
                <c:pt idx="25">
                  <c:v>13</c:v>
                </c:pt>
                <c:pt idx="26">
                  <c:v>9</c:v>
                </c:pt>
                <c:pt idx="27">
                  <c:v>11</c:v>
                </c:pt>
                <c:pt idx="28">
                  <c:v>12</c:v>
                </c:pt>
                <c:pt idx="29">
                  <c:v>9</c:v>
                </c:pt>
                <c:pt idx="30">
                  <c:v>11</c:v>
                </c:pt>
                <c:pt idx="31">
                  <c:v>16</c:v>
                </c:pt>
                <c:pt idx="32">
                  <c:v>14</c:v>
                </c:pt>
                <c:pt idx="33">
                  <c:v>18</c:v>
                </c:pt>
                <c:pt idx="34">
                  <c:v>17</c:v>
                </c:pt>
                <c:pt idx="35">
                  <c:v>11</c:v>
                </c:pt>
                <c:pt idx="36">
                  <c:v>7</c:v>
                </c:pt>
                <c:pt idx="37">
                  <c:v>5</c:v>
                </c:pt>
                <c:pt idx="38">
                  <c:v>-7</c:v>
                </c:pt>
                <c:pt idx="39">
                  <c:v>-2</c:v>
                </c:pt>
                <c:pt idx="40">
                  <c:v>-44</c:v>
                </c:pt>
                <c:pt idx="41">
                  <c:v>-7</c:v>
                </c:pt>
                <c:pt idx="42">
                  <c:v>-9</c:v>
                </c:pt>
                <c:pt idx="43">
                  <c:v>1</c:v>
                </c:pt>
                <c:pt idx="44">
                  <c:v>10</c:v>
                </c:pt>
                <c:pt idx="45">
                  <c:v>5</c:v>
                </c:pt>
                <c:pt idx="46">
                  <c:v>-14</c:v>
                </c:pt>
                <c:pt idx="47">
                  <c:v>-44</c:v>
                </c:pt>
                <c:pt idx="48">
                  <c:v>-14</c:v>
                </c:pt>
                <c:pt idx="49">
                  <c:v>-5</c:v>
                </c:pt>
                <c:pt idx="50">
                  <c:v>-22</c:v>
                </c:pt>
                <c:pt idx="51">
                  <c:v>-21</c:v>
                </c:pt>
                <c:pt idx="52">
                  <c:v>-10</c:v>
                </c:pt>
                <c:pt idx="53">
                  <c:v>-18</c:v>
                </c:pt>
                <c:pt idx="54">
                  <c:v>-17</c:v>
                </c:pt>
                <c:pt idx="55">
                  <c:v>-10</c:v>
                </c:pt>
                <c:pt idx="56">
                  <c:v>-12</c:v>
                </c:pt>
                <c:pt idx="57">
                  <c:v>-9</c:v>
                </c:pt>
                <c:pt idx="58">
                  <c:v>-20</c:v>
                </c:pt>
                <c:pt idx="59">
                  <c:v>-13</c:v>
                </c:pt>
              </c:numCache>
            </c:numRef>
          </c:val>
          <c:smooth val="0"/>
          <c:extLst>
            <c:ext xmlns:c16="http://schemas.microsoft.com/office/drawing/2014/chart" uri="{C3380CC4-5D6E-409C-BE32-E72D297353CC}">
              <c16:uniqueId val="{00000000-6C24-48F1-993D-9C39A391D1FA}"/>
            </c:ext>
          </c:extLst>
        </c:ser>
        <c:ser>
          <c:idx val="1"/>
          <c:order val="1"/>
          <c:tx>
            <c:strRef>
              <c:f>Berechnung!$G$90</c:f>
              <c:strCache>
                <c:ptCount val="1"/>
                <c:pt idx="0">
                  <c:v>Industrie</c:v>
                </c:pt>
              </c:strCache>
            </c:strRef>
          </c:tx>
          <c:spPr>
            <a:ln w="22000">
              <a:solidFill>
                <a:srgbClr val="009DDF"/>
              </a:solidFill>
              <a:prstDash val="solid"/>
            </a:ln>
          </c:spPr>
          <c:marker>
            <c:symbol val="none"/>
          </c:marker>
          <c:cat>
            <c:strRef>
              <c:f>Berechnung!zr_dash_5</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Berechnung!zr_dash_7</c:f>
              <c:numCache>
                <c:formatCode>General</c:formatCode>
                <c:ptCount val="60"/>
                <c:pt idx="0">
                  <c:v>25</c:v>
                </c:pt>
                <c:pt idx="1">
                  <c:v>27</c:v>
                </c:pt>
                <c:pt idx="2">
                  <c:v>17</c:v>
                </c:pt>
                <c:pt idx="3">
                  <c:v>14</c:v>
                </c:pt>
                <c:pt idx="4">
                  <c:v>8</c:v>
                </c:pt>
                <c:pt idx="5">
                  <c:v>-10</c:v>
                </c:pt>
                <c:pt idx="6">
                  <c:v>-46</c:v>
                </c:pt>
                <c:pt idx="7">
                  <c:v>-31</c:v>
                </c:pt>
                <c:pt idx="8">
                  <c:v>9</c:v>
                </c:pt>
                <c:pt idx="9">
                  <c:v>16</c:v>
                </c:pt>
                <c:pt idx="10">
                  <c:v>31</c:v>
                </c:pt>
                <c:pt idx="11">
                  <c:v>30</c:v>
                </c:pt>
                <c:pt idx="12">
                  <c:v>32</c:v>
                </c:pt>
                <c:pt idx="13">
                  <c:v>30</c:v>
                </c:pt>
                <c:pt idx="14">
                  <c:v>5</c:v>
                </c:pt>
                <c:pt idx="15">
                  <c:v>4</c:v>
                </c:pt>
                <c:pt idx="16">
                  <c:v>12</c:v>
                </c:pt>
                <c:pt idx="17">
                  <c:v>-9</c:v>
                </c:pt>
                <c:pt idx="18">
                  <c:v>2</c:v>
                </c:pt>
                <c:pt idx="19">
                  <c:v>10</c:v>
                </c:pt>
                <c:pt idx="20">
                  <c:v>14</c:v>
                </c:pt>
                <c:pt idx="21">
                  <c:v>24</c:v>
                </c:pt>
                <c:pt idx="22">
                  <c:v>22</c:v>
                </c:pt>
                <c:pt idx="23">
                  <c:v>7</c:v>
                </c:pt>
                <c:pt idx="24">
                  <c:v>11</c:v>
                </c:pt>
                <c:pt idx="25">
                  <c:v>17</c:v>
                </c:pt>
                <c:pt idx="26">
                  <c:v>12</c:v>
                </c:pt>
                <c:pt idx="27">
                  <c:v>16</c:v>
                </c:pt>
                <c:pt idx="28">
                  <c:v>15</c:v>
                </c:pt>
                <c:pt idx="29">
                  <c:v>13</c:v>
                </c:pt>
                <c:pt idx="30">
                  <c:v>17</c:v>
                </c:pt>
                <c:pt idx="31">
                  <c:v>21</c:v>
                </c:pt>
                <c:pt idx="32">
                  <c:v>18</c:v>
                </c:pt>
                <c:pt idx="33">
                  <c:v>24</c:v>
                </c:pt>
                <c:pt idx="34">
                  <c:v>20</c:v>
                </c:pt>
                <c:pt idx="35">
                  <c:v>12</c:v>
                </c:pt>
                <c:pt idx="36">
                  <c:v>6</c:v>
                </c:pt>
                <c:pt idx="37">
                  <c:v>1</c:v>
                </c:pt>
                <c:pt idx="38">
                  <c:v>-15</c:v>
                </c:pt>
                <c:pt idx="39">
                  <c:v>-5</c:v>
                </c:pt>
                <c:pt idx="40">
                  <c:v>-43</c:v>
                </c:pt>
                <c:pt idx="41">
                  <c:v>5</c:v>
                </c:pt>
                <c:pt idx="42">
                  <c:v>8</c:v>
                </c:pt>
                <c:pt idx="43">
                  <c:v>16</c:v>
                </c:pt>
                <c:pt idx="44">
                  <c:v>17</c:v>
                </c:pt>
                <c:pt idx="45">
                  <c:v>12</c:v>
                </c:pt>
                <c:pt idx="46">
                  <c:v>-23</c:v>
                </c:pt>
                <c:pt idx="47">
                  <c:v>-46</c:v>
                </c:pt>
                <c:pt idx="48">
                  <c:v>-12</c:v>
                </c:pt>
                <c:pt idx="49">
                  <c:v>-6</c:v>
                </c:pt>
                <c:pt idx="50">
                  <c:v>-26</c:v>
                </c:pt>
                <c:pt idx="51">
                  <c:v>-21</c:v>
                </c:pt>
                <c:pt idx="52">
                  <c:v>-11</c:v>
                </c:pt>
                <c:pt idx="53">
                  <c:v>-19</c:v>
                </c:pt>
                <c:pt idx="54">
                  <c:v>-17</c:v>
                </c:pt>
                <c:pt idx="55">
                  <c:v>-8</c:v>
                </c:pt>
                <c:pt idx="56">
                  <c:v>-9</c:v>
                </c:pt>
                <c:pt idx="57">
                  <c:v>-4</c:v>
                </c:pt>
                <c:pt idx="58">
                  <c:v>-16</c:v>
                </c:pt>
                <c:pt idx="59">
                  <c:v>-4</c:v>
                </c:pt>
              </c:numCache>
            </c:numRef>
          </c:val>
          <c:smooth val="0"/>
          <c:extLst>
            <c:ext xmlns:c16="http://schemas.microsoft.com/office/drawing/2014/chart" uri="{C3380CC4-5D6E-409C-BE32-E72D297353CC}">
              <c16:uniqueId val="{00000001-6C24-48F1-993D-9C39A391D1FA}"/>
            </c:ext>
          </c:extLst>
        </c:ser>
        <c:ser>
          <c:idx val="2"/>
          <c:order val="2"/>
          <c:tx>
            <c:strRef>
              <c:f>Berechnung!$H$90</c:f>
              <c:strCache>
                <c:ptCount val="1"/>
                <c:pt idx="0">
                  <c:v>Schnitt seit 2003 (A)</c:v>
                </c:pt>
              </c:strCache>
            </c:strRef>
          </c:tx>
          <c:spPr>
            <a:ln w="12000">
              <a:solidFill>
                <a:srgbClr val="B1B3B4"/>
              </a:solidFill>
              <a:prstDash val="dash"/>
            </a:ln>
          </c:spPr>
          <c:marker>
            <c:symbol val="none"/>
          </c:marker>
          <c:cat>
            <c:strRef>
              <c:f>Berechnung!zr_dash_5</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Berechnung!zr_dash_8</c:f>
              <c:numCache>
                <c:formatCode>General</c:formatCode>
                <c:ptCount val="60"/>
                <c:pt idx="0">
                  <c:v>1.986</c:v>
                </c:pt>
                <c:pt idx="1">
                  <c:v>1.986</c:v>
                </c:pt>
                <c:pt idx="2">
                  <c:v>1.986</c:v>
                </c:pt>
                <c:pt idx="3">
                  <c:v>1.986</c:v>
                </c:pt>
                <c:pt idx="4">
                  <c:v>1.986</c:v>
                </c:pt>
                <c:pt idx="5">
                  <c:v>1.986</c:v>
                </c:pt>
                <c:pt idx="6">
                  <c:v>1.986</c:v>
                </c:pt>
                <c:pt idx="7">
                  <c:v>1.986</c:v>
                </c:pt>
                <c:pt idx="8">
                  <c:v>1.986</c:v>
                </c:pt>
                <c:pt idx="9">
                  <c:v>1.986</c:v>
                </c:pt>
                <c:pt idx="10">
                  <c:v>1.986</c:v>
                </c:pt>
                <c:pt idx="11">
                  <c:v>1.986</c:v>
                </c:pt>
                <c:pt idx="12">
                  <c:v>1.986</c:v>
                </c:pt>
                <c:pt idx="13">
                  <c:v>1.986</c:v>
                </c:pt>
                <c:pt idx="14">
                  <c:v>1.986</c:v>
                </c:pt>
                <c:pt idx="15">
                  <c:v>1.986</c:v>
                </c:pt>
                <c:pt idx="16">
                  <c:v>1.986</c:v>
                </c:pt>
                <c:pt idx="17">
                  <c:v>1.986</c:v>
                </c:pt>
                <c:pt idx="18">
                  <c:v>1.986</c:v>
                </c:pt>
                <c:pt idx="19">
                  <c:v>1.986</c:v>
                </c:pt>
                <c:pt idx="20">
                  <c:v>1.986</c:v>
                </c:pt>
                <c:pt idx="21">
                  <c:v>1.986</c:v>
                </c:pt>
                <c:pt idx="22">
                  <c:v>1.986</c:v>
                </c:pt>
                <c:pt idx="23">
                  <c:v>1.986</c:v>
                </c:pt>
                <c:pt idx="24">
                  <c:v>1.986</c:v>
                </c:pt>
                <c:pt idx="25">
                  <c:v>1.986</c:v>
                </c:pt>
                <c:pt idx="26">
                  <c:v>1.986</c:v>
                </c:pt>
                <c:pt idx="27">
                  <c:v>1.986</c:v>
                </c:pt>
                <c:pt idx="28">
                  <c:v>1.986</c:v>
                </c:pt>
                <c:pt idx="29">
                  <c:v>1.986</c:v>
                </c:pt>
                <c:pt idx="30">
                  <c:v>1.986</c:v>
                </c:pt>
                <c:pt idx="31">
                  <c:v>1.986</c:v>
                </c:pt>
                <c:pt idx="32">
                  <c:v>1.986</c:v>
                </c:pt>
                <c:pt idx="33">
                  <c:v>1.986</c:v>
                </c:pt>
                <c:pt idx="34">
                  <c:v>1.986</c:v>
                </c:pt>
                <c:pt idx="35">
                  <c:v>1.986</c:v>
                </c:pt>
                <c:pt idx="36">
                  <c:v>1.986</c:v>
                </c:pt>
                <c:pt idx="37">
                  <c:v>1.986</c:v>
                </c:pt>
                <c:pt idx="38">
                  <c:v>1.986</c:v>
                </c:pt>
                <c:pt idx="39">
                  <c:v>1.986</c:v>
                </c:pt>
                <c:pt idx="40">
                  <c:v>1.986</c:v>
                </c:pt>
                <c:pt idx="41">
                  <c:v>1.986</c:v>
                </c:pt>
                <c:pt idx="42">
                  <c:v>1.986</c:v>
                </c:pt>
                <c:pt idx="43">
                  <c:v>1.986</c:v>
                </c:pt>
                <c:pt idx="44">
                  <c:v>1.986</c:v>
                </c:pt>
                <c:pt idx="45">
                  <c:v>1.986</c:v>
                </c:pt>
                <c:pt idx="46">
                  <c:v>1.986</c:v>
                </c:pt>
                <c:pt idx="47">
                  <c:v>1.986</c:v>
                </c:pt>
                <c:pt idx="48">
                  <c:v>1.986</c:v>
                </c:pt>
                <c:pt idx="49">
                  <c:v>1.986</c:v>
                </c:pt>
                <c:pt idx="50">
                  <c:v>1.986</c:v>
                </c:pt>
                <c:pt idx="51">
                  <c:v>1.986</c:v>
                </c:pt>
                <c:pt idx="52">
                  <c:v>1.986</c:v>
                </c:pt>
                <c:pt idx="53">
                  <c:v>1.986</c:v>
                </c:pt>
                <c:pt idx="54">
                  <c:v>1.986</c:v>
                </c:pt>
                <c:pt idx="55">
                  <c:v>1.986</c:v>
                </c:pt>
                <c:pt idx="56">
                  <c:v>1.986</c:v>
                </c:pt>
                <c:pt idx="57">
                  <c:v>1.986</c:v>
                </c:pt>
                <c:pt idx="58">
                  <c:v>1.986</c:v>
                </c:pt>
                <c:pt idx="59">
                  <c:v>1.986</c:v>
                </c:pt>
              </c:numCache>
            </c:numRef>
          </c:val>
          <c:smooth val="0"/>
          <c:extLst>
            <c:ext xmlns:c16="http://schemas.microsoft.com/office/drawing/2014/chart" uri="{C3380CC4-5D6E-409C-BE32-E72D297353CC}">
              <c16:uniqueId val="{00000002-6C24-48F1-993D-9C39A391D1F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0" sourceLinked="0"/>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Exporterwartungen (Saldo)</a:t>
            </a:r>
          </a:p>
        </c:rich>
      </c:tx>
      <c:overlay val="0"/>
    </c:title>
    <c:autoTitleDeleted val="0"/>
    <c:plotArea>
      <c:layout/>
      <c:lineChart>
        <c:grouping val="standard"/>
        <c:varyColors val="1"/>
        <c:ser>
          <c:idx val="0"/>
          <c:order val="0"/>
          <c:tx>
            <c:strRef>
              <c:f>Berechnung!$I$90</c:f>
              <c:strCache>
                <c:ptCount val="1"/>
                <c:pt idx="0">
                  <c:v>Alle Branchen</c:v>
                </c:pt>
              </c:strCache>
            </c:strRef>
          </c:tx>
          <c:spPr>
            <a:ln w="22000">
              <a:solidFill>
                <a:srgbClr val="003882"/>
              </a:solidFill>
              <a:prstDash val="solid"/>
            </a:ln>
          </c:spPr>
          <c:marker>
            <c:symbol val="none"/>
          </c:marker>
          <c:cat>
            <c:strRef>
              <c:f>Berechnung!zr_dash_9</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Berechnung!zr_dash_10</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0-9343-45F3-974A-CAE3AB59BBE1}"/>
            </c:ext>
          </c:extLst>
        </c:ser>
        <c:ser>
          <c:idx val="1"/>
          <c:order val="1"/>
          <c:tx>
            <c:strRef>
              <c:f>Berechnung!$J$90</c:f>
              <c:strCache>
                <c:ptCount val="1"/>
                <c:pt idx="0">
                  <c:v>Industrie</c:v>
                </c:pt>
              </c:strCache>
            </c:strRef>
          </c:tx>
          <c:spPr>
            <a:ln w="22000">
              <a:solidFill>
                <a:srgbClr val="009DDF"/>
              </a:solidFill>
              <a:prstDash val="solid"/>
            </a:ln>
          </c:spPr>
          <c:marker>
            <c:symbol val="none"/>
          </c:marker>
          <c:cat>
            <c:strRef>
              <c:f>Berechnung!zr_dash_9</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Berechnung!zr_dash_11</c:f>
              <c:numCache>
                <c:formatCode>General</c:formatCode>
                <c:ptCount val="60"/>
                <c:pt idx="0">
                  <c:v>41</c:v>
                </c:pt>
                <c:pt idx="1">
                  <c:v>37</c:v>
                </c:pt>
                <c:pt idx="2">
                  <c:v>37</c:v>
                </c:pt>
                <c:pt idx="3">
                  <c:v>35</c:v>
                </c:pt>
                <c:pt idx="4">
                  <c:v>25</c:v>
                </c:pt>
                <c:pt idx="5">
                  <c:v>13</c:v>
                </c:pt>
                <c:pt idx="6">
                  <c:v>-35</c:v>
                </c:pt>
                <c:pt idx="7">
                  <c:v>-34</c:v>
                </c:pt>
                <c:pt idx="8">
                  <c:v>7</c:v>
                </c:pt>
                <c:pt idx="9">
                  <c:v>24</c:v>
                </c:pt>
                <c:pt idx="10">
                  <c:v>34</c:v>
                </c:pt>
                <c:pt idx="11">
                  <c:v>37</c:v>
                </c:pt>
                <c:pt idx="12">
                  <c:v>41</c:v>
                </c:pt>
                <c:pt idx="13">
                  <c:v>35</c:v>
                </c:pt>
                <c:pt idx="14">
                  <c:v>17</c:v>
                </c:pt>
                <c:pt idx="15">
                  <c:v>17</c:v>
                </c:pt>
                <c:pt idx="16">
                  <c:v>22</c:v>
                </c:pt>
                <c:pt idx="17">
                  <c:v>7</c:v>
                </c:pt>
                <c:pt idx="18">
                  <c:v>16</c:v>
                </c:pt>
                <c:pt idx="19">
                  <c:v>17</c:v>
                </c:pt>
                <c:pt idx="20">
                  <c:v>23</c:v>
                </c:pt>
                <c:pt idx="21">
                  <c:v>30</c:v>
                </c:pt>
                <c:pt idx="22">
                  <c:v>25</c:v>
                </c:pt>
                <c:pt idx="23">
                  <c:v>15</c:v>
                </c:pt>
                <c:pt idx="24">
                  <c:v>17</c:v>
                </c:pt>
                <c:pt idx="25">
                  <c:v>21</c:v>
                </c:pt>
                <c:pt idx="26">
                  <c:v>16</c:v>
                </c:pt>
                <c:pt idx="27">
                  <c:v>20</c:v>
                </c:pt>
                <c:pt idx="28">
                  <c:v>17</c:v>
                </c:pt>
                <c:pt idx="29">
                  <c:v>16</c:v>
                </c:pt>
                <c:pt idx="30">
                  <c:v>23</c:v>
                </c:pt>
                <c:pt idx="31">
                  <c:v>24</c:v>
                </c:pt>
                <c:pt idx="32">
                  <c:v>25</c:v>
                </c:pt>
                <c:pt idx="33">
                  <c:v>31</c:v>
                </c:pt>
                <c:pt idx="34">
                  <c:v>24</c:v>
                </c:pt>
                <c:pt idx="35">
                  <c:v>17</c:v>
                </c:pt>
                <c:pt idx="36">
                  <c:v>13</c:v>
                </c:pt>
                <c:pt idx="37">
                  <c:v>2</c:v>
                </c:pt>
                <c:pt idx="38">
                  <c:v>-12</c:v>
                </c:pt>
                <c:pt idx="39">
                  <c:v>0</c:v>
                </c:pt>
                <c:pt idx="40">
                  <c:v>-56</c:v>
                </c:pt>
                <c:pt idx="41">
                  <c:v>-4</c:v>
                </c:pt>
                <c:pt idx="42">
                  <c:v>9</c:v>
                </c:pt>
                <c:pt idx="43">
                  <c:v>17</c:v>
                </c:pt>
                <c:pt idx="44">
                  <c:v>21</c:v>
                </c:pt>
                <c:pt idx="45">
                  <c:v>20</c:v>
                </c:pt>
                <c:pt idx="46">
                  <c:v>-9</c:v>
                </c:pt>
                <c:pt idx="47">
                  <c:v>-24</c:v>
                </c:pt>
                <c:pt idx="48">
                  <c:v>-1</c:v>
                </c:pt>
                <c:pt idx="49">
                  <c:v>1</c:v>
                </c:pt>
                <c:pt idx="50">
                  <c:v>-15</c:v>
                </c:pt>
                <c:pt idx="51">
                  <c:v>-7</c:v>
                </c:pt>
                <c:pt idx="52">
                  <c:v>-5</c:v>
                </c:pt>
                <c:pt idx="53">
                  <c:v>-12</c:v>
                </c:pt>
                <c:pt idx="54">
                  <c:v>-8</c:v>
                </c:pt>
                <c:pt idx="55">
                  <c:v>-10</c:v>
                </c:pt>
                <c:pt idx="56">
                  <c:v>-10</c:v>
                </c:pt>
                <c:pt idx="57">
                  <c:v>0</c:v>
                </c:pt>
                <c:pt idx="58">
                  <c:v>-10</c:v>
                </c:pt>
                <c:pt idx="59">
                  <c:v>3</c:v>
                </c:pt>
              </c:numCache>
            </c:numRef>
          </c:val>
          <c:smooth val="0"/>
          <c:extLst>
            <c:ext xmlns:c16="http://schemas.microsoft.com/office/drawing/2014/chart" uri="{C3380CC4-5D6E-409C-BE32-E72D297353CC}">
              <c16:uniqueId val="{00000001-9343-45F3-974A-CAE3AB59BBE1}"/>
            </c:ext>
          </c:extLst>
        </c:ser>
        <c:ser>
          <c:idx val="2"/>
          <c:order val="2"/>
          <c:tx>
            <c:strRef>
              <c:f>Berechnung!$K$90</c:f>
              <c:strCache>
                <c:ptCount val="1"/>
                <c:pt idx="0">
                  <c:v>Schnitt seit 2003 (A)</c:v>
                </c:pt>
              </c:strCache>
            </c:strRef>
          </c:tx>
          <c:spPr>
            <a:ln w="12000">
              <a:solidFill>
                <a:srgbClr val="B1B3B4"/>
              </a:solidFill>
              <a:prstDash val="dash"/>
            </a:ln>
          </c:spPr>
          <c:marker>
            <c:symbol val="none"/>
          </c:marker>
          <c:cat>
            <c:strRef>
              <c:f>Berechnung!zr_dash_9</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Berechnung!zr_dash_12</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2-9343-45F3-974A-CAE3AB59BBE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0" sourceLinked="0"/>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Investitionsabsichten (Saldo)</a:t>
            </a:r>
          </a:p>
        </c:rich>
      </c:tx>
      <c:overlay val="0"/>
    </c:title>
    <c:autoTitleDeleted val="0"/>
    <c:plotArea>
      <c:layout/>
      <c:lineChart>
        <c:grouping val="standard"/>
        <c:varyColors val="1"/>
        <c:ser>
          <c:idx val="0"/>
          <c:order val="0"/>
          <c:tx>
            <c:strRef>
              <c:f>Berechnung!$L$90</c:f>
              <c:strCache>
                <c:ptCount val="1"/>
                <c:pt idx="0">
                  <c:v>Alle Branchen</c:v>
                </c:pt>
              </c:strCache>
            </c:strRef>
          </c:tx>
          <c:spPr>
            <a:ln w="22000">
              <a:solidFill>
                <a:srgbClr val="003882"/>
              </a:solidFill>
              <a:prstDash val="solid"/>
            </a:ln>
          </c:spPr>
          <c:marker>
            <c:symbol val="none"/>
          </c:marker>
          <c:cat>
            <c:strRef>
              <c:f>Berechnung!zr_dash_13</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Berechnung!zr_dash_14</c:f>
              <c:numCache>
                <c:formatCode>General</c:formatCode>
                <c:ptCount val="60"/>
                <c:pt idx="0">
                  <c:v>13</c:v>
                </c:pt>
                <c:pt idx="1">
                  <c:v>17</c:v>
                </c:pt>
                <c:pt idx="2">
                  <c:v>14</c:v>
                </c:pt>
                <c:pt idx="3">
                  <c:v>9</c:v>
                </c:pt>
                <c:pt idx="4">
                  <c:v>6</c:v>
                </c:pt>
                <c:pt idx="5">
                  <c:v>-2</c:v>
                </c:pt>
                <c:pt idx="6">
                  <c:v>-23</c:v>
                </c:pt>
                <c:pt idx="7">
                  <c:v>-30</c:v>
                </c:pt>
                <c:pt idx="8">
                  <c:v>-17</c:v>
                </c:pt>
                <c:pt idx="9">
                  <c:v>-6</c:v>
                </c:pt>
                <c:pt idx="10">
                  <c:v>4</c:v>
                </c:pt>
                <c:pt idx="11">
                  <c:v>14</c:v>
                </c:pt>
                <c:pt idx="12">
                  <c:v>17</c:v>
                </c:pt>
                <c:pt idx="13">
                  <c:v>18</c:v>
                </c:pt>
                <c:pt idx="14">
                  <c:v>12</c:v>
                </c:pt>
                <c:pt idx="15">
                  <c:v>8</c:v>
                </c:pt>
                <c:pt idx="16">
                  <c:v>11</c:v>
                </c:pt>
                <c:pt idx="17">
                  <c:v>3</c:v>
                </c:pt>
                <c:pt idx="18">
                  <c:v>3</c:v>
                </c:pt>
                <c:pt idx="19">
                  <c:v>3</c:v>
                </c:pt>
                <c:pt idx="20">
                  <c:v>8</c:v>
                </c:pt>
                <c:pt idx="21">
                  <c:v>10</c:v>
                </c:pt>
                <c:pt idx="22">
                  <c:v>11</c:v>
                </c:pt>
                <c:pt idx="23">
                  <c:v>8</c:v>
                </c:pt>
                <c:pt idx="24">
                  <c:v>9</c:v>
                </c:pt>
                <c:pt idx="25">
                  <c:v>12</c:v>
                </c:pt>
                <c:pt idx="26">
                  <c:v>11</c:v>
                </c:pt>
                <c:pt idx="27">
                  <c:v>12</c:v>
                </c:pt>
                <c:pt idx="28">
                  <c:v>12</c:v>
                </c:pt>
                <c:pt idx="29">
                  <c:v>13</c:v>
                </c:pt>
                <c:pt idx="30">
                  <c:v>14</c:v>
                </c:pt>
                <c:pt idx="31">
                  <c:v>17</c:v>
                </c:pt>
                <c:pt idx="32">
                  <c:v>19</c:v>
                </c:pt>
                <c:pt idx="33">
                  <c:v>22</c:v>
                </c:pt>
                <c:pt idx="34">
                  <c:v>21</c:v>
                </c:pt>
                <c:pt idx="35">
                  <c:v>19</c:v>
                </c:pt>
                <c:pt idx="36">
                  <c:v>16</c:v>
                </c:pt>
                <c:pt idx="37">
                  <c:v>14</c:v>
                </c:pt>
                <c:pt idx="38">
                  <c:v>5</c:v>
                </c:pt>
                <c:pt idx="39">
                  <c:v>6</c:v>
                </c:pt>
                <c:pt idx="40">
                  <c:v>-37</c:v>
                </c:pt>
                <c:pt idx="41">
                  <c:v>-15</c:v>
                </c:pt>
                <c:pt idx="42">
                  <c:v>-8</c:v>
                </c:pt>
                <c:pt idx="43">
                  <c:v>0</c:v>
                </c:pt>
                <c:pt idx="44">
                  <c:v>13</c:v>
                </c:pt>
                <c:pt idx="45">
                  <c:v>12</c:v>
                </c:pt>
                <c:pt idx="46">
                  <c:v>6</c:v>
                </c:pt>
                <c:pt idx="47">
                  <c:v>-10</c:v>
                </c:pt>
                <c:pt idx="48">
                  <c:v>1</c:v>
                </c:pt>
                <c:pt idx="49">
                  <c:v>4</c:v>
                </c:pt>
                <c:pt idx="50">
                  <c:v>-7</c:v>
                </c:pt>
                <c:pt idx="51">
                  <c:v>-9</c:v>
                </c:pt>
                <c:pt idx="52">
                  <c:v>-7</c:v>
                </c:pt>
                <c:pt idx="53">
                  <c:v>-10</c:v>
                </c:pt>
                <c:pt idx="54">
                  <c:v>-10</c:v>
                </c:pt>
                <c:pt idx="55">
                  <c:v>-7</c:v>
                </c:pt>
                <c:pt idx="56">
                  <c:v>-9</c:v>
                </c:pt>
                <c:pt idx="57">
                  <c:v>-8</c:v>
                </c:pt>
                <c:pt idx="58">
                  <c:v>-11</c:v>
                </c:pt>
                <c:pt idx="59">
                  <c:v>-6</c:v>
                </c:pt>
              </c:numCache>
            </c:numRef>
          </c:val>
          <c:smooth val="0"/>
          <c:extLst>
            <c:ext xmlns:c16="http://schemas.microsoft.com/office/drawing/2014/chart" uri="{C3380CC4-5D6E-409C-BE32-E72D297353CC}">
              <c16:uniqueId val="{00000000-F65B-4EF7-97FC-74DA88CB881C}"/>
            </c:ext>
          </c:extLst>
        </c:ser>
        <c:ser>
          <c:idx val="1"/>
          <c:order val="1"/>
          <c:tx>
            <c:strRef>
              <c:f>Berechnung!$M$90</c:f>
              <c:strCache>
                <c:ptCount val="1"/>
                <c:pt idx="0">
                  <c:v>Industrie</c:v>
                </c:pt>
              </c:strCache>
            </c:strRef>
          </c:tx>
          <c:spPr>
            <a:ln w="22000">
              <a:solidFill>
                <a:srgbClr val="009DDF"/>
              </a:solidFill>
              <a:prstDash val="solid"/>
            </a:ln>
          </c:spPr>
          <c:marker>
            <c:symbol val="none"/>
          </c:marker>
          <c:cat>
            <c:strRef>
              <c:f>Berechnung!zr_dash_13</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Berechnung!zr_dash_15</c:f>
              <c:numCache>
                <c:formatCode>General</c:formatCode>
                <c:ptCount val="60"/>
                <c:pt idx="0">
                  <c:v>21</c:v>
                </c:pt>
                <c:pt idx="1">
                  <c:v>24</c:v>
                </c:pt>
                <c:pt idx="2">
                  <c:v>21</c:v>
                </c:pt>
                <c:pt idx="3">
                  <c:v>15</c:v>
                </c:pt>
                <c:pt idx="4">
                  <c:v>13</c:v>
                </c:pt>
                <c:pt idx="5">
                  <c:v>1</c:v>
                </c:pt>
                <c:pt idx="6">
                  <c:v>-32</c:v>
                </c:pt>
                <c:pt idx="7">
                  <c:v>-44</c:v>
                </c:pt>
                <c:pt idx="8">
                  <c:v>-25</c:v>
                </c:pt>
                <c:pt idx="9">
                  <c:v>-8</c:v>
                </c:pt>
                <c:pt idx="10">
                  <c:v>8</c:v>
                </c:pt>
                <c:pt idx="11">
                  <c:v>22</c:v>
                </c:pt>
                <c:pt idx="12">
                  <c:v>27</c:v>
                </c:pt>
                <c:pt idx="13">
                  <c:v>28</c:v>
                </c:pt>
                <c:pt idx="14">
                  <c:v>15</c:v>
                </c:pt>
                <c:pt idx="15">
                  <c:v>14</c:v>
                </c:pt>
                <c:pt idx="16">
                  <c:v>14</c:v>
                </c:pt>
                <c:pt idx="17">
                  <c:v>2</c:v>
                </c:pt>
                <c:pt idx="18">
                  <c:v>2</c:v>
                </c:pt>
                <c:pt idx="19">
                  <c:v>3</c:v>
                </c:pt>
                <c:pt idx="20">
                  <c:v>8</c:v>
                </c:pt>
                <c:pt idx="21">
                  <c:v>12</c:v>
                </c:pt>
                <c:pt idx="22">
                  <c:v>13</c:v>
                </c:pt>
                <c:pt idx="23">
                  <c:v>9</c:v>
                </c:pt>
                <c:pt idx="24">
                  <c:v>11</c:v>
                </c:pt>
                <c:pt idx="25">
                  <c:v>13</c:v>
                </c:pt>
                <c:pt idx="26">
                  <c:v>11</c:v>
                </c:pt>
                <c:pt idx="27">
                  <c:v>12</c:v>
                </c:pt>
                <c:pt idx="28">
                  <c:v>13</c:v>
                </c:pt>
                <c:pt idx="29">
                  <c:v>12</c:v>
                </c:pt>
                <c:pt idx="30">
                  <c:v>14</c:v>
                </c:pt>
                <c:pt idx="31">
                  <c:v>21</c:v>
                </c:pt>
                <c:pt idx="32">
                  <c:v>24</c:v>
                </c:pt>
                <c:pt idx="33">
                  <c:v>27</c:v>
                </c:pt>
                <c:pt idx="34">
                  <c:v>26</c:v>
                </c:pt>
                <c:pt idx="35">
                  <c:v>22</c:v>
                </c:pt>
                <c:pt idx="36">
                  <c:v>16</c:v>
                </c:pt>
                <c:pt idx="37">
                  <c:v>10</c:v>
                </c:pt>
                <c:pt idx="38">
                  <c:v>-4</c:v>
                </c:pt>
                <c:pt idx="39">
                  <c:v>-1</c:v>
                </c:pt>
                <c:pt idx="40">
                  <c:v>-41</c:v>
                </c:pt>
                <c:pt idx="41">
                  <c:v>-17</c:v>
                </c:pt>
                <c:pt idx="42">
                  <c:v>-1</c:v>
                </c:pt>
                <c:pt idx="43">
                  <c:v>13</c:v>
                </c:pt>
                <c:pt idx="44">
                  <c:v>21</c:v>
                </c:pt>
                <c:pt idx="45">
                  <c:v>23</c:v>
                </c:pt>
                <c:pt idx="46">
                  <c:v>9</c:v>
                </c:pt>
                <c:pt idx="47">
                  <c:v>-10</c:v>
                </c:pt>
                <c:pt idx="48">
                  <c:v>3</c:v>
                </c:pt>
                <c:pt idx="49">
                  <c:v>7</c:v>
                </c:pt>
                <c:pt idx="50">
                  <c:v>-12</c:v>
                </c:pt>
                <c:pt idx="51">
                  <c:v>-11</c:v>
                </c:pt>
                <c:pt idx="52">
                  <c:v>-10</c:v>
                </c:pt>
                <c:pt idx="53">
                  <c:v>-17</c:v>
                </c:pt>
                <c:pt idx="54">
                  <c:v>-17</c:v>
                </c:pt>
                <c:pt idx="55">
                  <c:v>-12</c:v>
                </c:pt>
                <c:pt idx="56">
                  <c:v>-16</c:v>
                </c:pt>
                <c:pt idx="57">
                  <c:v>-13</c:v>
                </c:pt>
                <c:pt idx="58">
                  <c:v>-15</c:v>
                </c:pt>
                <c:pt idx="59">
                  <c:v>-9</c:v>
                </c:pt>
              </c:numCache>
            </c:numRef>
          </c:val>
          <c:smooth val="0"/>
          <c:extLst>
            <c:ext xmlns:c16="http://schemas.microsoft.com/office/drawing/2014/chart" uri="{C3380CC4-5D6E-409C-BE32-E72D297353CC}">
              <c16:uniqueId val="{00000001-F65B-4EF7-97FC-74DA88CB881C}"/>
            </c:ext>
          </c:extLst>
        </c:ser>
        <c:ser>
          <c:idx val="2"/>
          <c:order val="2"/>
          <c:tx>
            <c:strRef>
              <c:f>Berechnung!$N$90</c:f>
              <c:strCache>
                <c:ptCount val="1"/>
                <c:pt idx="0">
                  <c:v>Schnitt seit 2003 (A)</c:v>
                </c:pt>
              </c:strCache>
            </c:strRef>
          </c:tx>
          <c:spPr>
            <a:ln w="12000">
              <a:solidFill>
                <a:srgbClr val="B1B3B4"/>
              </a:solidFill>
              <a:prstDash val="dash"/>
            </a:ln>
          </c:spPr>
          <c:marker>
            <c:symbol val="none"/>
          </c:marker>
          <c:cat>
            <c:strRef>
              <c:f>Berechnung!zr_dash_13</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Berechnung!zr_dash_16</c:f>
              <c:numCache>
                <c:formatCode>General</c:formatCode>
                <c:ptCount val="60"/>
                <c:pt idx="0">
                  <c:v>2.2429999999999999</c:v>
                </c:pt>
                <c:pt idx="1">
                  <c:v>2.2429999999999999</c:v>
                </c:pt>
                <c:pt idx="2">
                  <c:v>2.2429999999999999</c:v>
                </c:pt>
                <c:pt idx="3">
                  <c:v>2.2429999999999999</c:v>
                </c:pt>
                <c:pt idx="4">
                  <c:v>2.2429999999999999</c:v>
                </c:pt>
                <c:pt idx="5">
                  <c:v>2.2429999999999999</c:v>
                </c:pt>
                <c:pt idx="6">
                  <c:v>2.2429999999999999</c:v>
                </c:pt>
                <c:pt idx="7">
                  <c:v>2.2429999999999999</c:v>
                </c:pt>
                <c:pt idx="8">
                  <c:v>2.2429999999999999</c:v>
                </c:pt>
                <c:pt idx="9">
                  <c:v>2.2429999999999999</c:v>
                </c:pt>
                <c:pt idx="10">
                  <c:v>2.2429999999999999</c:v>
                </c:pt>
                <c:pt idx="11">
                  <c:v>2.2429999999999999</c:v>
                </c:pt>
                <c:pt idx="12">
                  <c:v>2.2429999999999999</c:v>
                </c:pt>
                <c:pt idx="13">
                  <c:v>2.2429999999999999</c:v>
                </c:pt>
                <c:pt idx="14">
                  <c:v>2.2429999999999999</c:v>
                </c:pt>
                <c:pt idx="15">
                  <c:v>2.2429999999999999</c:v>
                </c:pt>
                <c:pt idx="16">
                  <c:v>2.2429999999999999</c:v>
                </c:pt>
                <c:pt idx="17">
                  <c:v>2.2429999999999999</c:v>
                </c:pt>
                <c:pt idx="18">
                  <c:v>2.2429999999999999</c:v>
                </c:pt>
                <c:pt idx="19">
                  <c:v>2.2429999999999999</c:v>
                </c:pt>
                <c:pt idx="20">
                  <c:v>2.2429999999999999</c:v>
                </c:pt>
                <c:pt idx="21">
                  <c:v>2.2429999999999999</c:v>
                </c:pt>
                <c:pt idx="22">
                  <c:v>2.2429999999999999</c:v>
                </c:pt>
                <c:pt idx="23">
                  <c:v>2.2429999999999999</c:v>
                </c:pt>
                <c:pt idx="24">
                  <c:v>2.2429999999999999</c:v>
                </c:pt>
                <c:pt idx="25">
                  <c:v>2.2429999999999999</c:v>
                </c:pt>
                <c:pt idx="26">
                  <c:v>2.2429999999999999</c:v>
                </c:pt>
                <c:pt idx="27">
                  <c:v>2.2429999999999999</c:v>
                </c:pt>
                <c:pt idx="28">
                  <c:v>2.2429999999999999</c:v>
                </c:pt>
                <c:pt idx="29">
                  <c:v>2.2429999999999999</c:v>
                </c:pt>
                <c:pt idx="30">
                  <c:v>2.2429999999999999</c:v>
                </c:pt>
                <c:pt idx="31">
                  <c:v>2.2429999999999999</c:v>
                </c:pt>
                <c:pt idx="32">
                  <c:v>2.2429999999999999</c:v>
                </c:pt>
                <c:pt idx="33">
                  <c:v>2.2429999999999999</c:v>
                </c:pt>
                <c:pt idx="34">
                  <c:v>2.2429999999999999</c:v>
                </c:pt>
                <c:pt idx="35">
                  <c:v>2.2429999999999999</c:v>
                </c:pt>
                <c:pt idx="36">
                  <c:v>2.2429999999999999</c:v>
                </c:pt>
                <c:pt idx="37">
                  <c:v>2.2429999999999999</c:v>
                </c:pt>
                <c:pt idx="38">
                  <c:v>2.2429999999999999</c:v>
                </c:pt>
                <c:pt idx="39">
                  <c:v>2.2429999999999999</c:v>
                </c:pt>
                <c:pt idx="40">
                  <c:v>2.2429999999999999</c:v>
                </c:pt>
                <c:pt idx="41">
                  <c:v>2.2429999999999999</c:v>
                </c:pt>
                <c:pt idx="42">
                  <c:v>2.2429999999999999</c:v>
                </c:pt>
                <c:pt idx="43">
                  <c:v>2.2429999999999999</c:v>
                </c:pt>
                <c:pt idx="44">
                  <c:v>2.2429999999999999</c:v>
                </c:pt>
                <c:pt idx="45">
                  <c:v>2.2429999999999999</c:v>
                </c:pt>
                <c:pt idx="46">
                  <c:v>2.2429999999999999</c:v>
                </c:pt>
                <c:pt idx="47">
                  <c:v>2.2429999999999999</c:v>
                </c:pt>
                <c:pt idx="48">
                  <c:v>2.2429999999999999</c:v>
                </c:pt>
                <c:pt idx="49">
                  <c:v>2.2429999999999999</c:v>
                </c:pt>
                <c:pt idx="50">
                  <c:v>2.2429999999999999</c:v>
                </c:pt>
                <c:pt idx="51">
                  <c:v>2.2429999999999999</c:v>
                </c:pt>
                <c:pt idx="52">
                  <c:v>2.2429999999999999</c:v>
                </c:pt>
                <c:pt idx="53">
                  <c:v>2.2429999999999999</c:v>
                </c:pt>
                <c:pt idx="54">
                  <c:v>2.2429999999999999</c:v>
                </c:pt>
                <c:pt idx="55">
                  <c:v>2.2429999999999999</c:v>
                </c:pt>
                <c:pt idx="56">
                  <c:v>2.2429999999999999</c:v>
                </c:pt>
                <c:pt idx="57">
                  <c:v>2.2429999999999999</c:v>
                </c:pt>
                <c:pt idx="58">
                  <c:v>2.2429999999999999</c:v>
                </c:pt>
                <c:pt idx="59">
                  <c:v>2.2429999999999999</c:v>
                </c:pt>
              </c:numCache>
            </c:numRef>
          </c:val>
          <c:smooth val="0"/>
          <c:extLst>
            <c:ext xmlns:c16="http://schemas.microsoft.com/office/drawing/2014/chart" uri="{C3380CC4-5D6E-409C-BE32-E72D297353CC}">
              <c16:uniqueId val="{00000002-F65B-4EF7-97FC-74DA88CB881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0" sourceLinked="0"/>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Beschäftigungsabsichten (Saldo)</a:t>
            </a:r>
          </a:p>
        </c:rich>
      </c:tx>
      <c:overlay val="0"/>
    </c:title>
    <c:autoTitleDeleted val="0"/>
    <c:plotArea>
      <c:layout/>
      <c:lineChart>
        <c:grouping val="standard"/>
        <c:varyColors val="1"/>
        <c:ser>
          <c:idx val="0"/>
          <c:order val="0"/>
          <c:tx>
            <c:strRef>
              <c:f>Berechnung!$O$90</c:f>
              <c:strCache>
                <c:ptCount val="1"/>
                <c:pt idx="0">
                  <c:v>Alle Branchen</c:v>
                </c:pt>
              </c:strCache>
            </c:strRef>
          </c:tx>
          <c:spPr>
            <a:ln w="22000">
              <a:solidFill>
                <a:srgbClr val="003882"/>
              </a:solidFill>
              <a:prstDash val="solid"/>
            </a:ln>
          </c:spPr>
          <c:marker>
            <c:symbol val="none"/>
          </c:marker>
          <c:cat>
            <c:strRef>
              <c:f>Berechnung!zr_dash_17</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Berechnung!zr_dash_18</c:f>
              <c:numCache>
                <c:formatCode>General</c:formatCode>
                <c:ptCount val="60"/>
                <c:pt idx="0">
                  <c:v>9</c:v>
                </c:pt>
                <c:pt idx="1">
                  <c:v>14</c:v>
                </c:pt>
                <c:pt idx="2">
                  <c:v>9</c:v>
                </c:pt>
                <c:pt idx="3">
                  <c:v>8</c:v>
                </c:pt>
                <c:pt idx="4">
                  <c:v>6</c:v>
                </c:pt>
                <c:pt idx="5">
                  <c:v>-2</c:v>
                </c:pt>
                <c:pt idx="6">
                  <c:v>-20</c:v>
                </c:pt>
                <c:pt idx="7">
                  <c:v>-25</c:v>
                </c:pt>
                <c:pt idx="8">
                  <c:v>-15</c:v>
                </c:pt>
                <c:pt idx="9">
                  <c:v>-9</c:v>
                </c:pt>
                <c:pt idx="10">
                  <c:v>1</c:v>
                </c:pt>
                <c:pt idx="11">
                  <c:v>7</c:v>
                </c:pt>
                <c:pt idx="12">
                  <c:v>12</c:v>
                </c:pt>
                <c:pt idx="13">
                  <c:v>14</c:v>
                </c:pt>
                <c:pt idx="14">
                  <c:v>9</c:v>
                </c:pt>
                <c:pt idx="15">
                  <c:v>8</c:v>
                </c:pt>
                <c:pt idx="16">
                  <c:v>9</c:v>
                </c:pt>
                <c:pt idx="17">
                  <c:v>1</c:v>
                </c:pt>
                <c:pt idx="18">
                  <c:v>1</c:v>
                </c:pt>
                <c:pt idx="19">
                  <c:v>1</c:v>
                </c:pt>
                <c:pt idx="20">
                  <c:v>4</c:v>
                </c:pt>
                <c:pt idx="21">
                  <c:v>6</c:v>
                </c:pt>
                <c:pt idx="22">
                  <c:v>6</c:v>
                </c:pt>
                <c:pt idx="23">
                  <c:v>2</c:v>
                </c:pt>
                <c:pt idx="24">
                  <c:v>3</c:v>
                </c:pt>
                <c:pt idx="25">
                  <c:v>5</c:v>
                </c:pt>
                <c:pt idx="26">
                  <c:v>5</c:v>
                </c:pt>
                <c:pt idx="27">
                  <c:v>6</c:v>
                </c:pt>
                <c:pt idx="28">
                  <c:v>6</c:v>
                </c:pt>
                <c:pt idx="29">
                  <c:v>6</c:v>
                </c:pt>
                <c:pt idx="30">
                  <c:v>7</c:v>
                </c:pt>
                <c:pt idx="31">
                  <c:v>9</c:v>
                </c:pt>
                <c:pt idx="32">
                  <c:v>11</c:v>
                </c:pt>
                <c:pt idx="33">
                  <c:v>14</c:v>
                </c:pt>
                <c:pt idx="34">
                  <c:v>12</c:v>
                </c:pt>
                <c:pt idx="35">
                  <c:v>11</c:v>
                </c:pt>
                <c:pt idx="36">
                  <c:v>10</c:v>
                </c:pt>
                <c:pt idx="37">
                  <c:v>6</c:v>
                </c:pt>
                <c:pt idx="38">
                  <c:v>0</c:v>
                </c:pt>
                <c:pt idx="39">
                  <c:v>0</c:v>
                </c:pt>
                <c:pt idx="40">
                  <c:v>-28</c:v>
                </c:pt>
                <c:pt idx="41">
                  <c:v>-13</c:v>
                </c:pt>
                <c:pt idx="42">
                  <c:v>-9</c:v>
                </c:pt>
                <c:pt idx="43">
                  <c:v>-3</c:v>
                </c:pt>
                <c:pt idx="44">
                  <c:v>9</c:v>
                </c:pt>
                <c:pt idx="45">
                  <c:v>8</c:v>
                </c:pt>
                <c:pt idx="46">
                  <c:v>5</c:v>
                </c:pt>
                <c:pt idx="47">
                  <c:v>-7</c:v>
                </c:pt>
                <c:pt idx="48">
                  <c:v>2</c:v>
                </c:pt>
                <c:pt idx="49">
                  <c:v>2</c:v>
                </c:pt>
                <c:pt idx="50">
                  <c:v>-9</c:v>
                </c:pt>
                <c:pt idx="51">
                  <c:v>-8</c:v>
                </c:pt>
                <c:pt idx="52">
                  <c:v>-7</c:v>
                </c:pt>
                <c:pt idx="53">
                  <c:v>-12</c:v>
                </c:pt>
                <c:pt idx="54">
                  <c:v>-10</c:v>
                </c:pt>
                <c:pt idx="55">
                  <c:v>-9</c:v>
                </c:pt>
                <c:pt idx="56">
                  <c:v>-13</c:v>
                </c:pt>
                <c:pt idx="57">
                  <c:v>-11</c:v>
                </c:pt>
                <c:pt idx="58">
                  <c:v>-14</c:v>
                </c:pt>
                <c:pt idx="59">
                  <c:v>-13</c:v>
                </c:pt>
              </c:numCache>
            </c:numRef>
          </c:val>
          <c:smooth val="0"/>
          <c:extLst>
            <c:ext xmlns:c16="http://schemas.microsoft.com/office/drawing/2014/chart" uri="{C3380CC4-5D6E-409C-BE32-E72D297353CC}">
              <c16:uniqueId val="{00000000-3797-4823-8BB1-35D541ADECDA}"/>
            </c:ext>
          </c:extLst>
        </c:ser>
        <c:ser>
          <c:idx val="1"/>
          <c:order val="1"/>
          <c:tx>
            <c:strRef>
              <c:f>Berechnung!$P$90</c:f>
              <c:strCache>
                <c:ptCount val="1"/>
                <c:pt idx="0">
                  <c:v>Industrie</c:v>
                </c:pt>
              </c:strCache>
            </c:strRef>
          </c:tx>
          <c:spPr>
            <a:ln w="22000">
              <a:solidFill>
                <a:srgbClr val="009DDF"/>
              </a:solidFill>
              <a:prstDash val="solid"/>
            </a:ln>
          </c:spPr>
          <c:marker>
            <c:symbol val="none"/>
          </c:marker>
          <c:cat>
            <c:strRef>
              <c:f>Berechnung!zr_dash_17</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Berechnung!zr_dash_19</c:f>
              <c:numCache>
                <c:formatCode>General</c:formatCode>
                <c:ptCount val="60"/>
                <c:pt idx="0">
                  <c:v>11</c:v>
                </c:pt>
                <c:pt idx="1">
                  <c:v>17</c:v>
                </c:pt>
                <c:pt idx="2">
                  <c:v>13</c:v>
                </c:pt>
                <c:pt idx="3">
                  <c:v>11</c:v>
                </c:pt>
                <c:pt idx="4">
                  <c:v>8</c:v>
                </c:pt>
                <c:pt idx="5">
                  <c:v>-5</c:v>
                </c:pt>
                <c:pt idx="6">
                  <c:v>-33</c:v>
                </c:pt>
                <c:pt idx="7">
                  <c:v>-43</c:v>
                </c:pt>
                <c:pt idx="8">
                  <c:v>-30</c:v>
                </c:pt>
                <c:pt idx="9">
                  <c:v>-19</c:v>
                </c:pt>
                <c:pt idx="10">
                  <c:v>-4</c:v>
                </c:pt>
                <c:pt idx="11">
                  <c:v>9</c:v>
                </c:pt>
                <c:pt idx="12">
                  <c:v>16</c:v>
                </c:pt>
                <c:pt idx="13">
                  <c:v>18</c:v>
                </c:pt>
                <c:pt idx="14">
                  <c:v>10</c:v>
                </c:pt>
                <c:pt idx="15">
                  <c:v>8</c:v>
                </c:pt>
                <c:pt idx="16">
                  <c:v>7</c:v>
                </c:pt>
                <c:pt idx="17">
                  <c:v>-4</c:v>
                </c:pt>
                <c:pt idx="18">
                  <c:v>-4</c:v>
                </c:pt>
                <c:pt idx="19">
                  <c:v>-2</c:v>
                </c:pt>
                <c:pt idx="20">
                  <c:v>1</c:v>
                </c:pt>
                <c:pt idx="21">
                  <c:v>5</c:v>
                </c:pt>
                <c:pt idx="22">
                  <c:v>5</c:v>
                </c:pt>
                <c:pt idx="23">
                  <c:v>0</c:v>
                </c:pt>
                <c:pt idx="24">
                  <c:v>2</c:v>
                </c:pt>
                <c:pt idx="25">
                  <c:v>3</c:v>
                </c:pt>
                <c:pt idx="26">
                  <c:v>2</c:v>
                </c:pt>
                <c:pt idx="27">
                  <c:v>4</c:v>
                </c:pt>
                <c:pt idx="28">
                  <c:v>4</c:v>
                </c:pt>
                <c:pt idx="29">
                  <c:v>5</c:v>
                </c:pt>
                <c:pt idx="30">
                  <c:v>7</c:v>
                </c:pt>
                <c:pt idx="31">
                  <c:v>12</c:v>
                </c:pt>
                <c:pt idx="32">
                  <c:v>16</c:v>
                </c:pt>
                <c:pt idx="33">
                  <c:v>21</c:v>
                </c:pt>
                <c:pt idx="34">
                  <c:v>17</c:v>
                </c:pt>
                <c:pt idx="35">
                  <c:v>15</c:v>
                </c:pt>
                <c:pt idx="36">
                  <c:v>10</c:v>
                </c:pt>
                <c:pt idx="37">
                  <c:v>2</c:v>
                </c:pt>
                <c:pt idx="38">
                  <c:v>-10</c:v>
                </c:pt>
                <c:pt idx="39">
                  <c:v>-10</c:v>
                </c:pt>
                <c:pt idx="40">
                  <c:v>-33</c:v>
                </c:pt>
                <c:pt idx="41">
                  <c:v>-21</c:v>
                </c:pt>
                <c:pt idx="42">
                  <c:v>-9</c:v>
                </c:pt>
                <c:pt idx="43">
                  <c:v>3</c:v>
                </c:pt>
                <c:pt idx="44">
                  <c:v>14</c:v>
                </c:pt>
                <c:pt idx="45">
                  <c:v>15</c:v>
                </c:pt>
                <c:pt idx="46">
                  <c:v>8</c:v>
                </c:pt>
                <c:pt idx="47">
                  <c:v>-7</c:v>
                </c:pt>
                <c:pt idx="48">
                  <c:v>4</c:v>
                </c:pt>
                <c:pt idx="49">
                  <c:v>2</c:v>
                </c:pt>
                <c:pt idx="50">
                  <c:v>-12</c:v>
                </c:pt>
                <c:pt idx="51">
                  <c:v>-13</c:v>
                </c:pt>
                <c:pt idx="52">
                  <c:v>-14</c:v>
                </c:pt>
                <c:pt idx="53">
                  <c:v>-20</c:v>
                </c:pt>
                <c:pt idx="54">
                  <c:v>-19</c:v>
                </c:pt>
                <c:pt idx="55">
                  <c:v>-17</c:v>
                </c:pt>
                <c:pt idx="56">
                  <c:v>-21</c:v>
                </c:pt>
                <c:pt idx="57">
                  <c:v>-18</c:v>
                </c:pt>
                <c:pt idx="58">
                  <c:v>-20</c:v>
                </c:pt>
                <c:pt idx="59">
                  <c:v>-16</c:v>
                </c:pt>
              </c:numCache>
            </c:numRef>
          </c:val>
          <c:smooth val="0"/>
          <c:extLst>
            <c:ext xmlns:c16="http://schemas.microsoft.com/office/drawing/2014/chart" uri="{C3380CC4-5D6E-409C-BE32-E72D297353CC}">
              <c16:uniqueId val="{00000001-3797-4823-8BB1-35D541ADECDA}"/>
            </c:ext>
          </c:extLst>
        </c:ser>
        <c:ser>
          <c:idx val="2"/>
          <c:order val="2"/>
          <c:tx>
            <c:strRef>
              <c:f>Berechnung!$Q$90</c:f>
              <c:strCache>
                <c:ptCount val="1"/>
                <c:pt idx="0">
                  <c:v>Schnitt seit 2003 (A)</c:v>
                </c:pt>
              </c:strCache>
            </c:strRef>
          </c:tx>
          <c:spPr>
            <a:ln w="12000">
              <a:solidFill>
                <a:srgbClr val="B1B3B4"/>
              </a:solidFill>
              <a:prstDash val="dash"/>
            </a:ln>
          </c:spPr>
          <c:marker>
            <c:symbol val="none"/>
          </c:marker>
          <c:cat>
            <c:strRef>
              <c:f>Berechnung!zr_dash_17</c:f>
              <c:strCache>
                <c:ptCount val="58"/>
                <c:pt idx="0">
                  <c:v>2007</c:v>
                </c:pt>
                <c:pt idx="3">
                  <c:v>2008</c:v>
                </c:pt>
                <c:pt idx="6">
                  <c:v>2009</c:v>
                </c:pt>
                <c:pt idx="9">
                  <c:v>2010</c:v>
                </c:pt>
                <c:pt idx="12">
                  <c:v>2011</c:v>
                </c:pt>
                <c:pt idx="15">
                  <c:v>2012</c:v>
                </c:pt>
                <c:pt idx="18">
                  <c:v>2013</c:v>
                </c:pt>
                <c:pt idx="21">
                  <c:v>2014</c:v>
                </c:pt>
                <c:pt idx="24">
                  <c:v>2015</c:v>
                </c:pt>
                <c:pt idx="27">
                  <c:v>2016</c:v>
                </c:pt>
                <c:pt idx="30">
                  <c:v>2017</c:v>
                </c:pt>
                <c:pt idx="33">
                  <c:v>2018</c:v>
                </c:pt>
                <c:pt idx="36">
                  <c:v>2019</c:v>
                </c:pt>
                <c:pt idx="39">
                  <c:v>2020</c:v>
                </c:pt>
                <c:pt idx="42">
                  <c:v>2021</c:v>
                </c:pt>
                <c:pt idx="45">
                  <c:v>2022</c:v>
                </c:pt>
                <c:pt idx="48">
                  <c:v>2023</c:v>
                </c:pt>
                <c:pt idx="51">
                  <c:v>2024</c:v>
                </c:pt>
                <c:pt idx="54">
                  <c:v>2025</c:v>
                </c:pt>
                <c:pt idx="57">
                  <c:v>2026</c:v>
                </c:pt>
              </c:strCache>
            </c:strRef>
          </c:cat>
          <c:val>
            <c:numRef>
              <c:f>Berechnung!zr_dash_20</c:f>
              <c:numCache>
                <c:formatCode>General</c:formatCode>
                <c:ptCount val="60"/>
                <c:pt idx="0">
                  <c:v>-1.4</c:v>
                </c:pt>
                <c:pt idx="1">
                  <c:v>-1.4</c:v>
                </c:pt>
                <c:pt idx="2">
                  <c:v>-1.4</c:v>
                </c:pt>
                <c:pt idx="3">
                  <c:v>-1.4</c:v>
                </c:pt>
                <c:pt idx="4">
                  <c:v>-1.4</c:v>
                </c:pt>
                <c:pt idx="5">
                  <c:v>-1.4</c:v>
                </c:pt>
                <c:pt idx="6">
                  <c:v>-1.4</c:v>
                </c:pt>
                <c:pt idx="7">
                  <c:v>-1.4</c:v>
                </c:pt>
                <c:pt idx="8">
                  <c:v>-1.4</c:v>
                </c:pt>
                <c:pt idx="9">
                  <c:v>-1.4</c:v>
                </c:pt>
                <c:pt idx="10">
                  <c:v>-1.4</c:v>
                </c:pt>
                <c:pt idx="11">
                  <c:v>-1.4</c:v>
                </c:pt>
                <c:pt idx="12">
                  <c:v>-1.4</c:v>
                </c:pt>
                <c:pt idx="13">
                  <c:v>-1.4</c:v>
                </c:pt>
                <c:pt idx="14">
                  <c:v>-1.4</c:v>
                </c:pt>
                <c:pt idx="15">
                  <c:v>-1.4</c:v>
                </c:pt>
                <c:pt idx="16">
                  <c:v>-1.4</c:v>
                </c:pt>
                <c:pt idx="17">
                  <c:v>-1.4</c:v>
                </c:pt>
                <c:pt idx="18">
                  <c:v>-1.4</c:v>
                </c:pt>
                <c:pt idx="19">
                  <c:v>-1.4</c:v>
                </c:pt>
                <c:pt idx="20">
                  <c:v>-1.4</c:v>
                </c:pt>
                <c:pt idx="21">
                  <c:v>-1.4</c:v>
                </c:pt>
                <c:pt idx="22">
                  <c:v>-1.4</c:v>
                </c:pt>
                <c:pt idx="23">
                  <c:v>-1.4</c:v>
                </c:pt>
                <c:pt idx="24">
                  <c:v>-1.4</c:v>
                </c:pt>
                <c:pt idx="25">
                  <c:v>-1.4</c:v>
                </c:pt>
                <c:pt idx="26">
                  <c:v>-1.4</c:v>
                </c:pt>
                <c:pt idx="27">
                  <c:v>-1.4</c:v>
                </c:pt>
                <c:pt idx="28">
                  <c:v>-1.4</c:v>
                </c:pt>
                <c:pt idx="29">
                  <c:v>-1.4</c:v>
                </c:pt>
                <c:pt idx="30">
                  <c:v>-1.4</c:v>
                </c:pt>
                <c:pt idx="31">
                  <c:v>-1.4</c:v>
                </c:pt>
                <c:pt idx="32">
                  <c:v>-1.4</c:v>
                </c:pt>
                <c:pt idx="33">
                  <c:v>-1.4</c:v>
                </c:pt>
                <c:pt idx="34">
                  <c:v>-1.4</c:v>
                </c:pt>
                <c:pt idx="35">
                  <c:v>-1.4</c:v>
                </c:pt>
                <c:pt idx="36">
                  <c:v>-1.4</c:v>
                </c:pt>
                <c:pt idx="37">
                  <c:v>-1.4</c:v>
                </c:pt>
                <c:pt idx="38">
                  <c:v>-1.4</c:v>
                </c:pt>
                <c:pt idx="39">
                  <c:v>-1.4</c:v>
                </c:pt>
                <c:pt idx="40">
                  <c:v>-1.4</c:v>
                </c:pt>
                <c:pt idx="41">
                  <c:v>-1.4</c:v>
                </c:pt>
                <c:pt idx="42">
                  <c:v>-1.4</c:v>
                </c:pt>
                <c:pt idx="43">
                  <c:v>-1.4</c:v>
                </c:pt>
                <c:pt idx="44">
                  <c:v>-1.4</c:v>
                </c:pt>
                <c:pt idx="45">
                  <c:v>-1.4</c:v>
                </c:pt>
                <c:pt idx="46">
                  <c:v>-1.4</c:v>
                </c:pt>
                <c:pt idx="47">
                  <c:v>-1.4</c:v>
                </c:pt>
                <c:pt idx="48">
                  <c:v>-1.4</c:v>
                </c:pt>
                <c:pt idx="49">
                  <c:v>-1.4</c:v>
                </c:pt>
                <c:pt idx="50">
                  <c:v>-1.4</c:v>
                </c:pt>
                <c:pt idx="51">
                  <c:v>-1.4</c:v>
                </c:pt>
                <c:pt idx="52">
                  <c:v>-1.4</c:v>
                </c:pt>
                <c:pt idx="53">
                  <c:v>-1.4</c:v>
                </c:pt>
                <c:pt idx="54">
                  <c:v>-1.4</c:v>
                </c:pt>
                <c:pt idx="55">
                  <c:v>-1.4</c:v>
                </c:pt>
                <c:pt idx="56">
                  <c:v>-1.4</c:v>
                </c:pt>
                <c:pt idx="57">
                  <c:v>-1.4</c:v>
                </c:pt>
                <c:pt idx="58">
                  <c:v>-1.4</c:v>
                </c:pt>
                <c:pt idx="59">
                  <c:v>-1.4</c:v>
                </c:pt>
              </c:numCache>
            </c:numRef>
          </c:val>
          <c:smooth val="0"/>
          <c:extLst>
            <c:ext xmlns:c16="http://schemas.microsoft.com/office/drawing/2014/chart" uri="{C3380CC4-5D6E-409C-BE32-E72D297353CC}">
              <c16:uniqueId val="{00000002-3797-4823-8BB1-35D541ADECD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0" sourceLinked="0"/>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plotVisOnly val="1"/>
    <c:dispBlanksAs val="gap"/>
    <c:showDLblsOverMax val="1"/>
  </c:chart>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Anteile in % – Auswahl A</a:t>
            </a:r>
          </a:p>
        </c:rich>
      </c:tx>
      <c:overlay val="0"/>
    </c:title>
    <c:autoTitleDeleted val="0"/>
    <c:plotArea>
      <c:layout/>
      <c:barChart>
        <c:barDir val="bar"/>
        <c:grouping val="percentStacked"/>
        <c:varyColors val="1"/>
        <c:ser>
          <c:idx val="0"/>
          <c:order val="0"/>
          <c:tx>
            <c:strRef>
              <c:f>Berechnung!$B$72</c:f>
              <c:strCache>
                <c:ptCount val="1"/>
                <c:pt idx="0">
                  <c:v>positiv</c:v>
                </c:pt>
              </c:strCache>
            </c:strRef>
          </c:tx>
          <c:spPr>
            <a:solidFill>
              <a:srgbClr val="28AB65"/>
            </a:solidFill>
            <a:ln>
              <a:solidFill>
                <a:srgbClr val="FFFFFF"/>
              </a:solidFill>
              <a:prstDash val="solid"/>
            </a:ln>
          </c:spPr>
          <c:invertIfNegative val="1"/>
          <c:dLbls>
            <c:spPr>
              <a:noFill/>
              <a:ln>
                <a:noFill/>
              </a:ln>
              <a:effectLst/>
            </c:spPr>
            <c:txPr>
              <a:bodyPr/>
              <a:lstStyle/>
              <a:p>
                <a:pPr>
                  <a:defRPr sz="700" b="0">
                    <a:solidFill>
                      <a:srgbClr val="FFFFFF"/>
                    </a:solidFill>
                    <a:latin typeface="Segoe UI"/>
                  </a:defRPr>
                </a:pPr>
                <a:endParaRPr lang="de-DE"/>
              </a:p>
            </c:txPr>
            <c:dLblPos val="ct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Berechnung!$A$73:$A$86</c:f>
              <c:strCache>
                <c:ptCount val="14"/>
                <c:pt idx="0">
                  <c:v>Lage HB 26</c:v>
                </c:pt>
                <c:pt idx="1">
                  <c:v>Lage FS 26</c:v>
                </c:pt>
                <c:pt idx="2">
                  <c:v> </c:v>
                </c:pt>
                <c:pt idx="3">
                  <c:v>Erwartungen HB 26</c:v>
                </c:pt>
                <c:pt idx="4">
                  <c:v>Erwartungen FS 26</c:v>
                </c:pt>
                <c:pt idx="5">
                  <c:v>  </c:v>
                </c:pt>
                <c:pt idx="6">
                  <c:v>Export HB 26</c:v>
                </c:pt>
                <c:pt idx="7">
                  <c:v>Export FS 26</c:v>
                </c:pt>
                <c:pt idx="8">
                  <c:v>   </c:v>
                </c:pt>
                <c:pt idx="9">
                  <c:v>Investitionen HB 26</c:v>
                </c:pt>
                <c:pt idx="10">
                  <c:v>Investitionen FS 26</c:v>
                </c:pt>
                <c:pt idx="11">
                  <c:v>    </c:v>
                </c:pt>
                <c:pt idx="12">
                  <c:v>Beschäftigung HB 26</c:v>
                </c:pt>
                <c:pt idx="13">
                  <c:v>Beschäftigung FS 26</c:v>
                </c:pt>
              </c:strCache>
            </c:strRef>
          </c:cat>
          <c:val>
            <c:numRef>
              <c:f>Berechnung!$B$73:$B$86</c:f>
              <c:numCache>
                <c:formatCode>General</c:formatCode>
                <c:ptCount val="14"/>
                <c:pt idx="0">
                  <c:v>26</c:v>
                </c:pt>
                <c:pt idx="1">
                  <c:v>23</c:v>
                </c:pt>
                <c:pt idx="3">
                  <c:v>15</c:v>
                </c:pt>
                <c:pt idx="4">
                  <c:v>13</c:v>
                </c:pt>
                <c:pt idx="6">
                  <c:v>#N/A</c:v>
                </c:pt>
                <c:pt idx="7">
                  <c:v>#N/A</c:v>
                </c:pt>
                <c:pt idx="9">
                  <c:v>24</c:v>
                </c:pt>
                <c:pt idx="10">
                  <c:v>23</c:v>
                </c:pt>
                <c:pt idx="12">
                  <c:v>11</c:v>
                </c:pt>
                <c:pt idx="13">
                  <c:v>10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FFFF"/>
                    </a:solidFill>
                    <a:prstDash val="solid"/>
                  </a:ln>
                </c14:spPr>
              </c14:invertSolidFillFmt>
            </c:ext>
            <c:ext xmlns:c16="http://schemas.microsoft.com/office/drawing/2014/chart" uri="{C3380CC4-5D6E-409C-BE32-E72D297353CC}">
              <c16:uniqueId val="{00000000-CE3E-4054-B3E8-598AFBDB8795}"/>
            </c:ext>
          </c:extLst>
        </c:ser>
        <c:ser>
          <c:idx val="1"/>
          <c:order val="1"/>
          <c:tx>
            <c:strRef>
              <c:f>Berechnung!$C$72</c:f>
              <c:strCache>
                <c:ptCount val="1"/>
                <c:pt idx="0">
                  <c:v>neutral</c:v>
                </c:pt>
              </c:strCache>
            </c:strRef>
          </c:tx>
          <c:spPr>
            <a:solidFill>
              <a:srgbClr val="D9D9D9"/>
            </a:solidFill>
            <a:ln>
              <a:solidFill>
                <a:srgbClr val="FFFFFF"/>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ct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Berechnung!$A$73:$A$86</c:f>
              <c:strCache>
                <c:ptCount val="14"/>
                <c:pt idx="0">
                  <c:v>Lage HB 26</c:v>
                </c:pt>
                <c:pt idx="1">
                  <c:v>Lage FS 26</c:v>
                </c:pt>
                <c:pt idx="2">
                  <c:v> </c:v>
                </c:pt>
                <c:pt idx="3">
                  <c:v>Erwartungen HB 26</c:v>
                </c:pt>
                <c:pt idx="4">
                  <c:v>Erwartungen FS 26</c:v>
                </c:pt>
                <c:pt idx="5">
                  <c:v>  </c:v>
                </c:pt>
                <c:pt idx="6">
                  <c:v>Export HB 26</c:v>
                </c:pt>
                <c:pt idx="7">
                  <c:v>Export FS 26</c:v>
                </c:pt>
                <c:pt idx="8">
                  <c:v>   </c:v>
                </c:pt>
                <c:pt idx="9">
                  <c:v>Investitionen HB 26</c:v>
                </c:pt>
                <c:pt idx="10">
                  <c:v>Investitionen FS 26</c:v>
                </c:pt>
                <c:pt idx="11">
                  <c:v>    </c:v>
                </c:pt>
                <c:pt idx="12">
                  <c:v>Beschäftigung HB 26</c:v>
                </c:pt>
                <c:pt idx="13">
                  <c:v>Beschäftigung FS 26</c:v>
                </c:pt>
              </c:strCache>
            </c:strRef>
          </c:cat>
          <c:val>
            <c:numRef>
              <c:f>Berechnung!$C$73:$C$86</c:f>
              <c:numCache>
                <c:formatCode>General</c:formatCode>
                <c:ptCount val="14"/>
                <c:pt idx="0">
                  <c:v>51</c:v>
                </c:pt>
                <c:pt idx="1">
                  <c:v>51</c:v>
                </c:pt>
                <c:pt idx="3">
                  <c:v>57</c:v>
                </c:pt>
                <c:pt idx="4">
                  <c:v>54</c:v>
                </c:pt>
                <c:pt idx="6">
                  <c:v>#N/A</c:v>
                </c:pt>
                <c:pt idx="7">
                  <c:v>#N/A</c:v>
                </c:pt>
                <c:pt idx="9">
                  <c:v>46</c:v>
                </c:pt>
                <c:pt idx="10">
                  <c:v>43</c:v>
                </c:pt>
                <c:pt idx="12">
                  <c:v>65</c:v>
                </c:pt>
                <c:pt idx="13">
                  <c:v>66</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FFFF"/>
                    </a:solidFill>
                    <a:prstDash val="solid"/>
                  </a:ln>
                </c14:spPr>
              </c14:invertSolidFillFmt>
            </c:ext>
            <c:ext xmlns:c16="http://schemas.microsoft.com/office/drawing/2014/chart" uri="{C3380CC4-5D6E-409C-BE32-E72D297353CC}">
              <c16:uniqueId val="{00000001-CE3E-4054-B3E8-598AFBDB8795}"/>
            </c:ext>
          </c:extLst>
        </c:ser>
        <c:ser>
          <c:idx val="2"/>
          <c:order val="2"/>
          <c:tx>
            <c:strRef>
              <c:f>Berechnung!$D$72</c:f>
              <c:strCache>
                <c:ptCount val="1"/>
                <c:pt idx="0">
                  <c:v>negativ</c:v>
                </c:pt>
              </c:strCache>
            </c:strRef>
          </c:tx>
          <c:spPr>
            <a:solidFill>
              <a:srgbClr val="CF3E19"/>
            </a:solidFill>
            <a:ln>
              <a:solidFill>
                <a:srgbClr val="FFFFFF"/>
              </a:solidFill>
              <a:prstDash val="solid"/>
            </a:ln>
          </c:spPr>
          <c:invertIfNegative val="1"/>
          <c:dLbls>
            <c:spPr>
              <a:noFill/>
              <a:ln>
                <a:noFill/>
              </a:ln>
              <a:effectLst/>
            </c:spPr>
            <c:txPr>
              <a:bodyPr/>
              <a:lstStyle/>
              <a:p>
                <a:pPr>
                  <a:defRPr sz="700" b="0">
                    <a:solidFill>
                      <a:srgbClr val="FFFFFF"/>
                    </a:solidFill>
                    <a:latin typeface="Segoe UI"/>
                  </a:defRPr>
                </a:pPr>
                <a:endParaRPr lang="de-DE"/>
              </a:p>
            </c:txPr>
            <c:dLblPos val="ct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Berechnung!$A$73:$A$86</c:f>
              <c:strCache>
                <c:ptCount val="14"/>
                <c:pt idx="0">
                  <c:v>Lage HB 26</c:v>
                </c:pt>
                <c:pt idx="1">
                  <c:v>Lage FS 26</c:v>
                </c:pt>
                <c:pt idx="2">
                  <c:v> </c:v>
                </c:pt>
                <c:pt idx="3">
                  <c:v>Erwartungen HB 26</c:v>
                </c:pt>
                <c:pt idx="4">
                  <c:v>Erwartungen FS 26</c:v>
                </c:pt>
                <c:pt idx="5">
                  <c:v>  </c:v>
                </c:pt>
                <c:pt idx="6">
                  <c:v>Export HB 26</c:v>
                </c:pt>
                <c:pt idx="7">
                  <c:v>Export FS 26</c:v>
                </c:pt>
                <c:pt idx="8">
                  <c:v>   </c:v>
                </c:pt>
                <c:pt idx="9">
                  <c:v>Investitionen HB 26</c:v>
                </c:pt>
                <c:pt idx="10">
                  <c:v>Investitionen FS 26</c:v>
                </c:pt>
                <c:pt idx="11">
                  <c:v>    </c:v>
                </c:pt>
                <c:pt idx="12">
                  <c:v>Beschäftigung HB 26</c:v>
                </c:pt>
                <c:pt idx="13">
                  <c:v>Beschäftigung FS 26</c:v>
                </c:pt>
              </c:strCache>
            </c:strRef>
          </c:cat>
          <c:val>
            <c:numRef>
              <c:f>Berechnung!$D$73:$D$86</c:f>
              <c:numCache>
                <c:formatCode>General</c:formatCode>
                <c:ptCount val="14"/>
                <c:pt idx="0">
                  <c:v>23</c:v>
                </c:pt>
                <c:pt idx="1">
                  <c:v>26</c:v>
                </c:pt>
                <c:pt idx="3">
                  <c:v>28</c:v>
                </c:pt>
                <c:pt idx="4">
                  <c:v>33</c:v>
                </c:pt>
                <c:pt idx="6">
                  <c:v>#N/A</c:v>
                </c:pt>
                <c:pt idx="7">
                  <c:v>#N/A</c:v>
                </c:pt>
                <c:pt idx="9">
                  <c:v>30</c:v>
                </c:pt>
                <c:pt idx="10">
                  <c:v>34</c:v>
                </c:pt>
                <c:pt idx="12">
                  <c:v>24</c:v>
                </c:pt>
                <c:pt idx="13">
                  <c:v>24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FFFF"/>
                    </a:solidFill>
                    <a:prstDash val="solid"/>
                  </a:ln>
                </c14:spPr>
              </c14:invertSolidFillFmt>
            </c:ext>
            <c:ext xmlns:c16="http://schemas.microsoft.com/office/drawing/2014/chart" uri="{C3380CC4-5D6E-409C-BE32-E72D297353CC}">
              <c16:uniqueId val="{00000002-CE3E-4054-B3E8-598AFBDB8795}"/>
            </c:ext>
          </c:extLst>
        </c:ser>
        <c:dLbls>
          <c:showLegendKey val="0"/>
          <c:showVal val="0"/>
          <c:showCatName val="0"/>
          <c:showSerName val="0"/>
          <c:showPercent val="0"/>
          <c:showBubbleSize val="0"/>
        </c:dLbls>
        <c:gapWidth val="25"/>
        <c:overlap val="100"/>
        <c:axId val="10"/>
        <c:axId val="100"/>
      </c:barChart>
      <c:catAx>
        <c:axId val="10"/>
        <c:scaling>
          <c:orientation val="maxMin"/>
        </c:scaling>
        <c:delete val="0"/>
        <c:axPos val="l"/>
        <c:numFmt formatCode="General" sourceLinked="1"/>
        <c:majorTickMark val="none"/>
        <c:minorTickMark val="none"/>
        <c:tickLblPos val="nextTo"/>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1"/>
        <c:axPos val="t"/>
        <c:numFmt formatCode="0%" sourceLinked="1"/>
        <c:majorTickMark val="none"/>
        <c:minorTickMark val="none"/>
        <c:tickLblPos val="nextTo"/>
        <c:crossAx val="10"/>
        <c:crosses val="autoZero"/>
        <c:crossBetween val="between"/>
      </c:valAx>
    </c:plotArea>
    <c:legend>
      <c:legendPos val="t"/>
      <c:overlay val="0"/>
      <c:txPr>
        <a:bodyPr/>
        <a:lstStyle/>
        <a:p>
          <a:pPr>
            <a:defRPr sz="700" b="0">
              <a:solidFill>
                <a:srgbClr val="595959"/>
              </a:solidFill>
              <a:latin typeface="Segoe UI"/>
            </a:defRPr>
          </a:pPr>
          <a:endParaRPr lang="de-DE"/>
        </a:p>
      </c:txPr>
    </c:legend>
    <c:plotVisOnly val="1"/>
    <c:dispBlanksAs val="gap"/>
    <c:showDLblsOverMax val="1"/>
  </c:chart>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Geschäftsrisiken in % – Auswahl A</a:t>
            </a:r>
          </a:p>
        </c:rich>
      </c:tx>
      <c:overlay val="0"/>
    </c:title>
    <c:autoTitleDeleted val="0"/>
    <c:plotArea>
      <c:layout/>
      <c:barChart>
        <c:barDir val="bar"/>
        <c:grouping val="clustered"/>
        <c:varyColors val="1"/>
        <c:ser>
          <c:idx val="0"/>
          <c:order val="0"/>
          <c:tx>
            <c:strRef>
              <c:f>Berechnung!$B$53</c:f>
              <c:strCache>
                <c:ptCount val="1"/>
                <c:pt idx="0">
                  <c:v>HB 26</c:v>
                </c:pt>
              </c:strCache>
            </c:strRef>
          </c:tx>
          <c:spPr>
            <a:solidFill>
              <a:srgbClr val="003882"/>
            </a:solidFill>
            <a:ln>
              <a:solidFill>
                <a:srgbClr val="003882"/>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Berechnung!$A$54:$A$61</c:f>
              <c:strCache>
                <c:ptCount val="8"/>
                <c:pt idx="0">
                  <c:v>Energie/Rohstoffe</c:v>
                </c:pt>
                <c:pt idx="1">
                  <c:v>Arbeitskosten</c:v>
                </c:pt>
                <c:pt idx="2">
                  <c:v>Inlandsnachfrage</c:v>
                </c:pt>
                <c:pt idx="3">
                  <c:v>Wirtschaftspolitik</c:v>
                </c:pt>
                <c:pt idx="4">
                  <c:v>Fachkräftemangel</c:v>
                </c:pt>
                <c:pt idx="5">
                  <c:v>Auslandsnachfrage</c:v>
                </c:pt>
                <c:pt idx="6">
                  <c:v>Finanzierung</c:v>
                </c:pt>
                <c:pt idx="7">
                  <c:v>Wechselkurs</c:v>
                </c:pt>
              </c:strCache>
            </c:strRef>
          </c:cat>
          <c:val>
            <c:numRef>
              <c:f>Berechnung!$B$54:$B$61</c:f>
              <c:numCache>
                <c:formatCode>General</c:formatCode>
                <c:ptCount val="8"/>
                <c:pt idx="0">
                  <c:v>67</c:v>
                </c:pt>
                <c:pt idx="1">
                  <c:v>56</c:v>
                </c:pt>
                <c:pt idx="2">
                  <c:v>54</c:v>
                </c:pt>
                <c:pt idx="3">
                  <c:v>58</c:v>
                </c:pt>
                <c:pt idx="4">
                  <c:v>36</c:v>
                </c:pt>
                <c:pt idx="5">
                  <c:v>#N/A</c:v>
                </c:pt>
                <c:pt idx="6">
                  <c:v>16</c:v>
                </c:pt>
                <c:pt idx="7">
                  <c:v>#N/A</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003882"/>
                    </a:solidFill>
                    <a:prstDash val="solid"/>
                  </a:ln>
                </c14:spPr>
              </c14:invertSolidFillFmt>
            </c:ext>
            <c:ext xmlns:c16="http://schemas.microsoft.com/office/drawing/2014/chart" uri="{C3380CC4-5D6E-409C-BE32-E72D297353CC}">
              <c16:uniqueId val="{00000000-6644-4FAE-ADBA-E0E273142578}"/>
            </c:ext>
          </c:extLst>
        </c:ser>
        <c:ser>
          <c:idx val="1"/>
          <c:order val="1"/>
          <c:tx>
            <c:strRef>
              <c:f>Berechnung!$C$53</c:f>
              <c:strCache>
                <c:ptCount val="1"/>
                <c:pt idx="0">
                  <c:v>FS 26</c:v>
                </c:pt>
              </c:strCache>
            </c:strRef>
          </c:tx>
          <c:spPr>
            <a:solidFill>
              <a:srgbClr val="70D5FF"/>
            </a:solidFill>
            <a:ln>
              <a:solidFill>
                <a:srgbClr val="70D5FF"/>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Berechnung!$A$54:$A$61</c:f>
              <c:strCache>
                <c:ptCount val="8"/>
                <c:pt idx="0">
                  <c:v>Energie/Rohstoffe</c:v>
                </c:pt>
                <c:pt idx="1">
                  <c:v>Arbeitskosten</c:v>
                </c:pt>
                <c:pt idx="2">
                  <c:v>Inlandsnachfrage</c:v>
                </c:pt>
                <c:pt idx="3">
                  <c:v>Wirtschaftspolitik</c:v>
                </c:pt>
                <c:pt idx="4">
                  <c:v>Fachkräftemangel</c:v>
                </c:pt>
                <c:pt idx="5">
                  <c:v>Auslandsnachfrage</c:v>
                </c:pt>
                <c:pt idx="6">
                  <c:v>Finanzierung</c:v>
                </c:pt>
                <c:pt idx="7">
                  <c:v>Wechselkurs</c:v>
                </c:pt>
              </c:strCache>
            </c:strRef>
          </c:cat>
          <c:val>
            <c:numRef>
              <c:f>Berechnung!$C$54:$C$61</c:f>
              <c:numCache>
                <c:formatCode>General</c:formatCode>
                <c:ptCount val="8"/>
                <c:pt idx="0">
                  <c:v>70</c:v>
                </c:pt>
                <c:pt idx="1">
                  <c:v>57</c:v>
                </c:pt>
                <c:pt idx="2">
                  <c:v>56</c:v>
                </c:pt>
                <c:pt idx="3">
                  <c:v>58</c:v>
                </c:pt>
                <c:pt idx="4">
                  <c:v>36</c:v>
                </c:pt>
                <c:pt idx="5">
                  <c:v>#N/A</c:v>
                </c:pt>
                <c:pt idx="6">
                  <c:v>15</c:v>
                </c:pt>
                <c:pt idx="7">
                  <c:v>#N/A</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0D5FF"/>
                    </a:solidFill>
                    <a:prstDash val="solid"/>
                  </a:ln>
                </c14:spPr>
              </c14:invertSolidFillFmt>
            </c:ext>
            <c:ext xmlns:c16="http://schemas.microsoft.com/office/drawing/2014/chart" uri="{C3380CC4-5D6E-409C-BE32-E72D297353CC}">
              <c16:uniqueId val="{00000001-6644-4FAE-ADBA-E0E273142578}"/>
            </c:ext>
          </c:extLst>
        </c:ser>
        <c:ser>
          <c:idx val="2"/>
          <c:order val="2"/>
          <c:tx>
            <c:strRef>
              <c:f>Berechnung!$D$53</c:f>
              <c:strCache>
                <c:ptCount val="1"/>
                <c:pt idx="0">
                  <c:v>Ø langjährig</c:v>
                </c:pt>
              </c:strCache>
            </c:strRef>
          </c:tx>
          <c:spPr>
            <a:solidFill>
              <a:srgbClr val="B1B3B4"/>
            </a:solidFill>
            <a:ln>
              <a:solidFill>
                <a:srgbClr val="B1B3B4"/>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Berechnung!$A$54:$A$61</c:f>
              <c:strCache>
                <c:ptCount val="8"/>
                <c:pt idx="0">
                  <c:v>Energie/Rohstoffe</c:v>
                </c:pt>
                <c:pt idx="1">
                  <c:v>Arbeitskosten</c:v>
                </c:pt>
                <c:pt idx="2">
                  <c:v>Inlandsnachfrage</c:v>
                </c:pt>
                <c:pt idx="3">
                  <c:v>Wirtschaftspolitik</c:v>
                </c:pt>
                <c:pt idx="4">
                  <c:v>Fachkräftemangel</c:v>
                </c:pt>
                <c:pt idx="5">
                  <c:v>Auslandsnachfrage</c:v>
                </c:pt>
                <c:pt idx="6">
                  <c:v>Finanzierung</c:v>
                </c:pt>
                <c:pt idx="7">
                  <c:v>Wechselkurs</c:v>
                </c:pt>
              </c:strCache>
            </c:strRef>
          </c:cat>
          <c:val>
            <c:numRef>
              <c:f>Berechnung!$D$54:$D$61</c:f>
              <c:numCache>
                <c:formatCode>General</c:formatCode>
                <c:ptCount val="8"/>
                <c:pt idx="0">
                  <c:v>45</c:v>
                </c:pt>
                <c:pt idx="1">
                  <c:v>42</c:v>
                </c:pt>
                <c:pt idx="2">
                  <c:v>47</c:v>
                </c:pt>
                <c:pt idx="3">
                  <c:v>45</c:v>
                </c:pt>
                <c:pt idx="4">
                  <c:v>45</c:v>
                </c:pt>
                <c:pt idx="5">
                  <c:v>#N/A</c:v>
                </c:pt>
                <c:pt idx="6">
                  <c:v>13</c:v>
                </c:pt>
                <c:pt idx="7">
                  <c:v>#N/A</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B1B3B4"/>
                    </a:solidFill>
                    <a:prstDash val="solid"/>
                  </a:ln>
                </c14:spPr>
              </c14:invertSolidFillFmt>
            </c:ext>
            <c:ext xmlns:c16="http://schemas.microsoft.com/office/drawing/2014/chart" uri="{C3380CC4-5D6E-409C-BE32-E72D297353CC}">
              <c16:uniqueId val="{00000002-6644-4FAE-ADBA-E0E273142578}"/>
            </c:ext>
          </c:extLst>
        </c:ser>
        <c:dLbls>
          <c:showLegendKey val="0"/>
          <c:showVal val="0"/>
          <c:showCatName val="0"/>
          <c:showSerName val="0"/>
          <c:showPercent val="0"/>
          <c:showBubbleSize val="0"/>
        </c:dLbls>
        <c:gapWidth val="50"/>
        <c:axId val="10"/>
        <c:axId val="100"/>
      </c:barChart>
      <c:catAx>
        <c:axId val="10"/>
        <c:scaling>
          <c:orientation val="maxMin"/>
        </c:scaling>
        <c:delete val="0"/>
        <c:axPos val="l"/>
        <c:numFmt formatCode="General" sourceLinked="1"/>
        <c:majorTickMark val="none"/>
        <c:minorTickMark val="none"/>
        <c:tickLblPos val="nextTo"/>
        <c:txPr>
          <a:bodyPr/>
          <a:lstStyle/>
          <a:p>
            <a:pPr>
              <a:defRPr sz="800" b="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max val="100"/>
          <c:min val="0"/>
        </c:scaling>
        <c:delete val="1"/>
        <c:axPos val="t"/>
        <c:numFmt formatCode="General" sourceLinked="1"/>
        <c:majorTickMark val="none"/>
        <c:minorTickMark val="none"/>
        <c:tickLblPos val="nextTo"/>
        <c:crossAx val="10"/>
        <c:crosses val="autoZero"/>
        <c:crossBetween val="between"/>
      </c:valAx>
    </c:plotArea>
    <c:legend>
      <c:legendPos val="t"/>
      <c:overlay val="0"/>
      <c:txPr>
        <a:bodyPr/>
        <a:lstStyle/>
        <a:p>
          <a:pPr>
            <a:defRPr sz="700" b="0">
              <a:solidFill>
                <a:srgbClr val="595959"/>
              </a:solidFill>
              <a:latin typeface="Segoe UI"/>
            </a:defRPr>
          </a:pPr>
          <a:endParaRPr lang="de-DE"/>
        </a:p>
      </c:txPr>
    </c:legend>
    <c:plotVisOnly val="1"/>
    <c:dispBlanksAs val="gap"/>
    <c:showDLblsOverMax val="1"/>
  </c:chart>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pPr>
              <a:defRPr sz="1100" b="1">
                <a:solidFill>
                  <a:srgbClr val="003882"/>
                </a:solidFill>
                <a:latin typeface="Segoe UI"/>
              </a:defRPr>
            </a:pPr>
            <a:r>
              <a:rPr lang="de-DE" sz="1100" b="1">
                <a:solidFill>
                  <a:srgbClr val="003882"/>
                </a:solidFill>
                <a:latin typeface="Segoe UI"/>
              </a:rPr>
              <a:t>Investitionsmotive in % – Auswahl A</a:t>
            </a:r>
          </a:p>
        </c:rich>
      </c:tx>
      <c:overlay val="0"/>
    </c:title>
    <c:autoTitleDeleted val="0"/>
    <c:plotArea>
      <c:layout/>
      <c:barChart>
        <c:barDir val="col"/>
        <c:grouping val="clustered"/>
        <c:varyColors val="1"/>
        <c:ser>
          <c:idx val="0"/>
          <c:order val="0"/>
          <c:tx>
            <c:strRef>
              <c:f>Berechnung!$B$64</c:f>
              <c:strCache>
                <c:ptCount val="1"/>
                <c:pt idx="0">
                  <c:v>HB 26</c:v>
                </c:pt>
              </c:strCache>
            </c:strRef>
          </c:tx>
          <c:spPr>
            <a:solidFill>
              <a:srgbClr val="003882"/>
            </a:solidFill>
            <a:ln>
              <a:solidFill>
                <a:srgbClr val="003882"/>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Berechnung!$A$65:$A$69</c:f>
              <c:strCache>
                <c:ptCount val="5"/>
                <c:pt idx="0">
                  <c:v>Ersatzbedarf</c:v>
                </c:pt>
                <c:pt idx="1">
                  <c:v>Rationalisierung</c:v>
                </c:pt>
                <c:pt idx="2">
                  <c:v>Innovation</c:v>
                </c:pt>
                <c:pt idx="3">
                  <c:v>Umweltschutz</c:v>
                </c:pt>
                <c:pt idx="4">
                  <c:v>Kapazität</c:v>
                </c:pt>
              </c:strCache>
            </c:strRef>
          </c:cat>
          <c:val>
            <c:numRef>
              <c:f>Berechnung!$B$65:$B$69</c:f>
              <c:numCache>
                <c:formatCode>General</c:formatCode>
                <c:ptCount val="5"/>
                <c:pt idx="0">
                  <c:v>66</c:v>
                </c:pt>
                <c:pt idx="1">
                  <c:v>34</c:v>
                </c:pt>
                <c:pt idx="2">
                  <c:v>28</c:v>
                </c:pt>
                <c:pt idx="3">
                  <c:v>17</c:v>
                </c:pt>
                <c:pt idx="4">
                  <c:v>19</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003882"/>
                    </a:solidFill>
                    <a:prstDash val="solid"/>
                  </a:ln>
                </c14:spPr>
              </c14:invertSolidFillFmt>
            </c:ext>
            <c:ext xmlns:c16="http://schemas.microsoft.com/office/drawing/2014/chart" uri="{C3380CC4-5D6E-409C-BE32-E72D297353CC}">
              <c16:uniqueId val="{00000000-4DBB-4744-A6BB-3E2DB949424E}"/>
            </c:ext>
          </c:extLst>
        </c:ser>
        <c:ser>
          <c:idx val="1"/>
          <c:order val="1"/>
          <c:tx>
            <c:strRef>
              <c:f>Berechnung!$C$64</c:f>
              <c:strCache>
                <c:ptCount val="1"/>
                <c:pt idx="0">
                  <c:v>FS 26</c:v>
                </c:pt>
              </c:strCache>
            </c:strRef>
          </c:tx>
          <c:spPr>
            <a:solidFill>
              <a:srgbClr val="70D5FF"/>
            </a:solidFill>
            <a:ln>
              <a:solidFill>
                <a:srgbClr val="70D5FF"/>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Berechnung!$A$65:$A$69</c:f>
              <c:strCache>
                <c:ptCount val="5"/>
                <c:pt idx="0">
                  <c:v>Ersatzbedarf</c:v>
                </c:pt>
                <c:pt idx="1">
                  <c:v>Rationalisierung</c:v>
                </c:pt>
                <c:pt idx="2">
                  <c:v>Innovation</c:v>
                </c:pt>
                <c:pt idx="3">
                  <c:v>Umweltschutz</c:v>
                </c:pt>
                <c:pt idx="4">
                  <c:v>Kapazität</c:v>
                </c:pt>
              </c:strCache>
            </c:strRef>
          </c:cat>
          <c:val>
            <c:numRef>
              <c:f>Berechnung!$C$65:$C$69</c:f>
              <c:numCache>
                <c:formatCode>General</c:formatCode>
                <c:ptCount val="5"/>
                <c:pt idx="0">
                  <c:v>67</c:v>
                </c:pt>
                <c:pt idx="1">
                  <c:v>34</c:v>
                </c:pt>
                <c:pt idx="2">
                  <c:v>27</c:v>
                </c:pt>
                <c:pt idx="3">
                  <c:v>16</c:v>
                </c:pt>
                <c:pt idx="4">
                  <c:v>19</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0D5FF"/>
                    </a:solidFill>
                    <a:prstDash val="solid"/>
                  </a:ln>
                </c14:spPr>
              </c14:invertSolidFillFmt>
            </c:ext>
            <c:ext xmlns:c16="http://schemas.microsoft.com/office/drawing/2014/chart" uri="{C3380CC4-5D6E-409C-BE32-E72D297353CC}">
              <c16:uniqueId val="{00000001-4DBB-4744-A6BB-3E2DB949424E}"/>
            </c:ext>
          </c:extLst>
        </c:ser>
        <c:ser>
          <c:idx val="2"/>
          <c:order val="2"/>
          <c:tx>
            <c:strRef>
              <c:f>Berechnung!$D$64</c:f>
              <c:strCache>
                <c:ptCount val="1"/>
                <c:pt idx="0">
                  <c:v>Ø langjährig</c:v>
                </c:pt>
              </c:strCache>
            </c:strRef>
          </c:tx>
          <c:spPr>
            <a:solidFill>
              <a:srgbClr val="B1B3B4"/>
            </a:solidFill>
            <a:ln>
              <a:solidFill>
                <a:srgbClr val="B1B3B4"/>
              </a:solidFill>
              <a:prstDash val="solid"/>
            </a:ln>
          </c:spPr>
          <c:invertIfNegative val="1"/>
          <c:dLbls>
            <c:spPr>
              <a:noFill/>
              <a:ln>
                <a:noFill/>
              </a:ln>
              <a:effectLst/>
            </c:spPr>
            <c:txPr>
              <a:bodyPr/>
              <a:lstStyle/>
              <a:p>
                <a:pPr>
                  <a:defRPr sz="700" b="0">
                    <a:solidFill>
                      <a:srgbClr val="595959"/>
                    </a:solidFill>
                    <a:latin typeface="Segoe UI"/>
                  </a:defRPr>
                </a:pPr>
                <a:endParaRPr lang="de-DE"/>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Berechnung!$A$65:$A$69</c:f>
              <c:strCache>
                <c:ptCount val="5"/>
                <c:pt idx="0">
                  <c:v>Ersatzbedarf</c:v>
                </c:pt>
                <c:pt idx="1">
                  <c:v>Rationalisierung</c:v>
                </c:pt>
                <c:pt idx="2">
                  <c:v>Innovation</c:v>
                </c:pt>
                <c:pt idx="3">
                  <c:v>Umweltschutz</c:v>
                </c:pt>
                <c:pt idx="4">
                  <c:v>Kapazität</c:v>
                </c:pt>
              </c:strCache>
            </c:strRef>
          </c:cat>
          <c:val>
            <c:numRef>
              <c:f>Berechnung!$D$65:$D$69</c:f>
              <c:numCache>
                <c:formatCode>General</c:formatCode>
                <c:ptCount val="5"/>
                <c:pt idx="0">
                  <c:v>65</c:v>
                </c:pt>
                <c:pt idx="1">
                  <c:v>33</c:v>
                </c:pt>
                <c:pt idx="2">
                  <c:v>30</c:v>
                </c:pt>
                <c:pt idx="3">
                  <c:v>16</c:v>
                </c:pt>
                <c:pt idx="4">
                  <c:v>25</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B1B3B4"/>
                    </a:solidFill>
                    <a:prstDash val="solid"/>
                  </a:ln>
                </c14:spPr>
              </c14:invertSolidFillFmt>
            </c:ext>
            <c:ext xmlns:c16="http://schemas.microsoft.com/office/drawing/2014/chart" uri="{C3380CC4-5D6E-409C-BE32-E72D297353CC}">
              <c16:uniqueId val="{00000002-4DBB-4744-A6BB-3E2DB949424E}"/>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txPr>
          <a:bodyPr rot="0" vert="horz"/>
          <a:lstStyle/>
          <a:p>
            <a:pPr>
              <a:defRPr sz="700">
                <a:solidFill>
                  <a:srgbClr val="595959"/>
                </a:solidFill>
                <a:latin typeface="Segoe UI"/>
              </a:defRPr>
            </a:pPr>
            <a:endParaRPr lang="de-DE"/>
          </a:p>
        </c:txPr>
        <c:crossAx val="100"/>
        <c:crosses val="autoZero"/>
        <c:auto val="1"/>
        <c:lblAlgn val="ctr"/>
        <c:lblOffset val="100"/>
        <c:tickLblSkip val="1"/>
        <c:noMultiLvlLbl val="1"/>
      </c:catAx>
      <c:valAx>
        <c:axId val="100"/>
        <c:scaling>
          <c:orientation val="minMax"/>
        </c:scaling>
        <c:delete val="0"/>
        <c:axPos val="l"/>
        <c:majorGridlines>
          <c:spPr>
            <a:ln>
              <a:solidFill>
                <a:srgbClr val="D9D9D9"/>
              </a:solidFill>
              <a:prstDash val="sysDot"/>
            </a:ln>
          </c:spPr>
        </c:majorGridlines>
        <c:numFmt formatCode="General" sourceLinked="1"/>
        <c:majorTickMark val="none"/>
        <c:minorTickMark val="none"/>
        <c:tickLblPos val="nextTo"/>
        <c:txPr>
          <a:bodyPr/>
          <a:lstStyle/>
          <a:p>
            <a:pPr>
              <a:defRPr sz="800" b="0">
                <a:solidFill>
                  <a:srgbClr val="595959"/>
                </a:solidFill>
                <a:latin typeface="Segoe UI"/>
              </a:defRPr>
            </a:pPr>
            <a:endParaRPr lang="de-DE"/>
          </a:p>
        </c:txPr>
        <c:crossAx val="10"/>
        <c:crosses val="autoZero"/>
        <c:crossBetween val="between"/>
      </c:valAx>
    </c:plotArea>
    <c:legend>
      <c:legendPos val="t"/>
      <c:overlay val="0"/>
      <c:txPr>
        <a:bodyPr/>
        <a:lstStyle/>
        <a:p>
          <a:pPr>
            <a:defRPr sz="700" b="0">
              <a:solidFill>
                <a:srgbClr val="595959"/>
              </a:solidFill>
              <a:latin typeface="Segoe UI"/>
            </a:defRPr>
          </a:pPr>
          <a:endParaRPr lang="de-DE"/>
        </a:p>
      </c:txPr>
    </c:legend>
    <c:plotVisOnly val="1"/>
    <c:dispBlanksAs val="gap"/>
    <c:showDLblsOverMax val="1"/>
  </c:chart>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14</xdr:col>
      <xdr:colOff>0</xdr:colOff>
      <xdr:row>12</xdr:row>
      <xdr:rowOff>19050</xdr:rowOff>
    </xdr:from>
    <xdr:to>
      <xdr:col>25</xdr:col>
      <xdr:colOff>0</xdr:colOff>
      <xdr:row>24</xdr:row>
      <xdr:rowOff>-19050</xdr:rowOff>
    </xdr:to>
    <xdr:graphicFrame macro="">
      <xdr:nvGraphicFramePr>
        <xdr:cNvPr id="2" name="Chart 1" descr="Liniendiagramm: DIHK-Stimmungsindex der Gesamtwirtschaft von Jahresbeginn 2010 bis Herbst 2026. Aktueller Wert 94,7 Punkte nach 88,1 in der Vorumfrage; 100 bedeutet neutrale Stimmung." title="DIHK-Stimmungsindex seit 2010">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26</xdr:row>
      <xdr:rowOff>19050</xdr:rowOff>
    </xdr:from>
    <xdr:to>
      <xdr:col>17</xdr:col>
      <xdr:colOff>0</xdr:colOff>
      <xdr:row>40</xdr:row>
      <xdr:rowOff>-19050</xdr:rowOff>
    </xdr:to>
    <xdr:graphicFrame macro="">
      <xdr:nvGraphicFramePr>
        <xdr:cNvPr id="3" name="Chart 2" descr="Balkendiagramm: Geschäftsrisiken der Unternehmen in Prozent, Herbst 2026 im Vergleich zur Vorumfrage. Häufigstes Risiko sind die Energie- und Rohstoffpreise mit 67 Prozent. Auslandsnachfrage und Wechselkurs: nur exportierende Industrieunternehmen (38 und 5 Prozent)." title="Geschäftsrisiken in Prozen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26</xdr:row>
      <xdr:rowOff>19050</xdr:rowOff>
    </xdr:from>
    <xdr:to>
      <xdr:col>25</xdr:col>
      <xdr:colOff>0</xdr:colOff>
      <xdr:row>40</xdr:row>
      <xdr:rowOff>-19050</xdr:rowOff>
    </xdr:to>
    <xdr:graphicFrame macro="">
      <xdr:nvGraphicFramePr>
        <xdr:cNvPr id="4" name="Chart 3" descr="Balkendiagramm: Investitionsmotive der Unternehmen in Prozent, Herbst 2026 im Vergleich zur Vorumfrage. Häufigstes Motiv ist der Ersatzbedarf mit 66 Prozent." title="Investitionsmotive in Prozent">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21</xdr:col>
      <xdr:colOff>95250</xdr:colOff>
      <xdr:row>1</xdr:row>
      <xdr:rowOff>0</xdr:rowOff>
    </xdr:from>
    <xdr:ext cx="1047750" cy="523875"/>
    <xdr:pic>
      <xdr:nvPicPr>
        <xdr:cNvPr id="5" name="Image 4" descr="Logo der DIHK – Deutsche Industrie- und Handelskammer" title="DIHK-Logo">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28575</xdr:colOff>
      <xdr:row>27</xdr:row>
      <xdr:rowOff>0</xdr:rowOff>
    </xdr:from>
    <xdr:to>
      <xdr:col>4</xdr:col>
      <xdr:colOff>0</xdr:colOff>
      <xdr:row>44</xdr:row>
      <xdr:rowOff>0</xdr:rowOff>
    </xdr:to>
    <xdr:graphicFrame macro="">
      <xdr:nvGraphicFramePr>
        <xdr:cNvPr id="2" name="Chart 1" descr="Liniendiagramm: Saldo Geschäftslage in Punkten im gewählten Zeitraum für Auswahl A und, falls gewählt, Auswahl B, mit dem Schnitt seit 2003. Die Werte stehen in der Tabelle oberhalb." title="Geschäftslage (Sald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28575</xdr:colOff>
      <xdr:row>27</xdr:row>
      <xdr:rowOff>0</xdr:rowOff>
    </xdr:from>
    <xdr:to>
      <xdr:col>10</xdr:col>
      <xdr:colOff>0</xdr:colOff>
      <xdr:row>44</xdr:row>
      <xdr:rowOff>0</xdr:rowOff>
    </xdr:to>
    <xdr:graphicFrame macro="">
      <xdr:nvGraphicFramePr>
        <xdr:cNvPr id="3" name="Chart 2" descr="Liniendiagramm: Saldo Geschäftserwartungen in Punkten im gewählten Zeitraum für Auswahl A und, falls gewählt, Auswahl B, mit dem Schnitt seit 2003. Die Werte stehen in der Tabelle oberhalb." title="Geschäftserwartungen (Saldo)">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28575</xdr:colOff>
      <xdr:row>27</xdr:row>
      <xdr:rowOff>0</xdr:rowOff>
    </xdr:from>
    <xdr:to>
      <xdr:col>16</xdr:col>
      <xdr:colOff>0</xdr:colOff>
      <xdr:row>44</xdr:row>
      <xdr:rowOff>0</xdr:rowOff>
    </xdr:to>
    <xdr:graphicFrame macro="">
      <xdr:nvGraphicFramePr>
        <xdr:cNvPr id="4" name="Chart 3" descr="Liniendiagramm: Saldo Exporterwartungen in Punkten im gewählten Zeitraum für Auswahl A und, falls gewählt, Auswahl B, mit dem Schnitt seit 2003. Die Werte stehen in der Tabelle oberhalb." title="Exporterwartungen (Saldo)">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28575</xdr:colOff>
      <xdr:row>45</xdr:row>
      <xdr:rowOff>0</xdr:rowOff>
    </xdr:from>
    <xdr:to>
      <xdr:col>4</xdr:col>
      <xdr:colOff>0</xdr:colOff>
      <xdr:row>62</xdr:row>
      <xdr:rowOff>0</xdr:rowOff>
    </xdr:to>
    <xdr:graphicFrame macro="">
      <xdr:nvGraphicFramePr>
        <xdr:cNvPr id="5" name="Chart 4" descr="Liniendiagramm: Saldo Investitionsabsichten in Punkten im gewählten Zeitraum für Auswahl A und, falls gewählt, Auswahl B, mit dem Schnitt seit 2003. Die Werte stehen in der Tabelle oberhalb." title="Investitionsabsichten (Saldo)">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28575</xdr:colOff>
      <xdr:row>45</xdr:row>
      <xdr:rowOff>0</xdr:rowOff>
    </xdr:from>
    <xdr:to>
      <xdr:col>10</xdr:col>
      <xdr:colOff>0</xdr:colOff>
      <xdr:row>62</xdr:row>
      <xdr:rowOff>0</xdr:rowOff>
    </xdr:to>
    <xdr:graphicFrame macro="">
      <xdr:nvGraphicFramePr>
        <xdr:cNvPr id="6" name="Chart 5" descr="Liniendiagramm: Saldo Beschäftigungsabsichten in Punkten im gewählten Zeitraum für Auswahl A und, falls gewählt, Auswahl B, mit dem Schnitt seit 2003. Die Werte stehen in der Tabelle oberhalb." title="Beschäftigungsabsichten (Saldo)">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28575</xdr:colOff>
      <xdr:row>45</xdr:row>
      <xdr:rowOff>0</xdr:rowOff>
    </xdr:from>
    <xdr:to>
      <xdr:col>16</xdr:col>
      <xdr:colOff>0</xdr:colOff>
      <xdr:row>62</xdr:row>
      <xdr:rowOff>0</xdr:rowOff>
    </xdr:to>
    <xdr:graphicFrame macro="">
      <xdr:nvGraphicFramePr>
        <xdr:cNvPr id="7" name="Chart 6" descr="Balkendiagramm: Anteile positiver, neutraler und negativer Antworten in Prozent je Frage für Auswahl A. Die Werte stehen in der Tabelle oberhalb." title="Anteile in Prozent – Auswahl A">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28575</xdr:colOff>
      <xdr:row>63</xdr:row>
      <xdr:rowOff>0</xdr:rowOff>
    </xdr:from>
    <xdr:to>
      <xdr:col>4</xdr:col>
      <xdr:colOff>0</xdr:colOff>
      <xdr:row>80</xdr:row>
      <xdr:rowOff>0</xdr:rowOff>
    </xdr:to>
    <xdr:graphicFrame macro="">
      <xdr:nvGraphicFramePr>
        <xdr:cNvPr id="8" name="Chart 7" descr="Balkendiagramm: Geschäftsrisiken in Prozent für Auswahl A, aktuelle Umfrage, Vorumfrage und Schnitt; Mehrfachnennungen möglich." title="Geschäftsrisiken in Prozent – Auswahl A">
          <a:extLst>
            <a:ext uri="{FF2B5EF4-FFF2-40B4-BE49-F238E27FC236}">
              <a16:creationId xmlns:a16="http://schemas.microsoft.com/office/drawing/2014/main" id="{00000000-0008-0000-02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28575</xdr:colOff>
      <xdr:row>63</xdr:row>
      <xdr:rowOff>0</xdr:rowOff>
    </xdr:from>
    <xdr:to>
      <xdr:col>10</xdr:col>
      <xdr:colOff>0</xdr:colOff>
      <xdr:row>80</xdr:row>
      <xdr:rowOff>0</xdr:rowOff>
    </xdr:to>
    <xdr:graphicFrame macro="">
      <xdr:nvGraphicFramePr>
        <xdr:cNvPr id="9" name="Chart 8" descr="Balkendiagramm: Investitionsmotive in Prozent für Auswahl A, aktuelle Umfrage, Vorumfrage und Schnitt; Mehrfachnennungen möglich." title="Investitionsmotive in Prozent – Auswahl A">
          <a:extLst>
            <a:ext uri="{FF2B5EF4-FFF2-40B4-BE49-F238E27FC236}">
              <a16:creationId xmlns:a16="http://schemas.microsoft.com/office/drawing/2014/main" id="{00000000-0008-0000-02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klassifikationsserver.de/klassService/thyme/variant/wz2025?lang=DE"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itze.sebastian@dihk.de" TargetMode="External"/><Relationship Id="rId1" Type="http://schemas.openxmlformats.org/officeDocument/2006/relationships/hyperlink" Target="mailto:zenzen.jupp@dihk.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8AB65"/>
    <pageSetUpPr fitToPage="1"/>
  </sheetPr>
  <dimension ref="B1:Y43"/>
  <sheetViews>
    <sheetView showGridLines="0" tabSelected="1" zoomScaleNormal="100" workbookViewId="0"/>
  </sheetViews>
  <sheetFormatPr baseColWidth="10" defaultColWidth="9.140625" defaultRowHeight="15" x14ac:dyDescent="0.25"/>
  <cols>
    <col min="1" max="1" width="1.42578125" customWidth="1"/>
    <col min="2" max="25" width="5.85546875" customWidth="1"/>
    <col min="26" max="26" width="1.42578125" customWidth="1"/>
  </cols>
  <sheetData>
    <row r="1" spans="2:25" ht="8.1" customHeight="1" x14ac:dyDescent="0.25"/>
    <row r="2" spans="2:25" ht="32.1" customHeight="1" x14ac:dyDescent="0.6">
      <c r="B2" s="58" t="s">
        <v>0</v>
      </c>
    </row>
    <row r="3" spans="2:25" ht="18" customHeight="1" x14ac:dyDescent="0.3">
      <c r="B3" s="62" t="s">
        <v>1</v>
      </c>
    </row>
    <row r="4" spans="2:25" x14ac:dyDescent="0.25">
      <c r="B4" s="3"/>
    </row>
    <row r="5" spans="2:25" ht="9.9499999999999993" customHeight="1" x14ac:dyDescent="0.25"/>
    <row r="6" spans="2:25" ht="26.1" customHeight="1" x14ac:dyDescent="0.25">
      <c r="B6" s="89" t="s">
        <v>2</v>
      </c>
      <c r="C6" s="90"/>
      <c r="D6" s="90"/>
      <c r="E6" s="90"/>
      <c r="F6" s="91" t="s">
        <v>3</v>
      </c>
      <c r="G6" s="92"/>
      <c r="H6" s="92"/>
      <c r="I6" s="92"/>
      <c r="J6" s="91" t="s">
        <v>4</v>
      </c>
      <c r="K6" s="92"/>
      <c r="L6" s="92"/>
      <c r="M6" s="92"/>
      <c r="N6" s="91" t="s">
        <v>5</v>
      </c>
      <c r="O6" s="92"/>
      <c r="P6" s="92"/>
      <c r="Q6" s="92"/>
      <c r="R6" s="91" t="s">
        <v>6</v>
      </c>
      <c r="S6" s="92"/>
      <c r="T6" s="92"/>
      <c r="U6" s="92"/>
      <c r="V6" s="91" t="s">
        <v>7</v>
      </c>
      <c r="W6" s="92"/>
      <c r="X6" s="92"/>
      <c r="Y6" s="92"/>
    </row>
    <row r="7" spans="2:25" ht="39.950000000000003" customHeight="1" x14ac:dyDescent="0.25">
      <c r="B7" s="96">
        <v>94.7</v>
      </c>
      <c r="C7" s="88"/>
      <c r="D7" s="88"/>
      <c r="E7" s="88"/>
      <c r="F7" s="94">
        <v>3</v>
      </c>
      <c r="G7" s="88"/>
      <c r="H7" s="88"/>
      <c r="I7" s="88"/>
      <c r="J7" s="94">
        <v>-13</v>
      </c>
      <c r="K7" s="88"/>
      <c r="L7" s="88"/>
      <c r="M7" s="88"/>
      <c r="N7" s="94">
        <v>3</v>
      </c>
      <c r="O7" s="88"/>
      <c r="P7" s="88"/>
      <c r="Q7" s="88"/>
      <c r="R7" s="94">
        <v>-6</v>
      </c>
      <c r="S7" s="88"/>
      <c r="T7" s="88"/>
      <c r="U7" s="88"/>
      <c r="V7" s="94">
        <v>-13</v>
      </c>
      <c r="W7" s="88"/>
      <c r="X7" s="88"/>
      <c r="Y7" s="88"/>
    </row>
    <row r="8" spans="2:25" ht="15.95" customHeight="1" x14ac:dyDescent="0.25">
      <c r="B8" s="95" t="s">
        <v>8</v>
      </c>
      <c r="C8" s="88"/>
      <c r="D8" s="88"/>
      <c r="E8" s="88"/>
      <c r="F8" s="95" t="s">
        <v>9</v>
      </c>
      <c r="G8" s="88"/>
      <c r="H8" s="88"/>
      <c r="I8" s="88"/>
      <c r="J8" s="95" t="s">
        <v>10</v>
      </c>
      <c r="K8" s="88"/>
      <c r="L8" s="88"/>
      <c r="M8" s="88"/>
      <c r="N8" s="95" t="s">
        <v>11</v>
      </c>
      <c r="O8" s="88"/>
      <c r="P8" s="88"/>
      <c r="Q8" s="88"/>
      <c r="R8" s="95" t="s">
        <v>12</v>
      </c>
      <c r="S8" s="88"/>
      <c r="T8" s="88"/>
      <c r="U8" s="88"/>
      <c r="V8" s="95" t="s">
        <v>13</v>
      </c>
      <c r="W8" s="88"/>
      <c r="X8" s="88"/>
      <c r="Y8" s="88"/>
    </row>
    <row r="9" spans="2:25" ht="14.1" customHeight="1" x14ac:dyDescent="0.25">
      <c r="B9" s="87" t="s">
        <v>14</v>
      </c>
      <c r="C9" s="88"/>
      <c r="D9" s="88"/>
      <c r="E9" s="88"/>
      <c r="F9" s="87" t="s">
        <v>15</v>
      </c>
      <c r="G9" s="88"/>
      <c r="H9" s="88"/>
      <c r="I9" s="88"/>
      <c r="J9" s="87" t="s">
        <v>16</v>
      </c>
      <c r="K9" s="88"/>
      <c r="L9" s="88"/>
      <c r="M9" s="88"/>
      <c r="N9" s="87" t="s">
        <v>17</v>
      </c>
      <c r="O9" s="88"/>
      <c r="P9" s="88"/>
      <c r="Q9" s="88"/>
      <c r="R9" s="87" t="s">
        <v>18</v>
      </c>
      <c r="S9" s="88"/>
      <c r="T9" s="88"/>
      <c r="U9" s="88"/>
      <c r="V9" s="87" t="s">
        <v>19</v>
      </c>
      <c r="W9" s="88"/>
      <c r="X9" s="88"/>
      <c r="Y9" s="88"/>
    </row>
    <row r="10" spans="2:25" ht="12.95" customHeight="1" x14ac:dyDescent="0.25">
      <c r="B10" s="93" t="s">
        <v>20</v>
      </c>
      <c r="C10" s="88"/>
      <c r="D10" s="88"/>
      <c r="E10" s="88"/>
      <c r="F10" s="93" t="s">
        <v>21</v>
      </c>
      <c r="G10" s="88"/>
      <c r="H10" s="88"/>
      <c r="I10" s="88"/>
      <c r="J10" s="93" t="s">
        <v>21</v>
      </c>
      <c r="K10" s="88"/>
      <c r="L10" s="88"/>
      <c r="M10" s="88"/>
      <c r="N10" s="93" t="s">
        <v>21</v>
      </c>
      <c r="O10" s="88"/>
      <c r="P10" s="88"/>
      <c r="Q10" s="88"/>
      <c r="R10" s="93" t="s">
        <v>21</v>
      </c>
      <c r="S10" s="88"/>
      <c r="T10" s="88"/>
      <c r="U10" s="88"/>
      <c r="V10" s="93" t="s">
        <v>21</v>
      </c>
      <c r="W10" s="88"/>
      <c r="X10" s="88"/>
      <c r="Y10" s="88"/>
    </row>
    <row r="11" spans="2:25" ht="12" customHeight="1" x14ac:dyDescent="0.25"/>
    <row r="12" spans="2:25" ht="20.100000000000001" customHeight="1" x14ac:dyDescent="0.3">
      <c r="B12" s="60" t="s">
        <v>22</v>
      </c>
      <c r="C12" s="61"/>
      <c r="D12" s="61"/>
      <c r="E12" s="61"/>
      <c r="F12" s="61"/>
      <c r="G12" s="61"/>
      <c r="H12" s="61"/>
      <c r="I12" s="61"/>
      <c r="J12" s="61"/>
      <c r="K12" s="61"/>
      <c r="L12" s="61"/>
      <c r="M12" s="61"/>
      <c r="O12" s="60" t="s">
        <v>23</v>
      </c>
      <c r="P12" s="61"/>
      <c r="Q12" s="61"/>
      <c r="R12" s="61"/>
      <c r="S12" s="61"/>
      <c r="T12" s="61"/>
      <c r="U12" s="61"/>
      <c r="V12" s="61"/>
      <c r="W12" s="61"/>
      <c r="X12" s="61"/>
      <c r="Y12" s="61"/>
    </row>
    <row r="13" spans="2:25" ht="15" customHeight="1" x14ac:dyDescent="0.25">
      <c r="B13" s="4" t="s">
        <v>24</v>
      </c>
      <c r="C13" s="85" t="s">
        <v>4563</v>
      </c>
    </row>
    <row r="14" spans="2:25" ht="15" customHeight="1" x14ac:dyDescent="0.25">
      <c r="B14" s="4"/>
      <c r="C14" s="85" t="s">
        <v>4564</v>
      </c>
    </row>
    <row r="15" spans="2:25" ht="15" customHeight="1" x14ac:dyDescent="0.25">
      <c r="B15" s="4" t="s">
        <v>24</v>
      </c>
      <c r="C15" s="85" t="s">
        <v>25</v>
      </c>
    </row>
    <row r="16" spans="2:25" ht="15" customHeight="1" x14ac:dyDescent="0.25">
      <c r="B16" s="4" t="s">
        <v>24</v>
      </c>
      <c r="C16" s="85" t="s">
        <v>4565</v>
      </c>
    </row>
    <row r="17" spans="2:25" ht="15" customHeight="1" x14ac:dyDescent="0.25">
      <c r="B17" s="4"/>
      <c r="C17" s="85" t="s">
        <v>4566</v>
      </c>
    </row>
    <row r="18" spans="2:25" ht="15" customHeight="1" x14ac:dyDescent="0.25">
      <c r="B18" s="4" t="s">
        <v>24</v>
      </c>
      <c r="C18" s="85" t="s">
        <v>4567</v>
      </c>
    </row>
    <row r="19" spans="2:25" ht="15" customHeight="1" x14ac:dyDescent="0.25">
      <c r="B19" s="4"/>
      <c r="C19" s="85" t="s">
        <v>4568</v>
      </c>
    </row>
    <row r="20" spans="2:25" ht="15" customHeight="1" x14ac:dyDescent="0.25">
      <c r="B20" s="4" t="s">
        <v>24</v>
      </c>
      <c r="C20" s="85" t="s">
        <v>4569</v>
      </c>
    </row>
    <row r="21" spans="2:25" ht="15" customHeight="1" x14ac:dyDescent="0.25">
      <c r="B21" s="4"/>
      <c r="C21" s="85" t="s">
        <v>4570</v>
      </c>
    </row>
    <row r="22" spans="2:25" ht="15" customHeight="1" x14ac:dyDescent="0.25">
      <c r="B22" s="4"/>
      <c r="C22" s="85" t="s">
        <v>4571</v>
      </c>
    </row>
    <row r="23" spans="2:25" ht="15" customHeight="1" x14ac:dyDescent="0.25">
      <c r="B23" s="4" t="s">
        <v>24</v>
      </c>
      <c r="C23" s="85" t="s">
        <v>26</v>
      </c>
    </row>
    <row r="25" spans="2:25" ht="8.1" customHeight="1" x14ac:dyDescent="0.25"/>
    <row r="26" spans="2:25" ht="20.100000000000001" customHeight="1" x14ac:dyDescent="0.3">
      <c r="B26" s="60" t="s">
        <v>27</v>
      </c>
      <c r="C26" s="61"/>
      <c r="D26" s="61"/>
      <c r="E26" s="61"/>
      <c r="F26" s="61"/>
      <c r="G26" s="61"/>
      <c r="H26" s="61"/>
      <c r="I26" s="61"/>
      <c r="K26" s="60" t="s">
        <v>28</v>
      </c>
      <c r="L26" s="61"/>
      <c r="M26" s="61"/>
      <c r="N26" s="61"/>
      <c r="O26" s="61"/>
      <c r="P26" s="61"/>
      <c r="Q26" s="61"/>
      <c r="S26" s="60" t="s">
        <v>29</v>
      </c>
      <c r="T26" s="61"/>
      <c r="U26" s="61"/>
      <c r="V26" s="61"/>
      <c r="W26" s="61"/>
      <c r="X26" s="61"/>
      <c r="Y26" s="61"/>
    </row>
    <row r="27" spans="2:25" x14ac:dyDescent="0.25">
      <c r="B27" s="5"/>
      <c r="C27" s="5"/>
      <c r="D27" s="5"/>
      <c r="E27" s="6" t="s">
        <v>30</v>
      </c>
      <c r="F27" s="6" t="s">
        <v>31</v>
      </c>
      <c r="G27" s="6" t="s">
        <v>32</v>
      </c>
      <c r="H27" s="6" t="s">
        <v>33</v>
      </c>
      <c r="I27" s="6" t="s">
        <v>34</v>
      </c>
    </row>
    <row r="28" spans="2:25" ht="20.100000000000001" customHeight="1" x14ac:dyDescent="0.25">
      <c r="B28" s="65" t="s">
        <v>35</v>
      </c>
      <c r="C28" s="7"/>
      <c r="D28" s="7"/>
      <c r="E28" s="8">
        <v>94.7</v>
      </c>
      <c r="F28" s="9">
        <v>3</v>
      </c>
      <c r="G28" s="9">
        <v>-13</v>
      </c>
      <c r="H28" s="9">
        <v>-6</v>
      </c>
      <c r="I28" s="9">
        <v>-13</v>
      </c>
    </row>
    <row r="29" spans="2:25" ht="20.100000000000001" customHeight="1" x14ac:dyDescent="0.25">
      <c r="B29" s="63" t="s">
        <v>36</v>
      </c>
      <c r="C29" s="7"/>
      <c r="D29" s="7"/>
      <c r="E29" s="8">
        <v>97.5</v>
      </c>
      <c r="F29" s="9">
        <v>-1</v>
      </c>
      <c r="G29" s="9">
        <v>-4</v>
      </c>
      <c r="H29" s="9">
        <v>-9</v>
      </c>
      <c r="I29" s="9">
        <v>-16</v>
      </c>
    </row>
    <row r="30" spans="2:25" ht="20.100000000000001" customHeight="1" x14ac:dyDescent="0.25">
      <c r="B30" s="63" t="s">
        <v>37</v>
      </c>
      <c r="C30" s="7"/>
      <c r="D30" s="7"/>
      <c r="E30" s="8">
        <v>93.5</v>
      </c>
      <c r="F30" s="9">
        <v>12</v>
      </c>
      <c r="G30" s="9">
        <v>-22</v>
      </c>
      <c r="H30" s="9">
        <v>-19</v>
      </c>
      <c r="I30" s="9">
        <v>-12</v>
      </c>
    </row>
    <row r="31" spans="2:25" ht="20.100000000000001" customHeight="1" x14ac:dyDescent="0.25">
      <c r="B31" s="63" t="s">
        <v>38</v>
      </c>
      <c r="C31" s="7"/>
      <c r="D31" s="7"/>
      <c r="E31" s="8">
        <v>79.5</v>
      </c>
      <c r="F31" s="9">
        <v>-18</v>
      </c>
      <c r="G31" s="9">
        <v>-23</v>
      </c>
      <c r="H31" s="9">
        <v>-17</v>
      </c>
      <c r="I31" s="9">
        <v>-20</v>
      </c>
    </row>
    <row r="32" spans="2:25" ht="20.100000000000001" customHeight="1" x14ac:dyDescent="0.25">
      <c r="B32" s="63" t="s">
        <v>39</v>
      </c>
      <c r="C32" s="7"/>
      <c r="D32" s="7"/>
      <c r="E32" s="8">
        <v>97.3</v>
      </c>
      <c r="F32" s="9">
        <v>10</v>
      </c>
      <c r="G32" s="9">
        <v>-14</v>
      </c>
      <c r="H32" s="9">
        <v>0</v>
      </c>
      <c r="I32" s="9">
        <v>-11</v>
      </c>
    </row>
    <row r="33" spans="2:2" x14ac:dyDescent="0.25">
      <c r="B33" s="64" t="s">
        <v>40</v>
      </c>
    </row>
    <row r="34" spans="2:2" ht="15" customHeight="1" x14ac:dyDescent="0.25"/>
    <row r="35" spans="2:2" ht="15" customHeight="1" x14ac:dyDescent="0.25"/>
    <row r="36" spans="2:2" ht="15" customHeight="1" x14ac:dyDescent="0.25"/>
    <row r="37" spans="2:2" ht="15" customHeight="1" x14ac:dyDescent="0.25"/>
    <row r="38" spans="2:2" ht="15" customHeight="1" x14ac:dyDescent="0.25"/>
    <row r="39" spans="2:2" ht="15" customHeight="1" x14ac:dyDescent="0.25"/>
    <row r="40" spans="2:2" ht="15" customHeight="1" x14ac:dyDescent="0.25"/>
    <row r="42" spans="2:2" ht="11.25" customHeight="1" x14ac:dyDescent="0.25">
      <c r="B42" s="86" t="s">
        <v>4572</v>
      </c>
    </row>
    <row r="43" spans="2:2" ht="11.25" customHeight="1" x14ac:dyDescent="0.25">
      <c r="B43" s="86" t="s">
        <v>4573</v>
      </c>
    </row>
  </sheetData>
  <conditionalFormatting sqref="E23:E27">
    <cfRule type="colorScale" priority="2">
      <colorScale>
        <cfvo type="num" val="70"/>
        <cfvo type="num" val="100"/>
        <cfvo type="num" val="130"/>
        <color rgb="FFF4B6A5"/>
        <color rgb="FFFFFFFF"/>
        <color rgb="FF9FD8B8"/>
      </colorScale>
    </cfRule>
  </conditionalFormatting>
  <conditionalFormatting sqref="F23:I27">
    <cfRule type="colorScale" priority="1">
      <colorScale>
        <cfvo type="num" val="-40"/>
        <cfvo type="num" val="0"/>
        <cfvo type="num" val="40"/>
        <color rgb="FFF4B6A5"/>
        <color rgb="FFFFFFFF"/>
        <color rgb="FF9FD8B8"/>
      </colorScale>
    </cfRule>
  </conditionalFormatting>
  <printOptions horizontalCentered="1"/>
  <pageMargins left="0.4" right="0.4" top="0.4" bottom="0.4" header="0.5" footer="0.5"/>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3882"/>
    <pageSetUpPr fitToPage="1"/>
  </sheetPr>
  <dimension ref="B2:P69"/>
  <sheetViews>
    <sheetView showGridLines="0" zoomScale="115" zoomScaleNormal="115" workbookViewId="0">
      <pane ySplit="7" topLeftCell="A8" activePane="bottomLeft" state="frozen"/>
      <selection pane="bottomLeft" activeCell="T56" sqref="T56"/>
    </sheetView>
  </sheetViews>
  <sheetFormatPr baseColWidth="10" defaultColWidth="9.140625" defaultRowHeight="15" x14ac:dyDescent="0.25"/>
  <cols>
    <col min="1" max="1" width="2" customWidth="1"/>
    <col min="2" max="2" width="25" customWidth="1"/>
    <col min="3" max="3" width="19" customWidth="1"/>
    <col min="4" max="16" width="8.85546875" customWidth="1"/>
  </cols>
  <sheetData>
    <row r="2" spans="2:16" ht="26.25" x14ac:dyDescent="0.45">
      <c r="B2" s="1" t="str">
        <f>"DIHK-Konjunkturumfrage "&amp;$N$6&amp;" – Dashboard"</f>
        <v>DIHK-Konjunkturumfrage Herbst 2026 – Dashboard</v>
      </c>
      <c r="P2" s="10"/>
    </row>
    <row r="3" spans="2:16" x14ac:dyDescent="0.25">
      <c r="B3" s="11" t="s">
        <v>4561</v>
      </c>
      <c r="P3" s="12" t="str">
        <f>IF(OR(AND(ISNUMBER(P11),P11&lt;30),AND(ISNUMBER(P12),P12&lt;30)),"⚠ Weniger als 30 Antworten – Werte mit Vorsicht interpretieren","")</f>
        <v/>
      </c>
    </row>
    <row r="5" spans="2:16" x14ac:dyDescent="0.25">
      <c r="B5" s="13" t="s">
        <v>41</v>
      </c>
      <c r="C5" s="82" t="s">
        <v>45</v>
      </c>
      <c r="D5" s="83"/>
      <c r="E5" s="83"/>
      <c r="F5" s="84"/>
      <c r="H5" s="77" t="str">
        <f>IFERROR("WZ "&amp;INDEX(Listen!$E$2:$E$67,MATCH($C$5,Listen!$A$2:$A$67,0)),"")</f>
        <v>WZ 05 bis 96 ohne 84 und 94</v>
      </c>
      <c r="L5" s="57" t="s">
        <v>42</v>
      </c>
      <c r="N5" s="82" t="s">
        <v>43</v>
      </c>
      <c r="O5" s="83"/>
      <c r="P5" s="84"/>
    </row>
    <row r="6" spans="2:16" x14ac:dyDescent="0.25">
      <c r="B6" s="13" t="s">
        <v>44</v>
      </c>
      <c r="C6" s="82" t="s">
        <v>110</v>
      </c>
      <c r="D6" s="83"/>
      <c r="E6" s="83"/>
      <c r="F6" s="84"/>
      <c r="H6" s="77" t="str">
        <f>IF($C$6="(kein Vergleich)","",IFERROR("WZ "&amp;INDEX(Listen!$E$2:$E$67,MATCH($C$6,Listen!$A$2:$A$67,0)),""))</f>
        <v>WZ 05 bis 39</v>
      </c>
      <c r="L6" s="57" t="s">
        <v>46</v>
      </c>
      <c r="N6" s="82" t="s">
        <v>47</v>
      </c>
      <c r="O6" s="83"/>
      <c r="P6" s="84"/>
    </row>
    <row r="9" spans="2:16" x14ac:dyDescent="0.25">
      <c r="B9" s="14"/>
      <c r="C9" s="14"/>
      <c r="D9" s="81" t="str">
        <f>"Anteile "&amp;Berechnung!$B$16&amp;" in %"</f>
        <v>Anteile HB 26 in %</v>
      </c>
      <c r="E9" s="81"/>
      <c r="F9" s="81"/>
      <c r="G9" s="81" t="str">
        <f>"Anteile "&amp;Berechnung!$B$17&amp;" in %"</f>
        <v>Anteile FS 26 in %</v>
      </c>
      <c r="H9" s="81"/>
      <c r="I9" s="81"/>
      <c r="J9" s="81" t="s">
        <v>48</v>
      </c>
      <c r="K9" s="81"/>
      <c r="L9" s="81"/>
      <c r="M9" s="81"/>
      <c r="N9" s="81"/>
      <c r="O9" s="81"/>
      <c r="P9" s="81"/>
    </row>
    <row r="10" spans="2:16" ht="33.950000000000003" customHeight="1" x14ac:dyDescent="0.25">
      <c r="B10" s="15" t="s">
        <v>49</v>
      </c>
      <c r="C10" s="14" t="s">
        <v>50</v>
      </c>
      <c r="D10" s="14" t="s">
        <v>51</v>
      </c>
      <c r="E10" s="14" t="s">
        <v>52</v>
      </c>
      <c r="F10" s="14" t="s">
        <v>53</v>
      </c>
      <c r="G10" s="14" t="s">
        <v>51</v>
      </c>
      <c r="H10" s="14" t="s">
        <v>52</v>
      </c>
      <c r="I10" s="14" t="s">
        <v>53</v>
      </c>
      <c r="J10" s="14" t="str">
        <f>Berechnung!$B$16</f>
        <v>HB 26</v>
      </c>
      <c r="K10" s="14" t="str">
        <f>Berechnung!$B$17</f>
        <v>FS 26</v>
      </c>
      <c r="L10" s="14" t="s">
        <v>54</v>
      </c>
      <c r="M10" s="14" t="str">
        <f>Berechnung!$B$18</f>
        <v>HB 25</v>
      </c>
      <c r="N10" s="14" t="s">
        <v>55</v>
      </c>
      <c r="O10" s="14" t="s">
        <v>56</v>
      </c>
      <c r="P10" s="14" t="s">
        <v>57</v>
      </c>
    </row>
    <row r="11" spans="2:16" x14ac:dyDescent="0.25">
      <c r="B11" s="16" t="s">
        <v>3</v>
      </c>
      <c r="C11" s="17" t="str">
        <f>Berechnung!$B$14</f>
        <v>Alle Branchen</v>
      </c>
      <c r="D11" s="18">
        <f>IFERROR(IF(INDEX(Daten_Anteile!$A:$ZZ,MATCH(Berechnung!$B$12&amp;"|Lage|"&amp;Berechnung!$B$2,Daten_Anteile!$A$1:$A$2971,0),6)="","",INDEX(Daten_Anteile!$A:$ZZ,MATCH(Berechnung!$B$12&amp;"|Lage|"&amp;Berechnung!$B$2,Daten_Anteile!$A$1:$A$2971,0),6)),"")</f>
        <v>26</v>
      </c>
      <c r="E11" s="18">
        <f>IFERROR(IF(INDEX(Daten_Anteile!$A:$ZZ,MATCH(Berechnung!$B$12&amp;"|Lage|"&amp;Berechnung!$B$2,Daten_Anteile!$A$1:$A$2971,0),7)="","",INDEX(Daten_Anteile!$A:$ZZ,MATCH(Berechnung!$B$12&amp;"|Lage|"&amp;Berechnung!$B$2,Daten_Anteile!$A$1:$A$2971,0),7)),"")</f>
        <v>51</v>
      </c>
      <c r="F11" s="18">
        <f>IFERROR(IF(INDEX(Daten_Anteile!$A:$ZZ,MATCH(Berechnung!$B$12&amp;"|Lage|"&amp;Berechnung!$B$2,Daten_Anteile!$A$1:$A$2971,0),8)="","",INDEX(Daten_Anteile!$A:$ZZ,MATCH(Berechnung!$B$12&amp;"|Lage|"&amp;Berechnung!$B$2,Daten_Anteile!$A$1:$A$2971,0),8)),"")</f>
        <v>23</v>
      </c>
      <c r="G11" s="18">
        <f>IFERROR(IF(INDEX(Daten_Anteile!$A:$ZZ,MATCH(Berechnung!$B$12&amp;"|Lage|"&amp;Berechnung!$B$3,Daten_Anteile!$A$1:$A$2971,0),6)="","",INDEX(Daten_Anteile!$A:$ZZ,MATCH(Berechnung!$B$12&amp;"|Lage|"&amp;Berechnung!$B$3,Daten_Anteile!$A$1:$A$2971,0),6)),"")</f>
        <v>23</v>
      </c>
      <c r="H11" s="18">
        <f>IFERROR(IF(INDEX(Daten_Anteile!$A:$ZZ,MATCH(Berechnung!$B$12&amp;"|Lage|"&amp;Berechnung!$B$3,Daten_Anteile!$A$1:$A$2971,0),7)="","",INDEX(Daten_Anteile!$A:$ZZ,MATCH(Berechnung!$B$12&amp;"|Lage|"&amp;Berechnung!$B$3,Daten_Anteile!$A$1:$A$2971,0),7)),"")</f>
        <v>51</v>
      </c>
      <c r="I11" s="18">
        <f>IFERROR(IF(INDEX(Daten_Anteile!$A:$ZZ,MATCH(Berechnung!$B$12&amp;"|Lage|"&amp;Berechnung!$B$3,Daten_Anteile!$A$1:$A$2971,0),8)="","",INDEX(Daten_Anteile!$A:$ZZ,MATCH(Berechnung!$B$12&amp;"|Lage|"&amp;Berechnung!$B$3,Daten_Anteile!$A$1:$A$2971,0),8)),"")</f>
        <v>26</v>
      </c>
      <c r="J11" s="19">
        <f>IFERROR(IF(INDEX(Daten_Salden!$A:$ZZ,Berechnung!$B$21,Berechnung!$B$5)="","",INDEX(Daten_Salden!$A:$ZZ,Berechnung!$B$21,Berechnung!$B$5)),"")</f>
        <v>3</v>
      </c>
      <c r="K11" s="20">
        <f>IFERROR(IF(INDEX(Daten_Salden!$A:$ZZ,Berechnung!$B$21,Berechnung!$B$6)="","",INDEX(Daten_Salden!$A:$ZZ,Berechnung!$B$21,Berechnung!$B$6)),"")</f>
        <v>-3</v>
      </c>
      <c r="L11" s="20">
        <f t="shared" ref="L11:L22" si="0">IF(AND(ISNUMBER(J11),ISNUMBER(K11)),ROUND(J11-K11,1),"")</f>
        <v>6</v>
      </c>
      <c r="M11" s="20">
        <f>IFERROR(IF(INDEX(Daten_Salden!$A:$ZZ,Berechnung!$B$21,Berechnung!$B$7)="","",INDEX(Daten_Salden!$A:$ZZ,Berechnung!$B$21,Berechnung!$B$7)),"")</f>
        <v>0</v>
      </c>
      <c r="N11" s="20">
        <f t="shared" ref="N11:N22" si="1">IF(AND(ISNUMBER(J11),ISNUMBER(M11)),ROUND(J11-M11,1),"")</f>
        <v>3</v>
      </c>
      <c r="O11" s="20">
        <f>IFERROR(IF(INDEX(Daten_Salden!$A:$ZZ,Berechnung!$B$21,4)="","",INDEX(Daten_Salden!$A:$ZZ,Berechnung!$B$21,4)),"")</f>
        <v>18.585999999999999</v>
      </c>
      <c r="P11" s="18">
        <f>IFERROR(IF(INDEX(Daten_Anteile!$A:$ZZ,MATCH(Berechnung!$B$12&amp;"|Lage|"&amp;Berechnung!$B$2,Daten_Anteile!$A$1:$A$2971,0),5)="","",INDEX(Daten_Anteile!$A:$ZZ,MATCH(Berechnung!$B$12&amp;"|Lage|"&amp;Berechnung!$B$2,Daten_Anteile!$A$1:$A$2971,0),5)),"")</f>
        <v>23549</v>
      </c>
    </row>
    <row r="12" spans="2:16" x14ac:dyDescent="0.25">
      <c r="B12" s="21"/>
      <c r="C12" s="22" t="str">
        <f>Berechnung!$B$15</f>
        <v>Industrie</v>
      </c>
      <c r="D12" s="23">
        <f>IFERROR(IF(INDEX(Daten_Anteile!$A:$ZZ,MATCH(Berechnung!$B$13&amp;"|Lage|"&amp;Berechnung!$B$2,Daten_Anteile!$A$1:$A$2971,0),6)="","",INDEX(Daten_Anteile!$A:$ZZ,MATCH(Berechnung!$B$13&amp;"|Lage|"&amp;Berechnung!$B$2,Daten_Anteile!$A$1:$A$2971,0),6)),"")</f>
        <v>25</v>
      </c>
      <c r="E12" s="23">
        <f>IFERROR(IF(INDEX(Daten_Anteile!$A:$ZZ,MATCH(Berechnung!$B$13&amp;"|Lage|"&amp;Berechnung!$B$2,Daten_Anteile!$A$1:$A$2971,0),7)="","",INDEX(Daten_Anteile!$A:$ZZ,MATCH(Berechnung!$B$13&amp;"|Lage|"&amp;Berechnung!$B$2,Daten_Anteile!$A$1:$A$2971,0),7)),"")</f>
        <v>49</v>
      </c>
      <c r="F12" s="23">
        <f>IFERROR(IF(INDEX(Daten_Anteile!$A:$ZZ,MATCH(Berechnung!$B$13&amp;"|Lage|"&amp;Berechnung!$B$2,Daten_Anteile!$A$1:$A$2971,0),8)="","",INDEX(Daten_Anteile!$A:$ZZ,MATCH(Berechnung!$B$13&amp;"|Lage|"&amp;Berechnung!$B$2,Daten_Anteile!$A$1:$A$2971,0),8)),"")</f>
        <v>26</v>
      </c>
      <c r="G12" s="23">
        <f>IFERROR(IF(INDEX(Daten_Anteile!$A:$ZZ,MATCH(Berechnung!$B$13&amp;"|Lage|"&amp;Berechnung!$B$3,Daten_Anteile!$A$1:$A$2971,0),6)="","",INDEX(Daten_Anteile!$A:$ZZ,MATCH(Berechnung!$B$13&amp;"|Lage|"&amp;Berechnung!$B$3,Daten_Anteile!$A$1:$A$2971,0),6)),"")</f>
        <v>21</v>
      </c>
      <c r="H12" s="23">
        <f>IFERROR(IF(INDEX(Daten_Anteile!$A:$ZZ,MATCH(Berechnung!$B$13&amp;"|Lage|"&amp;Berechnung!$B$3,Daten_Anteile!$A$1:$A$2971,0),7)="","",INDEX(Daten_Anteile!$A:$ZZ,MATCH(Berechnung!$B$13&amp;"|Lage|"&amp;Berechnung!$B$3,Daten_Anteile!$A$1:$A$2971,0),7)),"")</f>
        <v>51</v>
      </c>
      <c r="I12" s="23">
        <f>IFERROR(IF(INDEX(Daten_Anteile!$A:$ZZ,MATCH(Berechnung!$B$13&amp;"|Lage|"&amp;Berechnung!$B$3,Daten_Anteile!$A$1:$A$2971,0),8)="","",INDEX(Daten_Anteile!$A:$ZZ,MATCH(Berechnung!$B$13&amp;"|Lage|"&amp;Berechnung!$B$3,Daten_Anteile!$A$1:$A$2971,0),8)),"")</f>
        <v>28</v>
      </c>
      <c r="J12" s="24">
        <f>IFERROR(IF(INDEX(Daten_Salden!$A:$ZZ,Berechnung!$C$21,Berechnung!$B$5)="","",INDEX(Daten_Salden!$A:$ZZ,Berechnung!$C$21,Berechnung!$B$5)),"")</f>
        <v>-1</v>
      </c>
      <c r="K12" s="25">
        <f>IFERROR(IF(INDEX(Daten_Salden!$A:$ZZ,Berechnung!$C$21,Berechnung!$B$6)="","",INDEX(Daten_Salden!$A:$ZZ,Berechnung!$C$21,Berechnung!$B$6)),"")</f>
        <v>-7</v>
      </c>
      <c r="L12" s="25">
        <f t="shared" si="0"/>
        <v>6</v>
      </c>
      <c r="M12" s="25">
        <f>IFERROR(IF(INDEX(Daten_Salden!$A:$ZZ,Berechnung!$C$21,Berechnung!$B$7)="","",INDEX(Daten_Salden!$A:$ZZ,Berechnung!$C$21,Berechnung!$B$7)),"")</f>
        <v>-15</v>
      </c>
      <c r="N12" s="25">
        <f t="shared" si="1"/>
        <v>14</v>
      </c>
      <c r="O12" s="25">
        <f>IFERROR(IF(INDEX(Daten_Salden!$A:$ZZ,Berechnung!$C$21,4)="","",INDEX(Daten_Salden!$A:$ZZ,Berechnung!$C$21,4)),"")</f>
        <v>18.571000000000002</v>
      </c>
      <c r="P12" s="23">
        <f>IFERROR(IF(INDEX(Daten_Anteile!$A:$ZZ,MATCH(Berechnung!$B$13&amp;"|Lage|"&amp;Berechnung!$B$2,Daten_Anteile!$A$1:$A$2971,0),5)="","",INDEX(Daten_Anteile!$A:$ZZ,MATCH(Berechnung!$B$13&amp;"|Lage|"&amp;Berechnung!$B$2,Daten_Anteile!$A$1:$A$2971,0),5)),"")</f>
        <v>5866</v>
      </c>
    </row>
    <row r="13" spans="2:16" x14ac:dyDescent="0.25">
      <c r="B13" s="16" t="s">
        <v>4</v>
      </c>
      <c r="C13" s="17" t="str">
        <f>Berechnung!$B$14</f>
        <v>Alle Branchen</v>
      </c>
      <c r="D13" s="18">
        <f>IFERROR(IF(INDEX(Daten_Anteile!$A:$ZZ,MATCH(Berechnung!$B$12&amp;"|Erwartungen|"&amp;Berechnung!$B$2,Daten_Anteile!$A$1:$A$2971,0),6)="","",INDEX(Daten_Anteile!$A:$ZZ,MATCH(Berechnung!$B$12&amp;"|Erwartungen|"&amp;Berechnung!$B$2,Daten_Anteile!$A$1:$A$2971,0),6)),"")</f>
        <v>15</v>
      </c>
      <c r="E13" s="18">
        <f>IFERROR(IF(INDEX(Daten_Anteile!$A:$ZZ,MATCH(Berechnung!$B$12&amp;"|Erwartungen|"&amp;Berechnung!$B$2,Daten_Anteile!$A$1:$A$2971,0),7)="","",INDEX(Daten_Anteile!$A:$ZZ,MATCH(Berechnung!$B$12&amp;"|Erwartungen|"&amp;Berechnung!$B$2,Daten_Anteile!$A$1:$A$2971,0),7)),"")</f>
        <v>57</v>
      </c>
      <c r="F13" s="18">
        <f>IFERROR(IF(INDEX(Daten_Anteile!$A:$ZZ,MATCH(Berechnung!$B$12&amp;"|Erwartungen|"&amp;Berechnung!$B$2,Daten_Anteile!$A$1:$A$2971,0),8)="","",INDEX(Daten_Anteile!$A:$ZZ,MATCH(Berechnung!$B$12&amp;"|Erwartungen|"&amp;Berechnung!$B$2,Daten_Anteile!$A$1:$A$2971,0),8)),"")</f>
        <v>28</v>
      </c>
      <c r="G13" s="18">
        <f>IFERROR(IF(INDEX(Daten_Anteile!$A:$ZZ,MATCH(Berechnung!$B$12&amp;"|Erwartungen|"&amp;Berechnung!$B$3,Daten_Anteile!$A$1:$A$2971,0),6)="","",INDEX(Daten_Anteile!$A:$ZZ,MATCH(Berechnung!$B$12&amp;"|Erwartungen|"&amp;Berechnung!$B$3,Daten_Anteile!$A$1:$A$2971,0),6)),"")</f>
        <v>13</v>
      </c>
      <c r="H13" s="18">
        <f>IFERROR(IF(INDEX(Daten_Anteile!$A:$ZZ,MATCH(Berechnung!$B$12&amp;"|Erwartungen|"&amp;Berechnung!$B$3,Daten_Anteile!$A$1:$A$2971,0),7)="","",INDEX(Daten_Anteile!$A:$ZZ,MATCH(Berechnung!$B$12&amp;"|Erwartungen|"&amp;Berechnung!$B$3,Daten_Anteile!$A$1:$A$2971,0),7)),"")</f>
        <v>54</v>
      </c>
      <c r="I13" s="18">
        <f>IFERROR(IF(INDEX(Daten_Anteile!$A:$ZZ,MATCH(Berechnung!$B$12&amp;"|Erwartungen|"&amp;Berechnung!$B$3,Daten_Anteile!$A$1:$A$2971,0),8)="","",INDEX(Daten_Anteile!$A:$ZZ,MATCH(Berechnung!$B$12&amp;"|Erwartungen|"&amp;Berechnung!$B$3,Daten_Anteile!$A$1:$A$2971,0),8)),"")</f>
        <v>33</v>
      </c>
      <c r="J13" s="19">
        <f>IFERROR(IF(INDEX(Daten_Salden!$A:$ZZ,Berechnung!$B$22,Berechnung!$B$5)="","",INDEX(Daten_Salden!$A:$ZZ,Berechnung!$B$22,Berechnung!$B$5)),"")</f>
        <v>-13</v>
      </c>
      <c r="K13" s="20">
        <f>IFERROR(IF(INDEX(Daten_Salden!$A:$ZZ,Berechnung!$B$22,Berechnung!$B$6)="","",INDEX(Daten_Salden!$A:$ZZ,Berechnung!$B$22,Berechnung!$B$6)),"")</f>
        <v>-20</v>
      </c>
      <c r="L13" s="20">
        <f t="shared" si="0"/>
        <v>7</v>
      </c>
      <c r="M13" s="20">
        <f>IFERROR(IF(INDEX(Daten_Salden!$A:$ZZ,Berechnung!$B$22,Berechnung!$B$7)="","",INDEX(Daten_Salden!$A:$ZZ,Berechnung!$B$22,Berechnung!$B$7)),"")</f>
        <v>-12</v>
      </c>
      <c r="N13" s="20">
        <f t="shared" si="1"/>
        <v>-1</v>
      </c>
      <c r="O13" s="20">
        <f>IFERROR(IF(INDEX(Daten_Salden!$A:$ZZ,Berechnung!$B$22,4)="","",INDEX(Daten_Salden!$A:$ZZ,Berechnung!$B$22,4)),"")</f>
        <v>1.986</v>
      </c>
      <c r="P13" s="18">
        <f>IFERROR(IF(INDEX(Daten_Anteile!$A:$ZZ,MATCH(Berechnung!$B$12&amp;"|Erwartungen|"&amp;Berechnung!$B$2,Daten_Anteile!$A$1:$A$2971,0),5)="","",INDEX(Daten_Anteile!$A:$ZZ,MATCH(Berechnung!$B$12&amp;"|Erwartungen|"&amp;Berechnung!$B$2,Daten_Anteile!$A$1:$A$2971,0),5)),"")</f>
        <v>23343</v>
      </c>
    </row>
    <row r="14" spans="2:16" x14ac:dyDescent="0.25">
      <c r="B14" s="21"/>
      <c r="C14" s="22" t="str">
        <f>Berechnung!$B$15</f>
        <v>Industrie</v>
      </c>
      <c r="D14" s="23">
        <f>IFERROR(IF(INDEX(Daten_Anteile!$A:$ZZ,MATCH(Berechnung!$B$13&amp;"|Erwartungen|"&amp;Berechnung!$B$2,Daten_Anteile!$A$1:$A$2971,0),6)="","",INDEX(Daten_Anteile!$A:$ZZ,MATCH(Berechnung!$B$13&amp;"|Erwartungen|"&amp;Berechnung!$B$2,Daten_Anteile!$A$1:$A$2971,0),6)),"")</f>
        <v>18</v>
      </c>
      <c r="E14" s="23">
        <f>IFERROR(IF(INDEX(Daten_Anteile!$A:$ZZ,MATCH(Berechnung!$B$13&amp;"|Erwartungen|"&amp;Berechnung!$B$2,Daten_Anteile!$A$1:$A$2971,0),7)="","",INDEX(Daten_Anteile!$A:$ZZ,MATCH(Berechnung!$B$13&amp;"|Erwartungen|"&amp;Berechnung!$B$2,Daten_Anteile!$A$1:$A$2971,0),7)),"")</f>
        <v>60</v>
      </c>
      <c r="F14" s="23">
        <f>IFERROR(IF(INDEX(Daten_Anteile!$A:$ZZ,MATCH(Berechnung!$B$13&amp;"|Erwartungen|"&amp;Berechnung!$B$2,Daten_Anteile!$A$1:$A$2971,0),8)="","",INDEX(Daten_Anteile!$A:$ZZ,MATCH(Berechnung!$B$13&amp;"|Erwartungen|"&amp;Berechnung!$B$2,Daten_Anteile!$A$1:$A$2971,0),8)),"")</f>
        <v>22</v>
      </c>
      <c r="G14" s="23">
        <f>IFERROR(IF(INDEX(Daten_Anteile!$A:$ZZ,MATCH(Berechnung!$B$13&amp;"|Erwartungen|"&amp;Berechnung!$B$3,Daten_Anteile!$A$1:$A$2971,0),6)="","",INDEX(Daten_Anteile!$A:$ZZ,MATCH(Berechnung!$B$13&amp;"|Erwartungen|"&amp;Berechnung!$B$3,Daten_Anteile!$A$1:$A$2971,0),6)),"")</f>
        <v>15</v>
      </c>
      <c r="H14" s="23">
        <f>IFERROR(IF(INDEX(Daten_Anteile!$A:$ZZ,MATCH(Berechnung!$B$13&amp;"|Erwartungen|"&amp;Berechnung!$B$3,Daten_Anteile!$A$1:$A$2971,0),7)="","",INDEX(Daten_Anteile!$A:$ZZ,MATCH(Berechnung!$B$13&amp;"|Erwartungen|"&amp;Berechnung!$B$3,Daten_Anteile!$A$1:$A$2971,0),7)),"")</f>
        <v>54</v>
      </c>
      <c r="I14" s="23">
        <f>IFERROR(IF(INDEX(Daten_Anteile!$A:$ZZ,MATCH(Berechnung!$B$13&amp;"|Erwartungen|"&amp;Berechnung!$B$3,Daten_Anteile!$A$1:$A$2971,0),8)="","",INDEX(Daten_Anteile!$A:$ZZ,MATCH(Berechnung!$B$13&amp;"|Erwartungen|"&amp;Berechnung!$B$3,Daten_Anteile!$A$1:$A$2971,0),8)),"")</f>
        <v>31</v>
      </c>
      <c r="J14" s="24">
        <f>IFERROR(IF(INDEX(Daten_Salden!$A:$ZZ,Berechnung!$C$22,Berechnung!$B$5)="","",INDEX(Daten_Salden!$A:$ZZ,Berechnung!$C$22,Berechnung!$B$5)),"")</f>
        <v>-4</v>
      </c>
      <c r="K14" s="25">
        <f>IFERROR(IF(INDEX(Daten_Salden!$A:$ZZ,Berechnung!$C$22,Berechnung!$B$6)="","",INDEX(Daten_Salden!$A:$ZZ,Berechnung!$C$22,Berechnung!$B$6)),"")</f>
        <v>-16</v>
      </c>
      <c r="L14" s="25">
        <f t="shared" si="0"/>
        <v>12</v>
      </c>
      <c r="M14" s="25">
        <f>IFERROR(IF(INDEX(Daten_Salden!$A:$ZZ,Berechnung!$C$22,Berechnung!$B$7)="","",INDEX(Daten_Salden!$A:$ZZ,Berechnung!$C$22,Berechnung!$B$7)),"")</f>
        <v>-9</v>
      </c>
      <c r="N14" s="25">
        <f t="shared" si="1"/>
        <v>5</v>
      </c>
      <c r="O14" s="25">
        <f>IFERROR(IF(INDEX(Daten_Salden!$A:$ZZ,Berechnung!$C$22,4)="","",INDEX(Daten_Salden!$A:$ZZ,Berechnung!$C$22,4)),"")</f>
        <v>4.9710000000000001</v>
      </c>
      <c r="P14" s="23">
        <f>IFERROR(IF(INDEX(Daten_Anteile!$A:$ZZ,MATCH(Berechnung!$B$13&amp;"|Erwartungen|"&amp;Berechnung!$B$2,Daten_Anteile!$A$1:$A$2971,0),5)="","",INDEX(Daten_Anteile!$A:$ZZ,MATCH(Berechnung!$B$13&amp;"|Erwartungen|"&amp;Berechnung!$B$2,Daten_Anteile!$A$1:$A$2971,0),5)),"")</f>
        <v>5800</v>
      </c>
    </row>
    <row r="15" spans="2:16" x14ac:dyDescent="0.25">
      <c r="B15" s="16" t="s">
        <v>58</v>
      </c>
      <c r="C15" s="17" t="str">
        <f>Berechnung!$B$14</f>
        <v>Alle Branchen</v>
      </c>
      <c r="D15" s="18" t="str">
        <f>IFERROR(IF(INDEX(Daten_Anteile!$A:$ZZ,MATCH(Berechnung!$B$12&amp;"|Export|"&amp;Berechnung!$B$2,Daten_Anteile!$A$1:$A$2971,0),6)="","",INDEX(Daten_Anteile!$A:$ZZ,MATCH(Berechnung!$B$12&amp;"|Export|"&amp;Berechnung!$B$2,Daten_Anteile!$A$1:$A$2971,0),6)),"")</f>
        <v/>
      </c>
      <c r="E15" s="18" t="str">
        <f>IFERROR(IF(INDEX(Daten_Anteile!$A:$ZZ,MATCH(Berechnung!$B$12&amp;"|Export|"&amp;Berechnung!$B$2,Daten_Anteile!$A$1:$A$2971,0),7)="","",INDEX(Daten_Anteile!$A:$ZZ,MATCH(Berechnung!$B$12&amp;"|Export|"&amp;Berechnung!$B$2,Daten_Anteile!$A$1:$A$2971,0),7)),"")</f>
        <v/>
      </c>
      <c r="F15" s="18" t="str">
        <f>IFERROR(IF(INDEX(Daten_Anteile!$A:$ZZ,MATCH(Berechnung!$B$12&amp;"|Export|"&amp;Berechnung!$B$2,Daten_Anteile!$A$1:$A$2971,0),8)="","",INDEX(Daten_Anteile!$A:$ZZ,MATCH(Berechnung!$B$12&amp;"|Export|"&amp;Berechnung!$B$2,Daten_Anteile!$A$1:$A$2971,0),8)),"")</f>
        <v/>
      </c>
      <c r="G15" s="18" t="str">
        <f>IFERROR(IF(INDEX(Daten_Anteile!$A:$ZZ,MATCH(Berechnung!$B$12&amp;"|Export|"&amp;Berechnung!$B$3,Daten_Anteile!$A$1:$A$2971,0),6)="","",INDEX(Daten_Anteile!$A:$ZZ,MATCH(Berechnung!$B$12&amp;"|Export|"&amp;Berechnung!$B$3,Daten_Anteile!$A$1:$A$2971,0),6)),"")</f>
        <v/>
      </c>
      <c r="H15" s="18" t="str">
        <f>IFERROR(IF(INDEX(Daten_Anteile!$A:$ZZ,MATCH(Berechnung!$B$12&amp;"|Export|"&amp;Berechnung!$B$3,Daten_Anteile!$A$1:$A$2971,0),7)="","",INDEX(Daten_Anteile!$A:$ZZ,MATCH(Berechnung!$B$12&amp;"|Export|"&amp;Berechnung!$B$3,Daten_Anteile!$A$1:$A$2971,0),7)),"")</f>
        <v/>
      </c>
      <c r="I15" s="18" t="str">
        <f>IFERROR(IF(INDEX(Daten_Anteile!$A:$ZZ,MATCH(Berechnung!$B$12&amp;"|Export|"&amp;Berechnung!$B$3,Daten_Anteile!$A$1:$A$2971,0),8)="","",INDEX(Daten_Anteile!$A:$ZZ,MATCH(Berechnung!$B$12&amp;"|Export|"&amp;Berechnung!$B$3,Daten_Anteile!$A$1:$A$2971,0),8)),"")</f>
        <v/>
      </c>
      <c r="J15" s="19" t="str">
        <f>IFERROR(IF(INDEX(Daten_Salden!$A:$ZZ,Berechnung!$B$23,Berechnung!$B$5)="","",INDEX(Daten_Salden!$A:$ZZ,Berechnung!$B$23,Berechnung!$B$5)),"")</f>
        <v/>
      </c>
      <c r="K15" s="20" t="str">
        <f>IFERROR(IF(INDEX(Daten_Salden!$A:$ZZ,Berechnung!$B$23,Berechnung!$B$6)="","",INDEX(Daten_Salden!$A:$ZZ,Berechnung!$B$23,Berechnung!$B$6)),"")</f>
        <v/>
      </c>
      <c r="L15" s="20" t="str">
        <f t="shared" si="0"/>
        <v/>
      </c>
      <c r="M15" s="20" t="str">
        <f>IFERROR(IF(INDEX(Daten_Salden!$A:$ZZ,Berechnung!$B$23,Berechnung!$B$7)="","",INDEX(Daten_Salden!$A:$ZZ,Berechnung!$B$23,Berechnung!$B$7)),"")</f>
        <v/>
      </c>
      <c r="N15" s="20" t="str">
        <f t="shared" si="1"/>
        <v/>
      </c>
      <c r="O15" s="20" t="str">
        <f>IFERROR(IF(INDEX(Daten_Salden!$A:$ZZ,Berechnung!$B$23,4)="","",INDEX(Daten_Salden!$A:$ZZ,Berechnung!$B$23,4)),"")</f>
        <v/>
      </c>
      <c r="P15" s="18" t="str">
        <f>IFERROR(IF(INDEX(Daten_Anteile!$A:$ZZ,MATCH(Berechnung!$B$12&amp;"|Export|"&amp;Berechnung!$B$2,Daten_Anteile!$A$1:$A$2971,0),5)="","",INDEX(Daten_Anteile!$A:$ZZ,MATCH(Berechnung!$B$12&amp;"|Export|"&amp;Berechnung!$B$2,Daten_Anteile!$A$1:$A$2971,0),5)),"")</f>
        <v/>
      </c>
    </row>
    <row r="16" spans="2:16" x14ac:dyDescent="0.25">
      <c r="B16" s="21"/>
      <c r="C16" s="22" t="str">
        <f>Berechnung!$B$15</f>
        <v>Industrie</v>
      </c>
      <c r="D16" s="23">
        <f>IFERROR(IF(INDEX(Daten_Anteile!$A:$ZZ,MATCH(Berechnung!$B$13&amp;"|Export|"&amp;Berechnung!$B$2,Daten_Anteile!$A$1:$A$2971,0),6)="","",INDEX(Daten_Anteile!$A:$ZZ,MATCH(Berechnung!$B$13&amp;"|Export|"&amp;Berechnung!$B$2,Daten_Anteile!$A$1:$A$2971,0),6)),"")</f>
        <v>24</v>
      </c>
      <c r="E16" s="23">
        <f>IFERROR(IF(INDEX(Daten_Anteile!$A:$ZZ,MATCH(Berechnung!$B$13&amp;"|Export|"&amp;Berechnung!$B$2,Daten_Anteile!$A$1:$A$2971,0),7)="","",INDEX(Daten_Anteile!$A:$ZZ,MATCH(Berechnung!$B$13&amp;"|Export|"&amp;Berechnung!$B$2,Daten_Anteile!$A$1:$A$2971,0),7)),"")</f>
        <v>55</v>
      </c>
      <c r="F16" s="23">
        <f>IFERROR(IF(INDEX(Daten_Anteile!$A:$ZZ,MATCH(Berechnung!$B$13&amp;"|Export|"&amp;Berechnung!$B$2,Daten_Anteile!$A$1:$A$2971,0),8)="","",INDEX(Daten_Anteile!$A:$ZZ,MATCH(Berechnung!$B$13&amp;"|Export|"&amp;Berechnung!$B$2,Daten_Anteile!$A$1:$A$2971,0),8)),"")</f>
        <v>21</v>
      </c>
      <c r="G16" s="23">
        <f>IFERROR(IF(INDEX(Daten_Anteile!$A:$ZZ,MATCH(Berechnung!$B$13&amp;"|Export|"&amp;Berechnung!$B$3,Daten_Anteile!$A$1:$A$2971,0),6)="","",INDEX(Daten_Anteile!$A:$ZZ,MATCH(Berechnung!$B$13&amp;"|Export|"&amp;Berechnung!$B$3,Daten_Anteile!$A$1:$A$2971,0),6)),"")</f>
        <v>19</v>
      </c>
      <c r="H16" s="23">
        <f>IFERROR(IF(INDEX(Daten_Anteile!$A:$ZZ,MATCH(Berechnung!$B$13&amp;"|Export|"&amp;Berechnung!$B$3,Daten_Anteile!$A$1:$A$2971,0),7)="","",INDEX(Daten_Anteile!$A:$ZZ,MATCH(Berechnung!$B$13&amp;"|Export|"&amp;Berechnung!$B$3,Daten_Anteile!$A$1:$A$2971,0),7)),"")</f>
        <v>52</v>
      </c>
      <c r="I16" s="23">
        <f>IFERROR(IF(INDEX(Daten_Anteile!$A:$ZZ,MATCH(Berechnung!$B$13&amp;"|Export|"&amp;Berechnung!$B$3,Daten_Anteile!$A$1:$A$2971,0),8)="","",INDEX(Daten_Anteile!$A:$ZZ,MATCH(Berechnung!$B$13&amp;"|Export|"&amp;Berechnung!$B$3,Daten_Anteile!$A$1:$A$2971,0),8)),"")</f>
        <v>29</v>
      </c>
      <c r="J16" s="24">
        <f>IFERROR(IF(INDEX(Daten_Salden!$A:$ZZ,Berechnung!$C$23,Berechnung!$B$5)="","",INDEX(Daten_Salden!$A:$ZZ,Berechnung!$C$23,Berechnung!$B$5)),"")</f>
        <v>3</v>
      </c>
      <c r="K16" s="25">
        <f>IFERROR(IF(INDEX(Daten_Salden!$A:$ZZ,Berechnung!$C$23,Berechnung!$B$6)="","",INDEX(Daten_Salden!$A:$ZZ,Berechnung!$C$23,Berechnung!$B$6)),"")</f>
        <v>-10</v>
      </c>
      <c r="L16" s="25">
        <f t="shared" si="0"/>
        <v>13</v>
      </c>
      <c r="M16" s="25">
        <f>IFERROR(IF(INDEX(Daten_Salden!$A:$ZZ,Berechnung!$C$23,Berechnung!$B$7)="","",INDEX(Daten_Salden!$A:$ZZ,Berechnung!$C$23,Berechnung!$B$7)),"")</f>
        <v>-10</v>
      </c>
      <c r="N16" s="25">
        <f t="shared" si="1"/>
        <v>13</v>
      </c>
      <c r="O16" s="25">
        <f>IFERROR(IF(INDEX(Daten_Salden!$A:$ZZ,Berechnung!$C$23,4)="","",INDEX(Daten_Salden!$A:$ZZ,Berechnung!$C$23,4)),"")</f>
        <v>13.486000000000001</v>
      </c>
      <c r="P16" s="23">
        <f>IFERROR(IF(INDEX(Daten_Anteile!$A:$ZZ,MATCH(Berechnung!$B$13&amp;"|Export|"&amp;Berechnung!$B$2,Daten_Anteile!$A$1:$A$2971,0),5)="","",INDEX(Daten_Anteile!$A:$ZZ,MATCH(Berechnung!$B$13&amp;"|Export|"&amp;Berechnung!$B$2,Daten_Anteile!$A$1:$A$2971,0),5)),"")</f>
        <v>4062</v>
      </c>
    </row>
    <row r="17" spans="2:16" x14ac:dyDescent="0.25">
      <c r="B17" s="16" t="s">
        <v>6</v>
      </c>
      <c r="C17" s="17" t="str">
        <f>Berechnung!$B$14</f>
        <v>Alle Branchen</v>
      </c>
      <c r="D17" s="18">
        <f>IFERROR(IF(INDEX(Daten_Anteile!$A:$ZZ,MATCH(Berechnung!$B$12&amp;"|Investitionen|"&amp;Berechnung!$B$2,Daten_Anteile!$A$1:$A$2971,0),6)="","",INDEX(Daten_Anteile!$A:$ZZ,MATCH(Berechnung!$B$12&amp;"|Investitionen|"&amp;Berechnung!$B$2,Daten_Anteile!$A$1:$A$2971,0),6)),"")</f>
        <v>24</v>
      </c>
      <c r="E17" s="18">
        <f>IFERROR(IF(INDEX(Daten_Anteile!$A:$ZZ,MATCH(Berechnung!$B$12&amp;"|Investitionen|"&amp;Berechnung!$B$2,Daten_Anteile!$A$1:$A$2971,0),7)="","",INDEX(Daten_Anteile!$A:$ZZ,MATCH(Berechnung!$B$12&amp;"|Investitionen|"&amp;Berechnung!$B$2,Daten_Anteile!$A$1:$A$2971,0),7)),"")</f>
        <v>46</v>
      </c>
      <c r="F17" s="18">
        <f>IFERROR(IF(INDEX(Daten_Anteile!$A:$ZZ,MATCH(Berechnung!$B$12&amp;"|Investitionen|"&amp;Berechnung!$B$2,Daten_Anteile!$A$1:$A$2971,0),8)="","",INDEX(Daten_Anteile!$A:$ZZ,MATCH(Berechnung!$B$12&amp;"|Investitionen|"&amp;Berechnung!$B$2,Daten_Anteile!$A$1:$A$2971,0),8)),"")</f>
        <v>30</v>
      </c>
      <c r="G17" s="18">
        <f>IFERROR(IF(INDEX(Daten_Anteile!$A:$ZZ,MATCH(Berechnung!$B$12&amp;"|Investitionen|"&amp;Berechnung!$B$3,Daten_Anteile!$A$1:$A$2971,0),6)="","",INDEX(Daten_Anteile!$A:$ZZ,MATCH(Berechnung!$B$12&amp;"|Investitionen|"&amp;Berechnung!$B$3,Daten_Anteile!$A$1:$A$2971,0),6)),"")</f>
        <v>23</v>
      </c>
      <c r="H17" s="18">
        <f>IFERROR(IF(INDEX(Daten_Anteile!$A:$ZZ,MATCH(Berechnung!$B$12&amp;"|Investitionen|"&amp;Berechnung!$B$3,Daten_Anteile!$A$1:$A$2971,0),7)="","",INDEX(Daten_Anteile!$A:$ZZ,MATCH(Berechnung!$B$12&amp;"|Investitionen|"&amp;Berechnung!$B$3,Daten_Anteile!$A$1:$A$2971,0),7)),"")</f>
        <v>43</v>
      </c>
      <c r="I17" s="18">
        <f>IFERROR(IF(INDEX(Daten_Anteile!$A:$ZZ,MATCH(Berechnung!$B$12&amp;"|Investitionen|"&amp;Berechnung!$B$3,Daten_Anteile!$A$1:$A$2971,0),8)="","",INDEX(Daten_Anteile!$A:$ZZ,MATCH(Berechnung!$B$12&amp;"|Investitionen|"&amp;Berechnung!$B$3,Daten_Anteile!$A$1:$A$2971,0),8)),"")</f>
        <v>34</v>
      </c>
      <c r="J17" s="19">
        <f>IFERROR(IF(INDEX(Daten_Salden!$A:$ZZ,Berechnung!$B$24,Berechnung!$B$5)="","",INDEX(Daten_Salden!$A:$ZZ,Berechnung!$B$24,Berechnung!$B$5)),"")</f>
        <v>-6</v>
      </c>
      <c r="K17" s="20">
        <f>IFERROR(IF(INDEX(Daten_Salden!$A:$ZZ,Berechnung!$B$24,Berechnung!$B$6)="","",INDEX(Daten_Salden!$A:$ZZ,Berechnung!$B$24,Berechnung!$B$6)),"")</f>
        <v>-11</v>
      </c>
      <c r="L17" s="20">
        <f t="shared" si="0"/>
        <v>5</v>
      </c>
      <c r="M17" s="20">
        <f>IFERROR(IF(INDEX(Daten_Salden!$A:$ZZ,Berechnung!$B$24,Berechnung!$B$7)="","",INDEX(Daten_Salden!$A:$ZZ,Berechnung!$B$24,Berechnung!$B$7)),"")</f>
        <v>-9</v>
      </c>
      <c r="N17" s="20">
        <f t="shared" si="1"/>
        <v>3</v>
      </c>
      <c r="O17" s="20">
        <f>IFERROR(IF(INDEX(Daten_Salden!$A:$ZZ,Berechnung!$B$24,4)="","",INDEX(Daten_Salden!$A:$ZZ,Berechnung!$B$24,4)),"")</f>
        <v>2.2429999999999999</v>
      </c>
      <c r="P17" s="18">
        <f>IFERROR(IF(INDEX(Daten_Anteile!$A:$ZZ,MATCH(Berechnung!$B$12&amp;"|Investitionen|"&amp;Berechnung!$B$2,Daten_Anteile!$A$1:$A$2971,0),5)="","",INDEX(Daten_Anteile!$A:$ZZ,MATCH(Berechnung!$B$12&amp;"|Investitionen|"&amp;Berechnung!$B$2,Daten_Anteile!$A$1:$A$2971,0),5)),"")</f>
        <v>19255</v>
      </c>
    </row>
    <row r="18" spans="2:16" x14ac:dyDescent="0.25">
      <c r="B18" s="21"/>
      <c r="C18" s="22" t="str">
        <f>Berechnung!$B$15</f>
        <v>Industrie</v>
      </c>
      <c r="D18" s="23">
        <f>IFERROR(IF(INDEX(Daten_Anteile!$A:$ZZ,MATCH(Berechnung!$B$13&amp;"|Investitionen|"&amp;Berechnung!$B$2,Daten_Anteile!$A$1:$A$2971,0),6)="","",INDEX(Daten_Anteile!$A:$ZZ,MATCH(Berechnung!$B$13&amp;"|Investitionen|"&amp;Berechnung!$B$2,Daten_Anteile!$A$1:$A$2971,0),6)),"")</f>
        <v>22</v>
      </c>
      <c r="E18" s="23">
        <f>IFERROR(IF(INDEX(Daten_Anteile!$A:$ZZ,MATCH(Berechnung!$B$13&amp;"|Investitionen|"&amp;Berechnung!$B$2,Daten_Anteile!$A$1:$A$2971,0),7)="","",INDEX(Daten_Anteile!$A:$ZZ,MATCH(Berechnung!$B$13&amp;"|Investitionen|"&amp;Berechnung!$B$2,Daten_Anteile!$A$1:$A$2971,0),7)),"")</f>
        <v>47</v>
      </c>
      <c r="F18" s="23">
        <f>IFERROR(IF(INDEX(Daten_Anteile!$A:$ZZ,MATCH(Berechnung!$B$13&amp;"|Investitionen|"&amp;Berechnung!$B$2,Daten_Anteile!$A$1:$A$2971,0),8)="","",INDEX(Daten_Anteile!$A:$ZZ,MATCH(Berechnung!$B$13&amp;"|Investitionen|"&amp;Berechnung!$B$2,Daten_Anteile!$A$1:$A$2971,0),8)),"")</f>
        <v>31</v>
      </c>
      <c r="G18" s="23">
        <f>IFERROR(IF(INDEX(Daten_Anteile!$A:$ZZ,MATCH(Berechnung!$B$13&amp;"|Investitionen|"&amp;Berechnung!$B$3,Daten_Anteile!$A$1:$A$2971,0),6)="","",INDEX(Daten_Anteile!$A:$ZZ,MATCH(Berechnung!$B$13&amp;"|Investitionen|"&amp;Berechnung!$B$3,Daten_Anteile!$A$1:$A$2971,0),6)),"")</f>
        <v>21</v>
      </c>
      <c r="H18" s="23">
        <f>IFERROR(IF(INDEX(Daten_Anteile!$A:$ZZ,MATCH(Berechnung!$B$13&amp;"|Investitionen|"&amp;Berechnung!$B$3,Daten_Anteile!$A$1:$A$2971,0),7)="","",INDEX(Daten_Anteile!$A:$ZZ,MATCH(Berechnung!$B$13&amp;"|Investitionen|"&amp;Berechnung!$B$3,Daten_Anteile!$A$1:$A$2971,0),7)),"")</f>
        <v>43</v>
      </c>
      <c r="I18" s="23">
        <f>IFERROR(IF(INDEX(Daten_Anteile!$A:$ZZ,MATCH(Berechnung!$B$13&amp;"|Investitionen|"&amp;Berechnung!$B$3,Daten_Anteile!$A$1:$A$2971,0),8)="","",INDEX(Daten_Anteile!$A:$ZZ,MATCH(Berechnung!$B$13&amp;"|Investitionen|"&amp;Berechnung!$B$3,Daten_Anteile!$A$1:$A$2971,0),8)),"")</f>
        <v>36</v>
      </c>
      <c r="J18" s="24">
        <f>IFERROR(IF(INDEX(Daten_Salden!$A:$ZZ,Berechnung!$C$24,Berechnung!$B$5)="","",INDEX(Daten_Salden!$A:$ZZ,Berechnung!$C$24,Berechnung!$B$5)),"")</f>
        <v>-9</v>
      </c>
      <c r="K18" s="25">
        <f>IFERROR(IF(INDEX(Daten_Salden!$A:$ZZ,Berechnung!$C$24,Berechnung!$B$6)="","",INDEX(Daten_Salden!$A:$ZZ,Berechnung!$C$24,Berechnung!$B$6)),"")</f>
        <v>-15</v>
      </c>
      <c r="L18" s="25">
        <f t="shared" si="0"/>
        <v>6</v>
      </c>
      <c r="M18" s="25">
        <f>IFERROR(IF(INDEX(Daten_Salden!$A:$ZZ,Berechnung!$C$24,Berechnung!$B$7)="","",INDEX(Daten_Salden!$A:$ZZ,Berechnung!$C$24,Berechnung!$B$7)),"")</f>
        <v>-16</v>
      </c>
      <c r="N18" s="25">
        <f t="shared" si="1"/>
        <v>7</v>
      </c>
      <c r="O18" s="25">
        <f>IFERROR(IF(INDEX(Daten_Salden!$A:$ZZ,Berechnung!$C$24,4)="","",INDEX(Daten_Salden!$A:$ZZ,Berechnung!$C$24,4)),"")</f>
        <v>3.7570000000000001</v>
      </c>
      <c r="P18" s="23">
        <f>IFERROR(IF(INDEX(Daten_Anteile!$A:$ZZ,MATCH(Berechnung!$B$13&amp;"|Investitionen|"&amp;Berechnung!$B$2,Daten_Anteile!$A$1:$A$2971,0),5)="","",INDEX(Daten_Anteile!$A:$ZZ,MATCH(Berechnung!$B$13&amp;"|Investitionen|"&amp;Berechnung!$B$2,Daten_Anteile!$A$1:$A$2971,0),5)),"")</f>
        <v>4943</v>
      </c>
    </row>
    <row r="19" spans="2:16" x14ac:dyDescent="0.25">
      <c r="B19" s="16" t="s">
        <v>7</v>
      </c>
      <c r="C19" s="17" t="str">
        <f>Berechnung!$B$14</f>
        <v>Alle Branchen</v>
      </c>
      <c r="D19" s="18">
        <f>IFERROR(IF(INDEX(Daten_Anteile!$A:$ZZ,MATCH(Berechnung!$B$12&amp;"|Beschäftigung|"&amp;Berechnung!$B$2,Daten_Anteile!$A$1:$A$2971,0),6)="","",INDEX(Daten_Anteile!$A:$ZZ,MATCH(Berechnung!$B$12&amp;"|Beschäftigung|"&amp;Berechnung!$B$2,Daten_Anteile!$A$1:$A$2971,0),6)),"")</f>
        <v>11</v>
      </c>
      <c r="E19" s="18">
        <f>IFERROR(IF(INDEX(Daten_Anteile!$A:$ZZ,MATCH(Berechnung!$B$12&amp;"|Beschäftigung|"&amp;Berechnung!$B$2,Daten_Anteile!$A$1:$A$2971,0),7)="","",INDEX(Daten_Anteile!$A:$ZZ,MATCH(Berechnung!$B$12&amp;"|Beschäftigung|"&amp;Berechnung!$B$2,Daten_Anteile!$A$1:$A$2971,0),7)),"")</f>
        <v>65</v>
      </c>
      <c r="F19" s="18">
        <f>IFERROR(IF(INDEX(Daten_Anteile!$A:$ZZ,MATCH(Berechnung!$B$12&amp;"|Beschäftigung|"&amp;Berechnung!$B$2,Daten_Anteile!$A$1:$A$2971,0),8)="","",INDEX(Daten_Anteile!$A:$ZZ,MATCH(Berechnung!$B$12&amp;"|Beschäftigung|"&amp;Berechnung!$B$2,Daten_Anteile!$A$1:$A$2971,0),8)),"")</f>
        <v>24</v>
      </c>
      <c r="G19" s="18">
        <f>IFERROR(IF(INDEX(Daten_Anteile!$A:$ZZ,MATCH(Berechnung!$B$12&amp;"|Beschäftigung|"&amp;Berechnung!$B$3,Daten_Anteile!$A$1:$A$2971,0),6)="","",INDEX(Daten_Anteile!$A:$ZZ,MATCH(Berechnung!$B$12&amp;"|Beschäftigung|"&amp;Berechnung!$B$3,Daten_Anteile!$A$1:$A$2971,0),6)),"")</f>
        <v>10</v>
      </c>
      <c r="H19" s="18">
        <f>IFERROR(IF(INDEX(Daten_Anteile!$A:$ZZ,MATCH(Berechnung!$B$12&amp;"|Beschäftigung|"&amp;Berechnung!$B$3,Daten_Anteile!$A$1:$A$2971,0),7)="","",INDEX(Daten_Anteile!$A:$ZZ,MATCH(Berechnung!$B$12&amp;"|Beschäftigung|"&amp;Berechnung!$B$3,Daten_Anteile!$A$1:$A$2971,0),7)),"")</f>
        <v>66</v>
      </c>
      <c r="I19" s="18">
        <f>IFERROR(IF(INDEX(Daten_Anteile!$A:$ZZ,MATCH(Berechnung!$B$12&amp;"|Beschäftigung|"&amp;Berechnung!$B$3,Daten_Anteile!$A$1:$A$2971,0),8)="","",INDEX(Daten_Anteile!$A:$ZZ,MATCH(Berechnung!$B$12&amp;"|Beschäftigung|"&amp;Berechnung!$B$3,Daten_Anteile!$A$1:$A$2971,0),8)),"")</f>
        <v>24</v>
      </c>
      <c r="J19" s="19">
        <f>IFERROR(IF(INDEX(Daten_Salden!$A:$ZZ,Berechnung!$B$25,Berechnung!$B$5)="","",INDEX(Daten_Salden!$A:$ZZ,Berechnung!$B$25,Berechnung!$B$5)),"")</f>
        <v>-13</v>
      </c>
      <c r="K19" s="20">
        <f>IFERROR(IF(INDEX(Daten_Salden!$A:$ZZ,Berechnung!$B$25,Berechnung!$B$6)="","",INDEX(Daten_Salden!$A:$ZZ,Berechnung!$B$25,Berechnung!$B$6)),"")</f>
        <v>-14</v>
      </c>
      <c r="L19" s="20">
        <f t="shared" si="0"/>
        <v>1</v>
      </c>
      <c r="M19" s="20">
        <f>IFERROR(IF(INDEX(Daten_Salden!$A:$ZZ,Berechnung!$B$25,Berechnung!$B$7)="","",INDEX(Daten_Salden!$A:$ZZ,Berechnung!$B$25,Berechnung!$B$7)),"")</f>
        <v>-13</v>
      </c>
      <c r="N19" s="20">
        <f t="shared" si="1"/>
        <v>0</v>
      </c>
      <c r="O19" s="20">
        <f>IFERROR(IF(INDEX(Daten_Salden!$A:$ZZ,Berechnung!$B$25,4)="","",INDEX(Daten_Salden!$A:$ZZ,Berechnung!$B$25,4)),"")</f>
        <v>-1.4</v>
      </c>
      <c r="P19" s="18">
        <f>IFERROR(IF(INDEX(Daten_Anteile!$A:$ZZ,MATCH(Berechnung!$B$12&amp;"|Beschäftigung|"&amp;Berechnung!$B$2,Daten_Anteile!$A$1:$A$2971,0),5)="","",INDEX(Daten_Anteile!$A:$ZZ,MATCH(Berechnung!$B$12&amp;"|Beschäftigung|"&amp;Berechnung!$B$2,Daten_Anteile!$A$1:$A$2971,0),5)),"")</f>
        <v>22785</v>
      </c>
    </row>
    <row r="20" spans="2:16" x14ac:dyDescent="0.25">
      <c r="B20" s="21"/>
      <c r="C20" s="22" t="str">
        <f>Berechnung!$B$15</f>
        <v>Industrie</v>
      </c>
      <c r="D20" s="23">
        <f>IFERROR(IF(INDEX(Daten_Anteile!$A:$ZZ,MATCH(Berechnung!$B$13&amp;"|Beschäftigung|"&amp;Berechnung!$B$2,Daten_Anteile!$A$1:$A$2971,0),6)="","",INDEX(Daten_Anteile!$A:$ZZ,MATCH(Berechnung!$B$13&amp;"|Beschäftigung|"&amp;Berechnung!$B$2,Daten_Anteile!$A$1:$A$2971,0),6)),"")</f>
        <v>12</v>
      </c>
      <c r="E20" s="23">
        <f>IFERROR(IF(INDEX(Daten_Anteile!$A:$ZZ,MATCH(Berechnung!$B$13&amp;"|Beschäftigung|"&amp;Berechnung!$B$2,Daten_Anteile!$A$1:$A$2971,0),7)="","",INDEX(Daten_Anteile!$A:$ZZ,MATCH(Berechnung!$B$13&amp;"|Beschäftigung|"&amp;Berechnung!$B$2,Daten_Anteile!$A$1:$A$2971,0),7)),"")</f>
        <v>60</v>
      </c>
      <c r="F20" s="23">
        <f>IFERROR(IF(INDEX(Daten_Anteile!$A:$ZZ,MATCH(Berechnung!$B$13&amp;"|Beschäftigung|"&amp;Berechnung!$B$2,Daten_Anteile!$A$1:$A$2971,0),8)="","",INDEX(Daten_Anteile!$A:$ZZ,MATCH(Berechnung!$B$13&amp;"|Beschäftigung|"&amp;Berechnung!$B$2,Daten_Anteile!$A$1:$A$2971,0),8)),"")</f>
        <v>28</v>
      </c>
      <c r="G20" s="23">
        <f>IFERROR(IF(INDEX(Daten_Anteile!$A:$ZZ,MATCH(Berechnung!$B$13&amp;"|Beschäftigung|"&amp;Berechnung!$B$3,Daten_Anteile!$A$1:$A$2971,0),6)="","",INDEX(Daten_Anteile!$A:$ZZ,MATCH(Berechnung!$B$13&amp;"|Beschäftigung|"&amp;Berechnung!$B$3,Daten_Anteile!$A$1:$A$2971,0),6)),"")</f>
        <v>11</v>
      </c>
      <c r="H20" s="23">
        <f>IFERROR(IF(INDEX(Daten_Anteile!$A:$ZZ,MATCH(Berechnung!$B$13&amp;"|Beschäftigung|"&amp;Berechnung!$B$3,Daten_Anteile!$A$1:$A$2971,0),7)="","",INDEX(Daten_Anteile!$A:$ZZ,MATCH(Berechnung!$B$13&amp;"|Beschäftigung|"&amp;Berechnung!$B$3,Daten_Anteile!$A$1:$A$2971,0),7)),"")</f>
        <v>58</v>
      </c>
      <c r="I20" s="23">
        <f>IFERROR(IF(INDEX(Daten_Anteile!$A:$ZZ,MATCH(Berechnung!$B$13&amp;"|Beschäftigung|"&amp;Berechnung!$B$3,Daten_Anteile!$A$1:$A$2971,0),8)="","",INDEX(Daten_Anteile!$A:$ZZ,MATCH(Berechnung!$B$13&amp;"|Beschäftigung|"&amp;Berechnung!$B$3,Daten_Anteile!$A$1:$A$2971,0),8)),"")</f>
        <v>31</v>
      </c>
      <c r="J20" s="24">
        <f>IFERROR(IF(INDEX(Daten_Salden!$A:$ZZ,Berechnung!$C$25,Berechnung!$B$5)="","",INDEX(Daten_Salden!$A:$ZZ,Berechnung!$C$25,Berechnung!$B$5)),"")</f>
        <v>-16</v>
      </c>
      <c r="K20" s="25">
        <f>IFERROR(IF(INDEX(Daten_Salden!$A:$ZZ,Berechnung!$C$25,Berechnung!$B$6)="","",INDEX(Daten_Salden!$A:$ZZ,Berechnung!$C$25,Berechnung!$B$6)),"")</f>
        <v>-20</v>
      </c>
      <c r="L20" s="25">
        <f t="shared" si="0"/>
        <v>4</v>
      </c>
      <c r="M20" s="25">
        <f>IFERROR(IF(INDEX(Daten_Salden!$A:$ZZ,Berechnung!$C$25,Berechnung!$B$7)="","",INDEX(Daten_Salden!$A:$ZZ,Berechnung!$C$25,Berechnung!$B$7)),"")</f>
        <v>-21</v>
      </c>
      <c r="N20" s="25">
        <f t="shared" si="1"/>
        <v>5</v>
      </c>
      <c r="O20" s="25">
        <f>IFERROR(IF(INDEX(Daten_Salden!$A:$ZZ,Berechnung!$C$25,4)="","",INDEX(Daten_Salden!$A:$ZZ,Berechnung!$C$25,4)),"")</f>
        <v>-3.6429999999999998</v>
      </c>
      <c r="P20" s="23">
        <f>IFERROR(IF(INDEX(Daten_Anteile!$A:$ZZ,MATCH(Berechnung!$B$13&amp;"|Beschäftigung|"&amp;Berechnung!$B$2,Daten_Anteile!$A$1:$A$2971,0),5)="","",INDEX(Daten_Anteile!$A:$ZZ,MATCH(Berechnung!$B$13&amp;"|Beschäftigung|"&amp;Berechnung!$B$2,Daten_Anteile!$A$1:$A$2971,0),5)),"")</f>
        <v>5658</v>
      </c>
    </row>
    <row r="21" spans="2:16" x14ac:dyDescent="0.25">
      <c r="B21" s="16" t="s">
        <v>59</v>
      </c>
      <c r="C21" s="17" t="str">
        <f>Berechnung!$B$14</f>
        <v>Alle Branchen</v>
      </c>
      <c r="D21" s="18"/>
      <c r="E21" s="18"/>
      <c r="F21" s="18"/>
      <c r="G21" s="18"/>
      <c r="H21" s="18"/>
      <c r="I21" s="18"/>
      <c r="J21" s="26">
        <f>IF(AND(ISNUMBER(J11),ISNUMBER(J13)),ROUND(SQRT((100+J11)*(100+J13)),1),"")</f>
        <v>94.7</v>
      </c>
      <c r="K21" s="27">
        <f>IF(AND(ISNUMBER(K11),ISNUMBER(K13)),ROUND(SQRT((100+K11)*(100+K13)),1),"")</f>
        <v>88.1</v>
      </c>
      <c r="L21" s="28">
        <f t="shared" si="0"/>
        <v>6.6</v>
      </c>
      <c r="M21" s="27">
        <f>IF(AND(ISNUMBER(M11),ISNUMBER(M13)),ROUND(SQRT((100+M11)*(100+M13)),1),"")</f>
        <v>93.8</v>
      </c>
      <c r="N21" s="28">
        <f t="shared" si="1"/>
        <v>0.9</v>
      </c>
      <c r="O21" s="20"/>
      <c r="P21" s="18"/>
    </row>
    <row r="22" spans="2:16" x14ac:dyDescent="0.25">
      <c r="B22" s="21"/>
      <c r="C22" s="22" t="str">
        <f>Berechnung!$B$15</f>
        <v>Industrie</v>
      </c>
      <c r="D22" s="23"/>
      <c r="E22" s="23"/>
      <c r="F22" s="23"/>
      <c r="G22" s="23"/>
      <c r="H22" s="23"/>
      <c r="I22" s="23"/>
      <c r="J22" s="29">
        <f>IF(AND(ISNUMBER(J12),ISNUMBER(J14)),ROUND(SQRT((100+J12)*(100+J14)),1),"")</f>
        <v>97.5</v>
      </c>
      <c r="K22" s="30">
        <f>IF(AND(ISNUMBER(K12),ISNUMBER(K14)),ROUND(SQRT((100+K12)*(100+K14)),1),"")</f>
        <v>88.4</v>
      </c>
      <c r="L22" s="31">
        <f t="shared" si="0"/>
        <v>9.1</v>
      </c>
      <c r="M22" s="30">
        <f>IF(AND(ISNUMBER(M12),ISNUMBER(M14)),ROUND(SQRT((100+M12)*(100+M14)),1),"")</f>
        <v>87.9</v>
      </c>
      <c r="N22" s="31">
        <f t="shared" si="1"/>
        <v>9.6</v>
      </c>
      <c r="O22" s="25"/>
      <c r="P22" s="23"/>
    </row>
    <row r="23" spans="2:16" x14ac:dyDescent="0.25">
      <c r="B23" s="32" t="s">
        <v>4562</v>
      </c>
    </row>
    <row r="24" spans="2:16" x14ac:dyDescent="0.25">
      <c r="B24" s="32" t="s">
        <v>60</v>
      </c>
    </row>
    <row r="26" spans="2:16" ht="18" customHeight="1" x14ac:dyDescent="0.25">
      <c r="B26" s="33" t="s">
        <v>61</v>
      </c>
      <c r="C26" s="80" t="str">
        <f>"━━ A: "&amp;Berechnung!$B$14</f>
        <v>━━ A: Alle Branchen</v>
      </c>
      <c r="G26" s="78" t="str">
        <f>IF(Berechnung!$B$15="","","━━ B: "&amp;Berechnung!$B$15)</f>
        <v>━━ B: Industrie</v>
      </c>
      <c r="L26" s="79" t="s">
        <v>62</v>
      </c>
    </row>
    <row r="64" spans="11:11" ht="16.5" x14ac:dyDescent="0.3">
      <c r="K64" s="34" t="s">
        <v>63</v>
      </c>
    </row>
    <row r="65" spans="11:11" x14ac:dyDescent="0.25">
      <c r="K65" s="35" t="s">
        <v>64</v>
      </c>
    </row>
    <row r="66" spans="11:11" x14ac:dyDescent="0.25">
      <c r="K66" s="35" t="s">
        <v>65</v>
      </c>
    </row>
    <row r="67" spans="11:11" x14ac:dyDescent="0.25">
      <c r="K67" s="35" t="s">
        <v>66</v>
      </c>
    </row>
    <row r="68" spans="11:11" x14ac:dyDescent="0.25">
      <c r="K68" s="35" t="s">
        <v>67</v>
      </c>
    </row>
    <row r="69" spans="11:11" x14ac:dyDescent="0.25">
      <c r="K69" s="35" t="s">
        <v>68</v>
      </c>
    </row>
  </sheetData>
  <conditionalFormatting sqref="L11:L22">
    <cfRule type="cellIs" dxfId="43" priority="1" operator="greaterThan">
      <formula>0</formula>
    </cfRule>
    <cfRule type="cellIs" dxfId="42" priority="2" operator="lessThan">
      <formula>0</formula>
    </cfRule>
  </conditionalFormatting>
  <conditionalFormatting sqref="N11:N22">
    <cfRule type="cellIs" dxfId="41" priority="3" operator="greaterThan">
      <formula>0</formula>
    </cfRule>
    <cfRule type="cellIs" dxfId="40" priority="4" operator="lessThan">
      <formula>0</formula>
    </cfRule>
  </conditionalFormatting>
  <conditionalFormatting sqref="P11:P22">
    <cfRule type="cellIs" dxfId="39" priority="5" operator="lessThan">
      <formula>30</formula>
    </cfRule>
  </conditionalFormatting>
  <printOptions horizontalCentered="1"/>
  <pageMargins left="0.4" right="0.4" top="0.5" bottom="0.5" header="0.5" footer="0.5"/>
  <pageSetup paperSize="9" orientation="landscape"/>
  <headerFooter>
    <oddFooter>&amp;L&amp;8 DIHK-Konjunkturumfrage&amp;R&amp;8 Stand: &amp;D</oddFooter>
  </headerFooter>
  <drawing r:id="rId1"/>
  <extLst>
    <ext xmlns:x14="http://schemas.microsoft.com/office/spreadsheetml/2009/9/main" uri="{CCE6A557-97BC-4b89-ADB6-D9C93CAAB3DF}">
      <x14:dataValidations xmlns:xm="http://schemas.microsoft.com/office/excel/2006/main" count="4">
        <x14:dataValidation type="list" showInputMessage="1" promptTitle="Branche" prompt="Branche aus der Liste wählen." xr:uid="{00000000-0002-0000-0200-000000000000}">
          <x14:formula1>
            <xm:f>Listen!$A$2:$A$67</xm:f>
          </x14:formula1>
          <xm:sqref>C5</xm:sqref>
        </x14:dataValidation>
        <x14:dataValidation type="list" showInputMessage="1" promptTitle="Branche" prompt="Branche aus der Liste wählen." xr:uid="{00000000-0002-0000-0200-000001000000}">
          <x14:formula1>
            <xm:f>Listen!$K$2:$K$68</xm:f>
          </x14:formula1>
          <xm:sqref>C6</xm:sqref>
        </x14:dataValidation>
        <x14:dataValidation type="list" showInputMessage="1" promptTitle="Beginn der Zeitreihen" prompt="Beginn der Zeitreihen aus der Liste wählen." xr:uid="{00000000-0002-0000-0200-000004000000}">
          <x14:formula1>
            <xm:f>Listen!$I$2:$I$71</xm:f>
          </x14:formula1>
          <xm:sqref>N5</xm:sqref>
        </x14:dataValidation>
        <x14:dataValidation type="list" showInputMessage="1" promptTitle="Umfrage (Ende der Zeitreihen)" prompt="Umfrage (Ende der Zeitreihen) aus der Liste wählen." xr:uid="{00000000-0002-0000-0200-000005000000}">
          <x14:formula1>
            <xm:f>Listen!$I$2:$I$71</xm:f>
          </x14:formula1>
          <xm:sqref>N6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3882"/>
    <pageSetUpPr fitToPage="1"/>
  </sheetPr>
  <dimension ref="A1:BK74"/>
  <sheetViews>
    <sheetView showGridLines="0" workbookViewId="0">
      <pane xSplit="3" ySplit="8" topLeftCell="D9" activePane="bottomRight" state="frozen"/>
      <selection pane="topRight"/>
      <selection pane="bottomLeft"/>
      <selection pane="bottomRight" activeCell="D9" sqref="D9"/>
    </sheetView>
  </sheetViews>
  <sheetFormatPr baseColWidth="10" defaultColWidth="9.140625" defaultRowHeight="15" x14ac:dyDescent="0.25"/>
  <cols>
    <col min="1" max="1" width="5" customWidth="1"/>
    <col min="2" max="2" width="44" customWidth="1"/>
    <col min="3" max="3" width="21" customWidth="1"/>
    <col min="4" max="4" width="12" customWidth="1"/>
    <col min="5" max="5" width="8" customWidth="1"/>
    <col min="6" max="6" width="7.42578125" customWidth="1"/>
    <col min="7" max="8" width="6.140625" customWidth="1"/>
    <col min="9" max="9" width="7.42578125" customWidth="1"/>
    <col min="10" max="11" width="6.140625" customWidth="1"/>
    <col min="12" max="12" width="7.42578125" customWidth="1"/>
    <col min="13" max="14" width="6.140625" customWidth="1"/>
    <col min="15" max="15" width="7.42578125" customWidth="1"/>
    <col min="16" max="17" width="6.140625" customWidth="1"/>
    <col min="18" max="18" width="7.42578125" customWidth="1"/>
    <col min="19" max="20" width="6.140625" customWidth="1"/>
    <col min="21" max="21" width="7.42578125" customWidth="1"/>
    <col min="22" max="22" width="6.140625" customWidth="1"/>
    <col min="23" max="62" width="7.140625" customWidth="1"/>
    <col min="63" max="63" width="13" hidden="1" customWidth="1"/>
  </cols>
  <sheetData>
    <row r="1" spans="1:63" ht="20.25" x14ac:dyDescent="0.35">
      <c r="A1" s="36" t="str">
        <f>"Branchenvergleich – "&amp;$C$3</f>
        <v>Branchenvergleich – Herbst 2026</v>
      </c>
      <c r="BK1">
        <f>IFERROR(MATCH($C$3,Daten_Salden!$1:$1,0),-1)</f>
        <v>74</v>
      </c>
    </row>
    <row r="2" spans="1:63" x14ac:dyDescent="0.25">
      <c r="BK2">
        <f>IFERROR(MATCH(INDEX(Listen!$I$2:$I$71,MATCH($C$3,Listen!$I$2:$I$71,0)-1),Daten_Salden!$1:$1,0),-1)</f>
        <v>73</v>
      </c>
    </row>
    <row r="3" spans="1:63" x14ac:dyDescent="0.25">
      <c r="B3" s="37" t="s">
        <v>70</v>
      </c>
      <c r="C3" s="74" t="s">
        <v>47</v>
      </c>
      <c r="D3" s="75"/>
      <c r="E3" s="75"/>
      <c r="F3" s="76"/>
      <c r="H3" s="2" t="s">
        <v>76</v>
      </c>
      <c r="BK3">
        <f>IFERROR(MATCH(LEFT($C$3,LEN($C$3)-4)&amp;(VALUE(RIGHT($C$3,4))-1),Daten_Salden!$1:$1,0),-1)</f>
        <v>71</v>
      </c>
    </row>
    <row r="4" spans="1:63" x14ac:dyDescent="0.25">
      <c r="H4" s="2" t="s">
        <v>77</v>
      </c>
      <c r="BK4">
        <f>IFERROR(MATCH($C$3,Daten_Risiken!$1:$1,0),-1)</f>
        <v>55</v>
      </c>
    </row>
    <row r="5" spans="1:63" x14ac:dyDescent="0.25">
      <c r="BK5">
        <f>IFERROR(MATCH(INDEX(Listen!$I$2:$I$71,MATCH($C$3,Listen!$I$2:$I$71,0)-1),Daten_Risiken!$1:$1,0),-1)</f>
        <v>54</v>
      </c>
    </row>
    <row r="6" spans="1:63" ht="18" customHeight="1" x14ac:dyDescent="0.25">
      <c r="A6" s="68"/>
      <c r="B6" s="67"/>
      <c r="C6" s="67"/>
      <c r="D6" s="67"/>
      <c r="E6" s="67"/>
      <c r="F6" s="68" t="s">
        <v>78</v>
      </c>
      <c r="G6" s="67"/>
      <c r="H6" s="67"/>
      <c r="I6" s="67"/>
      <c r="J6" s="67"/>
      <c r="K6" s="67"/>
      <c r="L6" s="67"/>
      <c r="M6" s="67"/>
      <c r="N6" s="67"/>
      <c r="O6" s="67"/>
      <c r="P6" s="67"/>
      <c r="Q6" s="67"/>
      <c r="R6" s="67"/>
      <c r="S6" s="67"/>
      <c r="T6" s="67"/>
      <c r="U6" s="67"/>
      <c r="V6" s="67"/>
      <c r="W6" s="67"/>
      <c r="X6" s="69" t="s">
        <v>79</v>
      </c>
      <c r="Y6" s="66"/>
      <c r="Z6" s="66"/>
      <c r="AA6" s="66"/>
      <c r="AB6" s="66"/>
      <c r="AC6" s="66"/>
      <c r="AD6" s="66"/>
      <c r="AE6" s="66"/>
      <c r="AF6" s="66"/>
      <c r="AG6" s="66"/>
      <c r="AH6" s="66"/>
      <c r="AI6" s="66"/>
      <c r="AJ6" s="66"/>
      <c r="AK6" s="66"/>
      <c r="AL6" s="66"/>
      <c r="AM6" s="66"/>
      <c r="AN6" s="66"/>
      <c r="AO6" s="66"/>
      <c r="AP6" s="66"/>
      <c r="AQ6" s="66"/>
      <c r="AR6" s="66"/>
      <c r="AS6" s="66"/>
      <c r="AT6" s="66"/>
      <c r="AU6" s="66"/>
      <c r="AV6" s="69" t="s">
        <v>80</v>
      </c>
      <c r="AW6" s="66"/>
      <c r="AX6" s="66"/>
      <c r="AY6" s="66"/>
      <c r="AZ6" s="66"/>
      <c r="BA6" s="66"/>
      <c r="BB6" s="66"/>
      <c r="BC6" s="66"/>
      <c r="BD6" s="66"/>
      <c r="BE6" s="66"/>
      <c r="BF6" s="66"/>
      <c r="BG6" s="66"/>
      <c r="BH6" s="66"/>
      <c r="BI6" s="66"/>
      <c r="BJ6" s="66"/>
      <c r="BK6">
        <f>IFERROR(MATCH(LEFT($C$3,LEN($C$3)-4)&amp;(VALUE(RIGHT($C$3,4))-1),Daten_Risiken!$1:$1,0),-1)</f>
        <v>52</v>
      </c>
    </row>
    <row r="7" spans="1:63" ht="30" customHeight="1" x14ac:dyDescent="0.25">
      <c r="A7" s="14"/>
      <c r="B7" s="14"/>
      <c r="C7" s="14"/>
      <c r="D7" s="14"/>
      <c r="E7" s="14"/>
      <c r="F7" s="72" t="s">
        <v>59</v>
      </c>
      <c r="G7" s="73"/>
      <c r="H7" s="73"/>
      <c r="I7" s="72" t="s">
        <v>3</v>
      </c>
      <c r="J7" s="73"/>
      <c r="K7" s="73"/>
      <c r="L7" s="72" t="s">
        <v>4</v>
      </c>
      <c r="M7" s="73"/>
      <c r="N7" s="73"/>
      <c r="O7" s="72" t="s">
        <v>58</v>
      </c>
      <c r="P7" s="73"/>
      <c r="Q7" s="73"/>
      <c r="R7" s="72" t="s">
        <v>6</v>
      </c>
      <c r="S7" s="73"/>
      <c r="T7" s="73"/>
      <c r="U7" s="72" t="s">
        <v>7</v>
      </c>
      <c r="V7" s="73"/>
      <c r="W7" s="73"/>
      <c r="X7" s="70" t="s">
        <v>84</v>
      </c>
      <c r="Y7" s="71"/>
      <c r="Z7" s="71"/>
      <c r="AA7" s="70" t="s">
        <v>85</v>
      </c>
      <c r="AB7" s="71"/>
      <c r="AC7" s="71"/>
      <c r="AD7" s="70" t="s">
        <v>86</v>
      </c>
      <c r="AE7" s="71"/>
      <c r="AF7" s="71"/>
      <c r="AG7" s="70" t="s">
        <v>87</v>
      </c>
      <c r="AH7" s="71"/>
      <c r="AI7" s="71"/>
      <c r="AJ7" s="70" t="s">
        <v>88</v>
      </c>
      <c r="AK7" s="71"/>
      <c r="AL7" s="71"/>
      <c r="AM7" s="70" t="s">
        <v>89</v>
      </c>
      <c r="AN7" s="71"/>
      <c r="AO7" s="71"/>
      <c r="AP7" s="70" t="s">
        <v>90</v>
      </c>
      <c r="AQ7" s="71"/>
      <c r="AR7" s="71"/>
      <c r="AS7" s="70" t="s">
        <v>91</v>
      </c>
      <c r="AT7" s="71"/>
      <c r="AU7" s="71"/>
      <c r="AV7" s="70" t="s">
        <v>92</v>
      </c>
      <c r="AW7" s="71"/>
      <c r="AX7" s="71"/>
      <c r="AY7" s="70" t="s">
        <v>93</v>
      </c>
      <c r="AZ7" s="71"/>
      <c r="BA7" s="71"/>
      <c r="BB7" s="70" t="s">
        <v>94</v>
      </c>
      <c r="BC7" s="71"/>
      <c r="BD7" s="71"/>
      <c r="BE7" s="70" t="s">
        <v>95</v>
      </c>
      <c r="BF7" s="71"/>
      <c r="BG7" s="71"/>
      <c r="BH7" s="70" t="s">
        <v>96</v>
      </c>
      <c r="BI7" s="71"/>
      <c r="BJ7" s="71"/>
      <c r="BK7">
        <f>IFERROR(MATCH($C$3,Daten_Motive!$1:$1,0),-1)</f>
        <v>56</v>
      </c>
    </row>
    <row r="8" spans="1:63" ht="27" customHeight="1" x14ac:dyDescent="0.25">
      <c r="A8" s="14" t="s">
        <v>81</v>
      </c>
      <c r="B8" s="14" t="s">
        <v>69</v>
      </c>
      <c r="C8" s="14" t="s">
        <v>4494</v>
      </c>
      <c r="D8" s="14" t="s">
        <v>82</v>
      </c>
      <c r="E8" s="14" t="s">
        <v>83</v>
      </c>
      <c r="F8" s="38" t="s">
        <v>30</v>
      </c>
      <c r="G8" s="39" t="s">
        <v>97</v>
      </c>
      <c r="H8" s="39" t="s">
        <v>98</v>
      </c>
      <c r="I8" s="38" t="s">
        <v>73</v>
      </c>
      <c r="J8" s="39" t="s">
        <v>97</v>
      </c>
      <c r="K8" s="39" t="s">
        <v>98</v>
      </c>
      <c r="L8" s="38" t="s">
        <v>73</v>
      </c>
      <c r="M8" s="39" t="s">
        <v>97</v>
      </c>
      <c r="N8" s="39" t="s">
        <v>98</v>
      </c>
      <c r="O8" s="38" t="s">
        <v>73</v>
      </c>
      <c r="P8" s="39" t="s">
        <v>97</v>
      </c>
      <c r="Q8" s="39" t="s">
        <v>98</v>
      </c>
      <c r="R8" s="38" t="s">
        <v>73</v>
      </c>
      <c r="S8" s="39" t="s">
        <v>97</v>
      </c>
      <c r="T8" s="39" t="s">
        <v>98</v>
      </c>
      <c r="U8" s="38" t="s">
        <v>73</v>
      </c>
      <c r="V8" s="39" t="s">
        <v>97</v>
      </c>
      <c r="W8" s="39" t="s">
        <v>98</v>
      </c>
      <c r="X8" s="40" t="s">
        <v>99</v>
      </c>
      <c r="Y8" s="41" t="s">
        <v>97</v>
      </c>
      <c r="Z8" s="41" t="s">
        <v>98</v>
      </c>
      <c r="AA8" s="40" t="s">
        <v>99</v>
      </c>
      <c r="AB8" s="41" t="s">
        <v>97</v>
      </c>
      <c r="AC8" s="41" t="s">
        <v>98</v>
      </c>
      <c r="AD8" s="40" t="s">
        <v>99</v>
      </c>
      <c r="AE8" s="41" t="s">
        <v>97</v>
      </c>
      <c r="AF8" s="41" t="s">
        <v>98</v>
      </c>
      <c r="AG8" s="40" t="s">
        <v>99</v>
      </c>
      <c r="AH8" s="41" t="s">
        <v>97</v>
      </c>
      <c r="AI8" s="41" t="s">
        <v>98</v>
      </c>
      <c r="AJ8" s="40" t="s">
        <v>99</v>
      </c>
      <c r="AK8" s="41" t="s">
        <v>97</v>
      </c>
      <c r="AL8" s="41" t="s">
        <v>98</v>
      </c>
      <c r="AM8" s="40" t="s">
        <v>99</v>
      </c>
      <c r="AN8" s="41" t="s">
        <v>97</v>
      </c>
      <c r="AO8" s="41" t="s">
        <v>98</v>
      </c>
      <c r="AP8" s="40" t="s">
        <v>99</v>
      </c>
      <c r="AQ8" s="41" t="s">
        <v>97</v>
      </c>
      <c r="AR8" s="41" t="s">
        <v>98</v>
      </c>
      <c r="AS8" s="40" t="s">
        <v>99</v>
      </c>
      <c r="AT8" s="41" t="s">
        <v>97</v>
      </c>
      <c r="AU8" s="41" t="s">
        <v>98</v>
      </c>
      <c r="AV8" s="40" t="s">
        <v>99</v>
      </c>
      <c r="AW8" s="41" t="s">
        <v>97</v>
      </c>
      <c r="AX8" s="41" t="s">
        <v>98</v>
      </c>
      <c r="AY8" s="40" t="s">
        <v>99</v>
      </c>
      <c r="AZ8" s="41" t="s">
        <v>97</v>
      </c>
      <c r="BA8" s="41" t="s">
        <v>98</v>
      </c>
      <c r="BB8" s="40" t="s">
        <v>99</v>
      </c>
      <c r="BC8" s="41" t="s">
        <v>97</v>
      </c>
      <c r="BD8" s="41" t="s">
        <v>98</v>
      </c>
      <c r="BE8" s="40" t="s">
        <v>99</v>
      </c>
      <c r="BF8" s="41" t="s">
        <v>97</v>
      </c>
      <c r="BG8" s="41" t="s">
        <v>98</v>
      </c>
      <c r="BH8" s="40" t="s">
        <v>99</v>
      </c>
      <c r="BI8" s="41" t="s">
        <v>97</v>
      </c>
      <c r="BJ8" s="41" t="s">
        <v>98</v>
      </c>
      <c r="BK8">
        <f>IFERROR(MATCH(INDEX(Listen!$I$2:$I$71,MATCH($C$3,Listen!$I$2:$I$71,0)-1),Daten_Motive!$1:$1,0),-1)</f>
        <v>55</v>
      </c>
    </row>
    <row r="9" spans="1:63" x14ac:dyDescent="0.25">
      <c r="A9" s="42">
        <v>1</v>
      </c>
      <c r="B9" s="43" t="str">
        <f>Listen!A2</f>
        <v>Alle Branchen</v>
      </c>
      <c r="C9" s="44" t="s">
        <v>4495</v>
      </c>
      <c r="D9" s="44" t="str">
        <f>Listen!B2</f>
        <v>Gesamt</v>
      </c>
      <c r="E9" s="45">
        <f>IFERROR(IF(INDEX(Daten_Anteile!$A:$ZZ,MATCH($B9&amp;"|Lage|"&amp;$C$3,Daten_Anteile!$A$1:$A$2971,0),5)="","",INDEX(Daten_Anteile!$A:$ZZ,MATCH($B9&amp;"|Lage|"&amp;$C$3,Daten_Anteile!$A$1:$A$2971,0),5)),"")</f>
        <v>23549</v>
      </c>
      <c r="F9" s="46">
        <f t="shared" ref="F9:F40" si="0">IF(AND(ISNUMBER(I9),ISNUMBER(L9)),ROUND(SQRT((100+I9)*(100+L9)),1),"")</f>
        <v>94.7</v>
      </c>
      <c r="G9" s="47">
        <f t="shared" ref="G9:G40" si="1">IF(AND(ISNUMBER(F9),ISNUMBER(J9),ISNUMBER(M9)),ROUND(F9-SQRT((100+I9-J9)*(100+L9-M9)),1),"")</f>
        <v>6.6</v>
      </c>
      <c r="H9" s="47">
        <f t="shared" ref="H9:H40" si="2">IF(AND(ISNUMBER(F9),ISNUMBER(K9),ISNUMBER(N9)),ROUND(F9-SQRT((100+I9-K9)*(100+L9-N9)),1),"")</f>
        <v>0.9</v>
      </c>
      <c r="I9" s="48">
        <f>IFERROR(IF(INDEX(Daten_Salden!$A:$ZZ,MATCH($B9&amp;"|Lage",Daten_Salden!$A$1:$A$331,0),$BK$1)="","",INDEX(Daten_Salden!$A:$ZZ,MATCH($B9&amp;"|Lage",Daten_Salden!$A$1:$A$331,0),$BK$1)),"")</f>
        <v>3</v>
      </c>
      <c r="J9" s="49">
        <f>IFERROR(I9-IFERROR(IF(INDEX(Daten_Salden!$A:$ZZ,MATCH($B9&amp;"|Lage",Daten_Salden!$A$1:$A$331,0),$BK$2)="",NA(),INDEX(Daten_Salden!$A:$ZZ,MATCH($B9&amp;"|Lage",Daten_Salden!$A$1:$A$331,0),$BK$2)),NA()),"")</f>
        <v>6</v>
      </c>
      <c r="K9" s="49">
        <f>IFERROR(I9-IFERROR(IF(INDEX(Daten_Salden!$A:$ZZ,MATCH($B9&amp;"|Lage",Daten_Salden!$A$1:$A$331,0),$BK$3)="",NA(),INDEX(Daten_Salden!$A:$ZZ,MATCH($B9&amp;"|Lage",Daten_Salden!$A$1:$A$331,0),$BK$3)),NA()),"")</f>
        <v>3</v>
      </c>
      <c r="L9" s="48">
        <f>IFERROR(IF(INDEX(Daten_Salden!$A:$ZZ,MATCH($B9&amp;"|Erwartungen",Daten_Salden!$A$1:$A$331,0),$BK$1)="","",INDEX(Daten_Salden!$A:$ZZ,MATCH($B9&amp;"|Erwartungen",Daten_Salden!$A$1:$A$331,0),$BK$1)),"")</f>
        <v>-13</v>
      </c>
      <c r="M9" s="49">
        <f>IFERROR(L9-IFERROR(IF(INDEX(Daten_Salden!$A:$ZZ,MATCH($B9&amp;"|Erwartungen",Daten_Salden!$A$1:$A$331,0),$BK$2)="",NA(),INDEX(Daten_Salden!$A:$ZZ,MATCH($B9&amp;"|Erwartungen",Daten_Salden!$A$1:$A$331,0),$BK$2)),NA()),"")</f>
        <v>7</v>
      </c>
      <c r="N9" s="49">
        <f>IFERROR(L9-IFERROR(IF(INDEX(Daten_Salden!$A:$ZZ,MATCH($B9&amp;"|Erwartungen",Daten_Salden!$A$1:$A$331,0),$BK$3)="",NA(),INDEX(Daten_Salden!$A:$ZZ,MATCH($B9&amp;"|Erwartungen",Daten_Salden!$A$1:$A$331,0),$BK$3)),NA()),"")</f>
        <v>-1</v>
      </c>
      <c r="O9" s="48" t="str">
        <f>IFERROR(IF(INDEX(Daten_Salden!$A:$ZZ,MATCH($B9&amp;"|Export",Daten_Salden!$A$1:$A$331,0),$BK$1)="","",INDEX(Daten_Salden!$A:$ZZ,MATCH($B9&amp;"|Export",Daten_Salden!$A$1:$A$331,0),$BK$1)),"")</f>
        <v/>
      </c>
      <c r="P9" s="49" t="str">
        <f>IFERROR(O9-IFERROR(IF(INDEX(Daten_Salden!$A:$ZZ,MATCH($B9&amp;"|Export",Daten_Salden!$A$1:$A$331,0),$BK$2)="",NA(),INDEX(Daten_Salden!$A:$ZZ,MATCH($B9&amp;"|Export",Daten_Salden!$A$1:$A$331,0),$BK$2)),NA()),"")</f>
        <v/>
      </c>
      <c r="Q9" s="49" t="str">
        <f>IFERROR(O9-IFERROR(IF(INDEX(Daten_Salden!$A:$ZZ,MATCH($B9&amp;"|Export",Daten_Salden!$A$1:$A$331,0),$BK$3)="",NA(),INDEX(Daten_Salden!$A:$ZZ,MATCH($B9&amp;"|Export",Daten_Salden!$A$1:$A$331,0),$BK$3)),NA()),"")</f>
        <v/>
      </c>
      <c r="R9" s="48">
        <f>IFERROR(IF(INDEX(Daten_Salden!$A:$ZZ,MATCH($B9&amp;"|Investitionen",Daten_Salden!$A$1:$A$331,0),$BK$1)="","",INDEX(Daten_Salden!$A:$ZZ,MATCH($B9&amp;"|Investitionen",Daten_Salden!$A$1:$A$331,0),$BK$1)),"")</f>
        <v>-6</v>
      </c>
      <c r="S9" s="49">
        <f>IFERROR(R9-IFERROR(IF(INDEX(Daten_Salden!$A:$ZZ,MATCH($B9&amp;"|Investitionen",Daten_Salden!$A$1:$A$331,0),$BK$2)="",NA(),INDEX(Daten_Salden!$A:$ZZ,MATCH($B9&amp;"|Investitionen",Daten_Salden!$A$1:$A$331,0),$BK$2)),NA()),"")</f>
        <v>5</v>
      </c>
      <c r="T9" s="49">
        <f>IFERROR(R9-IFERROR(IF(INDEX(Daten_Salden!$A:$ZZ,MATCH($B9&amp;"|Investitionen",Daten_Salden!$A$1:$A$331,0),$BK$3)="",NA(),INDEX(Daten_Salden!$A:$ZZ,MATCH($B9&amp;"|Investitionen",Daten_Salden!$A$1:$A$331,0),$BK$3)),NA()),"")</f>
        <v>3</v>
      </c>
      <c r="U9" s="48">
        <f>IFERROR(IF(INDEX(Daten_Salden!$A:$ZZ,MATCH($B9&amp;"|Beschäftigung",Daten_Salden!$A$1:$A$331,0),$BK$1)="","",INDEX(Daten_Salden!$A:$ZZ,MATCH($B9&amp;"|Beschäftigung",Daten_Salden!$A$1:$A$331,0),$BK$1)),"")</f>
        <v>-13</v>
      </c>
      <c r="V9" s="49">
        <f>IFERROR(U9-IFERROR(IF(INDEX(Daten_Salden!$A:$ZZ,MATCH($B9&amp;"|Beschäftigung",Daten_Salden!$A$1:$A$331,0),$BK$2)="",NA(),INDEX(Daten_Salden!$A:$ZZ,MATCH($B9&amp;"|Beschäftigung",Daten_Salden!$A$1:$A$331,0),$BK$2)),NA()),"")</f>
        <v>1</v>
      </c>
      <c r="W9" s="49">
        <f>IFERROR(U9-IFERROR(IF(INDEX(Daten_Salden!$A:$ZZ,MATCH($B9&amp;"|Beschäftigung",Daten_Salden!$A$1:$A$331,0),$BK$3)="",NA(),INDEX(Daten_Salden!$A:$ZZ,MATCH($B9&amp;"|Beschäftigung",Daten_Salden!$A$1:$A$331,0),$BK$3)),NA()),"")</f>
        <v>0</v>
      </c>
      <c r="X9" s="50">
        <f>IFERROR(IF(INDEX(Daten_Risiken!$A:$ZZ,MATCH($B9&amp;"|Energie- und Rohstoffpreise",Daten_Risiken!$A$1:$A$529,0),$BK$4)="","",INDEX(Daten_Risiken!$A:$ZZ,MATCH($B9&amp;"|Energie- und Rohstoffpreise",Daten_Risiken!$A$1:$A$529,0),$BK$4)),"")</f>
        <v>67</v>
      </c>
      <c r="Y9" s="49">
        <f>IFERROR(X9-IFERROR(IF(INDEX(Daten_Risiken!$A:$ZZ,MATCH($B9&amp;"|Energie- und Rohstoffpreise",Daten_Risiken!$A$1:$A$529,0),$BK$5)="",NA(),INDEX(Daten_Risiken!$A:$ZZ,MATCH($B9&amp;"|Energie- und Rohstoffpreise",Daten_Risiken!$A$1:$A$529,0),$BK$5)),NA()),"")</f>
        <v>-3</v>
      </c>
      <c r="Z9" s="49">
        <f>IFERROR(X9-IFERROR(IF(INDEX(Daten_Risiken!$A:$ZZ,MATCH($B9&amp;"|Energie- und Rohstoffpreise",Daten_Risiken!$A$1:$A$529,0),$BK$6)="",NA(),INDEX(Daten_Risiken!$A:$ZZ,MATCH($B9&amp;"|Energie- und Rohstoffpreise",Daten_Risiken!$A$1:$A$529,0),$BK$6)),NA()),"")</f>
        <v>18</v>
      </c>
      <c r="AA9" s="50">
        <f>IFERROR(IF(INDEX(Daten_Risiken!$A:$ZZ,MATCH($B9&amp;"|Arbeitskosten",Daten_Risiken!$A$1:$A$529,0),$BK$4)="","",INDEX(Daten_Risiken!$A:$ZZ,MATCH($B9&amp;"|Arbeitskosten",Daten_Risiken!$A$1:$A$529,0),$BK$4)),"")</f>
        <v>56</v>
      </c>
      <c r="AB9" s="49">
        <f>IFERROR(AA9-IFERROR(IF(INDEX(Daten_Risiken!$A:$ZZ,MATCH($B9&amp;"|Arbeitskosten",Daten_Risiken!$A$1:$A$529,0),$BK$5)="",NA(),INDEX(Daten_Risiken!$A:$ZZ,MATCH($B9&amp;"|Arbeitskosten",Daten_Risiken!$A$1:$A$529,0),$BK$5)),NA()),"")</f>
        <v>-1</v>
      </c>
      <c r="AC9" s="49">
        <f>IFERROR(AA9-IFERROR(IF(INDEX(Daten_Risiken!$A:$ZZ,MATCH($B9&amp;"|Arbeitskosten",Daten_Risiken!$A$1:$A$529,0),$BK$6)="",NA(),INDEX(Daten_Risiken!$A:$ZZ,MATCH($B9&amp;"|Arbeitskosten",Daten_Risiken!$A$1:$A$529,0),$BK$6)),NA()),"")</f>
        <v>0</v>
      </c>
      <c r="AD9" s="50">
        <f>IFERROR(IF(INDEX(Daten_Risiken!$A:$ZZ,MATCH($B9&amp;"|Inlandsnachfrage",Daten_Risiken!$A$1:$A$529,0),$BK$4)="","",INDEX(Daten_Risiken!$A:$ZZ,MATCH($B9&amp;"|Inlandsnachfrage",Daten_Risiken!$A$1:$A$529,0),$BK$4)),"")</f>
        <v>54</v>
      </c>
      <c r="AE9" s="49">
        <f>IFERROR(AD9-IFERROR(IF(INDEX(Daten_Risiken!$A:$ZZ,MATCH($B9&amp;"|Inlandsnachfrage",Daten_Risiken!$A$1:$A$529,0),$BK$5)="",NA(),INDEX(Daten_Risiken!$A:$ZZ,MATCH($B9&amp;"|Inlandsnachfrage",Daten_Risiken!$A$1:$A$529,0),$BK$5)),NA()),"")</f>
        <v>-2</v>
      </c>
      <c r="AF9" s="49">
        <f>IFERROR(AD9-IFERROR(IF(INDEX(Daten_Risiken!$A:$ZZ,MATCH($B9&amp;"|Inlandsnachfrage",Daten_Risiken!$A$1:$A$529,0),$BK$6)="",NA(),INDEX(Daten_Risiken!$A:$ZZ,MATCH($B9&amp;"|Inlandsnachfrage",Daten_Risiken!$A$1:$A$529,0),$BK$6)),NA()),"")</f>
        <v>-4</v>
      </c>
      <c r="AG9" s="50">
        <f>IFERROR(IF(INDEX(Daten_Risiken!$A:$ZZ,MATCH($B9&amp;"|Wirtschaftspolitische Rahmenbedingungen",Daten_Risiken!$A$1:$A$529,0),$BK$4)="","",INDEX(Daten_Risiken!$A:$ZZ,MATCH($B9&amp;"|Wirtschaftspolitische Rahmenbedingungen",Daten_Risiken!$A$1:$A$529,0),$BK$4)),"")</f>
        <v>58</v>
      </c>
      <c r="AH9" s="49">
        <f>IFERROR(AG9-IFERROR(IF(INDEX(Daten_Risiken!$A:$ZZ,MATCH($B9&amp;"|Wirtschaftspolitische Rahmenbedingungen",Daten_Risiken!$A$1:$A$529,0),$BK$5)="",NA(),INDEX(Daten_Risiken!$A:$ZZ,MATCH($B9&amp;"|Wirtschaftspolitische Rahmenbedingungen",Daten_Risiken!$A$1:$A$529,0),$BK$5)),NA()),"")</f>
        <v>0</v>
      </c>
      <c r="AI9" s="49">
        <f>IFERROR(AG9-IFERROR(IF(INDEX(Daten_Risiken!$A:$ZZ,MATCH($B9&amp;"|Wirtschaftspolitische Rahmenbedingungen",Daten_Risiken!$A$1:$A$529,0),$BK$6)="",NA(),INDEX(Daten_Risiken!$A:$ZZ,MATCH($B9&amp;"|Wirtschaftspolitische Rahmenbedingungen",Daten_Risiken!$A$1:$A$529,0),$BK$6)),NA()),"")</f>
        <v>1</v>
      </c>
      <c r="AJ9" s="50">
        <f>IFERROR(IF(INDEX(Daten_Risiken!$A:$ZZ,MATCH($B9&amp;"|Fachkräftemangel",Daten_Risiken!$A$1:$A$529,0),$BK$4)="","",INDEX(Daten_Risiken!$A:$ZZ,MATCH($B9&amp;"|Fachkräftemangel",Daten_Risiken!$A$1:$A$529,0),$BK$4)),"")</f>
        <v>36</v>
      </c>
      <c r="AK9" s="49">
        <f>IFERROR(AJ9-IFERROR(IF(INDEX(Daten_Risiken!$A:$ZZ,MATCH($B9&amp;"|Fachkräftemangel",Daten_Risiken!$A$1:$A$529,0),$BK$5)="",NA(),INDEX(Daten_Risiken!$A:$ZZ,MATCH($B9&amp;"|Fachkräftemangel",Daten_Risiken!$A$1:$A$529,0),$BK$5)),NA()),"")</f>
        <v>0</v>
      </c>
      <c r="AL9" s="49">
        <f>IFERROR(AJ9-IFERROR(IF(INDEX(Daten_Risiken!$A:$ZZ,MATCH($B9&amp;"|Fachkräftemangel",Daten_Risiken!$A$1:$A$529,0),$BK$6)="",NA(),INDEX(Daten_Risiken!$A:$ZZ,MATCH($B9&amp;"|Fachkräftemangel",Daten_Risiken!$A$1:$A$529,0),$BK$6)),NA()),"")</f>
        <v>-8</v>
      </c>
      <c r="AM9" s="50" t="str">
        <f>IFERROR(IF(INDEX(Daten_Risiken!$A:$ZZ,MATCH($B9&amp;"|Auslandsnachfrage",Daten_Risiken!$A$1:$A$529,0),$BK$4)="","",INDEX(Daten_Risiken!$A:$ZZ,MATCH($B9&amp;"|Auslandsnachfrage",Daten_Risiken!$A$1:$A$529,0),$BK$4)),"")</f>
        <v/>
      </c>
      <c r="AN9" s="49" t="str">
        <f>IFERROR(AM9-IFERROR(IF(INDEX(Daten_Risiken!$A:$ZZ,MATCH($B9&amp;"|Auslandsnachfrage",Daten_Risiken!$A$1:$A$529,0),$BK$5)="",NA(),INDEX(Daten_Risiken!$A:$ZZ,MATCH($B9&amp;"|Auslandsnachfrage",Daten_Risiken!$A$1:$A$529,0),$BK$5)),NA()),"")</f>
        <v/>
      </c>
      <c r="AO9" s="49" t="str">
        <f>IFERROR(AM9-IFERROR(IF(INDEX(Daten_Risiken!$A:$ZZ,MATCH($B9&amp;"|Auslandsnachfrage",Daten_Risiken!$A$1:$A$529,0),$BK$6)="",NA(),INDEX(Daten_Risiken!$A:$ZZ,MATCH($B9&amp;"|Auslandsnachfrage",Daten_Risiken!$A$1:$A$529,0),$BK$6)),NA()),"")</f>
        <v/>
      </c>
      <c r="AP9" s="50">
        <f>IFERROR(IF(INDEX(Daten_Risiken!$A:$ZZ,MATCH($B9&amp;"|Finanzierung",Daten_Risiken!$A$1:$A$529,0),$BK$4)="","",INDEX(Daten_Risiken!$A:$ZZ,MATCH($B9&amp;"|Finanzierung",Daten_Risiken!$A$1:$A$529,0),$BK$4)),"")</f>
        <v>16</v>
      </c>
      <c r="AQ9" s="49">
        <f>IFERROR(AP9-IFERROR(IF(INDEX(Daten_Risiken!$A:$ZZ,MATCH($B9&amp;"|Finanzierung",Daten_Risiken!$A$1:$A$529,0),$BK$5)="",NA(),INDEX(Daten_Risiken!$A:$ZZ,MATCH($B9&amp;"|Finanzierung",Daten_Risiken!$A$1:$A$529,0),$BK$5)),NA()),"")</f>
        <v>1</v>
      </c>
      <c r="AR9" s="49">
        <f>IFERROR(AP9-IFERROR(IF(INDEX(Daten_Risiken!$A:$ZZ,MATCH($B9&amp;"|Finanzierung",Daten_Risiken!$A$1:$A$529,0),$BK$6)="",NA(),INDEX(Daten_Risiken!$A:$ZZ,MATCH($B9&amp;"|Finanzierung",Daten_Risiken!$A$1:$A$529,0),$BK$6)),NA()),"")</f>
        <v>2</v>
      </c>
      <c r="AS9" s="50" t="str">
        <f>IFERROR(IF(INDEX(Daten_Risiken!$A:$ZZ,MATCH($B9&amp;"|Wechselkurs",Daten_Risiken!$A$1:$A$529,0),$BK$4)="","",INDEX(Daten_Risiken!$A:$ZZ,MATCH($B9&amp;"|Wechselkurs",Daten_Risiken!$A$1:$A$529,0),$BK$4)),"")</f>
        <v/>
      </c>
      <c r="AT9" s="49" t="str">
        <f>IFERROR(AS9-IFERROR(IF(INDEX(Daten_Risiken!$A:$ZZ,MATCH($B9&amp;"|Wechselkurs",Daten_Risiken!$A$1:$A$529,0),$BK$5)="",NA(),INDEX(Daten_Risiken!$A:$ZZ,MATCH($B9&amp;"|Wechselkurs",Daten_Risiken!$A$1:$A$529,0),$BK$5)),NA()),"")</f>
        <v/>
      </c>
      <c r="AU9" s="49" t="str">
        <f>IFERROR(AS9-IFERROR(IF(INDEX(Daten_Risiken!$A:$ZZ,MATCH($B9&amp;"|Wechselkurs",Daten_Risiken!$A$1:$A$529,0),$BK$6)="",NA(),INDEX(Daten_Risiken!$A:$ZZ,MATCH($B9&amp;"|Wechselkurs",Daten_Risiken!$A$1:$A$529,0),$BK$6)),NA()),"")</f>
        <v/>
      </c>
      <c r="AV9" s="50">
        <f>IFERROR(IF(INDEX(Daten_Motive!$A:$ZZ,MATCH($B9&amp;"|Ersatzbedarf",Daten_Motive!$A$1:$A$331,0),$BK$7)="","",INDEX(Daten_Motive!$A:$ZZ,MATCH($B9&amp;"|Ersatzbedarf",Daten_Motive!$A$1:$A$331,0),$BK$7)),"")</f>
        <v>66</v>
      </c>
      <c r="AW9" s="49">
        <f>IFERROR(AV9-IFERROR(IF(INDEX(Daten_Motive!$A:$ZZ,MATCH($B9&amp;"|Ersatzbedarf",Daten_Motive!$A$1:$A$331,0),$BK$8)="",NA(),INDEX(Daten_Motive!$A:$ZZ,MATCH($B9&amp;"|Ersatzbedarf",Daten_Motive!$A$1:$A$331,0),$BK$8)),NA()),"")</f>
        <v>-1</v>
      </c>
      <c r="AX9" s="49">
        <f>IFERROR(AV9-IFERROR(IF(INDEX(Daten_Motive!$A:$ZZ,MATCH($B9&amp;"|Ersatzbedarf",Daten_Motive!$A$1:$A$331,0),$BK$9)="",NA(),INDEX(Daten_Motive!$A:$ZZ,MATCH($B9&amp;"|Ersatzbedarf",Daten_Motive!$A$1:$A$331,0),$BK$9)),NA()),"")</f>
        <v>-1</v>
      </c>
      <c r="AY9" s="50">
        <f>IFERROR(IF(INDEX(Daten_Motive!$A:$ZZ,MATCH($B9&amp;"|Rationalisierung",Daten_Motive!$A$1:$A$331,0),$BK$7)="","",INDEX(Daten_Motive!$A:$ZZ,MATCH($B9&amp;"|Rationalisierung",Daten_Motive!$A$1:$A$331,0),$BK$7)),"")</f>
        <v>34</v>
      </c>
      <c r="AZ9" s="49">
        <f>IFERROR(AY9-IFERROR(IF(INDEX(Daten_Motive!$A:$ZZ,MATCH($B9&amp;"|Rationalisierung",Daten_Motive!$A$1:$A$331,0),$BK$8)="",NA(),INDEX(Daten_Motive!$A:$ZZ,MATCH($B9&amp;"|Rationalisierung",Daten_Motive!$A$1:$A$331,0),$BK$8)),NA()),"")</f>
        <v>0</v>
      </c>
      <c r="BA9" s="49">
        <f>IFERROR(AY9-IFERROR(IF(INDEX(Daten_Motive!$A:$ZZ,MATCH($B9&amp;"|Rationalisierung",Daten_Motive!$A$1:$A$331,0),$BK$9)="",NA(),INDEX(Daten_Motive!$A:$ZZ,MATCH($B9&amp;"|Rationalisierung",Daten_Motive!$A$1:$A$331,0),$BK$9)),NA()),"")</f>
        <v>1</v>
      </c>
      <c r="BB9" s="50">
        <f>IFERROR(IF(INDEX(Daten_Motive!$A:$ZZ,MATCH($B9&amp;"|Produktinnovation",Daten_Motive!$A$1:$A$331,0),$BK$7)="","",INDEX(Daten_Motive!$A:$ZZ,MATCH($B9&amp;"|Produktinnovation",Daten_Motive!$A$1:$A$331,0),$BK$7)),"")</f>
        <v>28</v>
      </c>
      <c r="BC9" s="49">
        <f>IFERROR(BB9-IFERROR(IF(INDEX(Daten_Motive!$A:$ZZ,MATCH($B9&amp;"|Produktinnovation",Daten_Motive!$A$1:$A$331,0),$BK$8)="",NA(),INDEX(Daten_Motive!$A:$ZZ,MATCH($B9&amp;"|Produktinnovation",Daten_Motive!$A$1:$A$331,0),$BK$8)),NA()),"")</f>
        <v>1</v>
      </c>
      <c r="BD9" s="49">
        <f>IFERROR(BB9-IFERROR(IF(INDEX(Daten_Motive!$A:$ZZ,MATCH($B9&amp;"|Produktinnovation",Daten_Motive!$A$1:$A$331,0),$BK$9)="",NA(),INDEX(Daten_Motive!$A:$ZZ,MATCH($B9&amp;"|Produktinnovation",Daten_Motive!$A$1:$A$331,0),$BK$9)),NA()),"")</f>
        <v>0</v>
      </c>
      <c r="BE9" s="50">
        <f>IFERROR(IF(INDEX(Daten_Motive!$A:$ZZ,MATCH($B9&amp;"|Umweltschutz",Daten_Motive!$A$1:$A$331,0),$BK$7)="","",INDEX(Daten_Motive!$A:$ZZ,MATCH($B9&amp;"|Umweltschutz",Daten_Motive!$A$1:$A$331,0),$BK$7)),"")</f>
        <v>17</v>
      </c>
      <c r="BF9" s="49">
        <f>IFERROR(BE9-IFERROR(IF(INDEX(Daten_Motive!$A:$ZZ,MATCH($B9&amp;"|Umweltschutz",Daten_Motive!$A$1:$A$331,0),$BK$8)="",NA(),INDEX(Daten_Motive!$A:$ZZ,MATCH($B9&amp;"|Umweltschutz",Daten_Motive!$A$1:$A$331,0),$BK$8)),NA()),"")</f>
        <v>1</v>
      </c>
      <c r="BG9" s="49">
        <f>IFERROR(BE9-IFERROR(IF(INDEX(Daten_Motive!$A:$ZZ,MATCH($B9&amp;"|Umweltschutz",Daten_Motive!$A$1:$A$331,0),$BK$9)="",NA(),INDEX(Daten_Motive!$A:$ZZ,MATCH($B9&amp;"|Umweltschutz",Daten_Motive!$A$1:$A$331,0),$BK$9)),NA()),"")</f>
        <v>-1</v>
      </c>
      <c r="BH9" s="50">
        <f>IFERROR(IF(INDEX(Daten_Motive!$A:$ZZ,MATCH($B9&amp;"|Kapazitätserweiterung",Daten_Motive!$A$1:$A$331,0),$BK$7)="","",INDEX(Daten_Motive!$A:$ZZ,MATCH($B9&amp;"|Kapazitätserweiterung",Daten_Motive!$A$1:$A$331,0),$BK$7)),"")</f>
        <v>19</v>
      </c>
      <c r="BI9" s="49">
        <f>IFERROR(BH9-IFERROR(IF(INDEX(Daten_Motive!$A:$ZZ,MATCH($B9&amp;"|Kapazitätserweiterung",Daten_Motive!$A$1:$A$331,0),$BK$8)="",NA(),INDEX(Daten_Motive!$A:$ZZ,MATCH($B9&amp;"|Kapazitätserweiterung",Daten_Motive!$A$1:$A$331,0),$BK$8)),NA()),"")</f>
        <v>0</v>
      </c>
      <c r="BJ9" s="49">
        <f>IFERROR(BH9-IFERROR(IF(INDEX(Daten_Motive!$A:$ZZ,MATCH($B9&amp;"|Kapazitätserweiterung",Daten_Motive!$A$1:$A$331,0),$BK$9)="",NA(),INDEX(Daten_Motive!$A:$ZZ,MATCH($B9&amp;"|Kapazitätserweiterung",Daten_Motive!$A$1:$A$331,0),$BK$9)),NA()),"")</f>
        <v>0</v>
      </c>
      <c r="BK9">
        <f>IFERROR(MATCH(LEFT($C$3,LEN($C$3)-4)&amp;(VALUE(RIGHT($C$3,4))-1),Daten_Motive!$1:$1,0),-1)</f>
        <v>53</v>
      </c>
    </row>
    <row r="10" spans="1:63" x14ac:dyDescent="0.25">
      <c r="A10" s="42">
        <v>2</v>
      </c>
      <c r="B10" s="43" t="str">
        <f>Listen!A3</f>
        <v>Industrie (ohne Baugewerbe)</v>
      </c>
      <c r="C10" s="44" t="s">
        <v>4496</v>
      </c>
      <c r="D10" s="44" t="str">
        <f>Listen!B3</f>
        <v>Industrie</v>
      </c>
      <c r="E10" s="45">
        <f>IFERROR(IF(INDEX(Daten_Anteile!$A:$ZZ,MATCH($B10&amp;"|Lage|"&amp;$C$3,Daten_Anteile!$A$1:$A$2971,0),5)="","",INDEX(Daten_Anteile!$A:$ZZ,MATCH($B10&amp;"|Lage|"&amp;$C$3,Daten_Anteile!$A$1:$A$2971,0),5)),"")</f>
        <v>5866</v>
      </c>
      <c r="F10" s="46">
        <f t="shared" si="0"/>
        <v>97.5</v>
      </c>
      <c r="G10" s="47">
        <f t="shared" si="1"/>
        <v>9.1</v>
      </c>
      <c r="H10" s="47">
        <f t="shared" si="2"/>
        <v>9.6</v>
      </c>
      <c r="I10" s="48">
        <f>IFERROR(IF(INDEX(Daten_Salden!$A:$ZZ,MATCH($B10&amp;"|Lage",Daten_Salden!$A$1:$A$331,0),$BK$1)="","",INDEX(Daten_Salden!$A:$ZZ,MATCH($B10&amp;"|Lage",Daten_Salden!$A$1:$A$331,0),$BK$1)),"")</f>
        <v>-1</v>
      </c>
      <c r="J10" s="49">
        <f>IFERROR(I10-IFERROR(IF(INDEX(Daten_Salden!$A:$ZZ,MATCH($B10&amp;"|Lage",Daten_Salden!$A$1:$A$331,0),$BK$2)="",NA(),INDEX(Daten_Salden!$A:$ZZ,MATCH($B10&amp;"|Lage",Daten_Salden!$A$1:$A$331,0),$BK$2)),NA()),"")</f>
        <v>6</v>
      </c>
      <c r="K10" s="49">
        <f>IFERROR(I10-IFERROR(IF(INDEX(Daten_Salden!$A:$ZZ,MATCH($B10&amp;"|Lage",Daten_Salden!$A$1:$A$331,0),$BK$3)="",NA(),INDEX(Daten_Salden!$A:$ZZ,MATCH($B10&amp;"|Lage",Daten_Salden!$A$1:$A$331,0),$BK$3)),NA()),"")</f>
        <v>14</v>
      </c>
      <c r="L10" s="48">
        <f>IFERROR(IF(INDEX(Daten_Salden!$A:$ZZ,MATCH($B10&amp;"|Erwartungen",Daten_Salden!$A$1:$A$331,0),$BK$1)="","",INDEX(Daten_Salden!$A:$ZZ,MATCH($B10&amp;"|Erwartungen",Daten_Salden!$A$1:$A$331,0),$BK$1)),"")</f>
        <v>-4</v>
      </c>
      <c r="M10" s="49">
        <f>IFERROR(L10-IFERROR(IF(INDEX(Daten_Salden!$A:$ZZ,MATCH($B10&amp;"|Erwartungen",Daten_Salden!$A$1:$A$331,0),$BK$2)="",NA(),INDEX(Daten_Salden!$A:$ZZ,MATCH($B10&amp;"|Erwartungen",Daten_Salden!$A$1:$A$331,0),$BK$2)),NA()),"")</f>
        <v>12</v>
      </c>
      <c r="N10" s="49">
        <f>IFERROR(L10-IFERROR(IF(INDEX(Daten_Salden!$A:$ZZ,MATCH($B10&amp;"|Erwartungen",Daten_Salden!$A$1:$A$331,0),$BK$3)="",NA(),INDEX(Daten_Salden!$A:$ZZ,MATCH($B10&amp;"|Erwartungen",Daten_Salden!$A$1:$A$331,0),$BK$3)),NA()),"")</f>
        <v>5</v>
      </c>
      <c r="O10" s="48">
        <f>IFERROR(IF(INDEX(Daten_Salden!$A:$ZZ,MATCH($B10&amp;"|Export",Daten_Salden!$A$1:$A$331,0),$BK$1)="","",INDEX(Daten_Salden!$A:$ZZ,MATCH($B10&amp;"|Export",Daten_Salden!$A$1:$A$331,0),$BK$1)),"")</f>
        <v>3</v>
      </c>
      <c r="P10" s="49">
        <f>IFERROR(O10-IFERROR(IF(INDEX(Daten_Salden!$A:$ZZ,MATCH($B10&amp;"|Export",Daten_Salden!$A$1:$A$331,0),$BK$2)="",NA(),INDEX(Daten_Salden!$A:$ZZ,MATCH($B10&amp;"|Export",Daten_Salden!$A$1:$A$331,0),$BK$2)),NA()),"")</f>
        <v>13</v>
      </c>
      <c r="Q10" s="49">
        <f>IFERROR(O10-IFERROR(IF(INDEX(Daten_Salden!$A:$ZZ,MATCH($B10&amp;"|Export",Daten_Salden!$A$1:$A$331,0),$BK$3)="",NA(),INDEX(Daten_Salden!$A:$ZZ,MATCH($B10&amp;"|Export",Daten_Salden!$A$1:$A$331,0),$BK$3)),NA()),"")</f>
        <v>13</v>
      </c>
      <c r="R10" s="48">
        <f>IFERROR(IF(INDEX(Daten_Salden!$A:$ZZ,MATCH($B10&amp;"|Investitionen",Daten_Salden!$A$1:$A$331,0),$BK$1)="","",INDEX(Daten_Salden!$A:$ZZ,MATCH($B10&amp;"|Investitionen",Daten_Salden!$A$1:$A$331,0),$BK$1)),"")</f>
        <v>-9</v>
      </c>
      <c r="S10" s="49">
        <f>IFERROR(R10-IFERROR(IF(INDEX(Daten_Salden!$A:$ZZ,MATCH($B10&amp;"|Investitionen",Daten_Salden!$A$1:$A$331,0),$BK$2)="",NA(),INDEX(Daten_Salden!$A:$ZZ,MATCH($B10&amp;"|Investitionen",Daten_Salden!$A$1:$A$331,0),$BK$2)),NA()),"")</f>
        <v>6</v>
      </c>
      <c r="T10" s="49">
        <f>IFERROR(R10-IFERROR(IF(INDEX(Daten_Salden!$A:$ZZ,MATCH($B10&amp;"|Investitionen",Daten_Salden!$A$1:$A$331,0),$BK$3)="",NA(),INDEX(Daten_Salden!$A:$ZZ,MATCH($B10&amp;"|Investitionen",Daten_Salden!$A$1:$A$331,0),$BK$3)),NA()),"")</f>
        <v>7</v>
      </c>
      <c r="U10" s="48">
        <f>IFERROR(IF(INDEX(Daten_Salden!$A:$ZZ,MATCH($B10&amp;"|Beschäftigung",Daten_Salden!$A$1:$A$331,0),$BK$1)="","",INDEX(Daten_Salden!$A:$ZZ,MATCH($B10&amp;"|Beschäftigung",Daten_Salden!$A$1:$A$331,0),$BK$1)),"")</f>
        <v>-16</v>
      </c>
      <c r="V10" s="49">
        <f>IFERROR(U10-IFERROR(IF(INDEX(Daten_Salden!$A:$ZZ,MATCH($B10&amp;"|Beschäftigung",Daten_Salden!$A$1:$A$331,0),$BK$2)="",NA(),INDEX(Daten_Salden!$A:$ZZ,MATCH($B10&amp;"|Beschäftigung",Daten_Salden!$A$1:$A$331,0),$BK$2)),NA()),"")</f>
        <v>4</v>
      </c>
      <c r="W10" s="49">
        <f>IFERROR(U10-IFERROR(IF(INDEX(Daten_Salden!$A:$ZZ,MATCH($B10&amp;"|Beschäftigung",Daten_Salden!$A$1:$A$331,0),$BK$3)="",NA(),INDEX(Daten_Salden!$A:$ZZ,MATCH($B10&amp;"|Beschäftigung",Daten_Salden!$A$1:$A$331,0),$BK$3)),NA()),"")</f>
        <v>5</v>
      </c>
      <c r="X10" s="50">
        <f>IFERROR(IF(INDEX(Daten_Risiken!$A:$ZZ,MATCH($B10&amp;"|Energie- und Rohstoffpreise",Daten_Risiken!$A$1:$A$529,0),$BK$4)="","",INDEX(Daten_Risiken!$A:$ZZ,MATCH($B10&amp;"|Energie- und Rohstoffpreise",Daten_Risiken!$A$1:$A$529,0),$BK$4)),"")</f>
        <v>78</v>
      </c>
      <c r="Y10" s="49">
        <f>IFERROR(X10-IFERROR(IF(INDEX(Daten_Risiken!$A:$ZZ,MATCH($B10&amp;"|Energie- und Rohstoffpreise",Daten_Risiken!$A$1:$A$529,0),$BK$5)="",NA(),INDEX(Daten_Risiken!$A:$ZZ,MATCH($B10&amp;"|Energie- und Rohstoffpreise",Daten_Risiken!$A$1:$A$529,0),$BK$5)),NA()),"")</f>
        <v>-3</v>
      </c>
      <c r="Z10" s="49">
        <f>IFERROR(X10-IFERROR(IF(INDEX(Daten_Risiken!$A:$ZZ,MATCH($B10&amp;"|Energie- und Rohstoffpreise",Daten_Risiken!$A$1:$A$529,0),$BK$6)="",NA(),INDEX(Daten_Risiken!$A:$ZZ,MATCH($B10&amp;"|Energie- und Rohstoffpreise",Daten_Risiken!$A$1:$A$529,0),$BK$6)),NA()),"")</f>
        <v>21</v>
      </c>
      <c r="AA10" s="50">
        <f>IFERROR(IF(INDEX(Daten_Risiken!$A:$ZZ,MATCH($B10&amp;"|Arbeitskosten",Daten_Risiken!$A$1:$A$529,0),$BK$4)="","",INDEX(Daten_Risiken!$A:$ZZ,MATCH($B10&amp;"|Arbeitskosten",Daten_Risiken!$A$1:$A$529,0),$BK$4)),"")</f>
        <v>61</v>
      </c>
      <c r="AB10" s="49">
        <f>IFERROR(AA10-IFERROR(IF(INDEX(Daten_Risiken!$A:$ZZ,MATCH($B10&amp;"|Arbeitskosten",Daten_Risiken!$A$1:$A$529,0),$BK$5)="",NA(),INDEX(Daten_Risiken!$A:$ZZ,MATCH($B10&amp;"|Arbeitskosten",Daten_Risiken!$A$1:$A$529,0),$BK$5)),NA()),"")</f>
        <v>1</v>
      </c>
      <c r="AC10" s="49">
        <f>IFERROR(AA10-IFERROR(IF(INDEX(Daten_Risiken!$A:$ZZ,MATCH($B10&amp;"|Arbeitskosten",Daten_Risiken!$A$1:$A$529,0),$BK$6)="",NA(),INDEX(Daten_Risiken!$A:$ZZ,MATCH($B10&amp;"|Arbeitskosten",Daten_Risiken!$A$1:$A$529,0),$BK$6)),NA()),"")</f>
        <v>2</v>
      </c>
      <c r="AD10" s="50">
        <f>IFERROR(IF(INDEX(Daten_Risiken!$A:$ZZ,MATCH($B10&amp;"|Inlandsnachfrage",Daten_Risiken!$A$1:$A$529,0),$BK$4)="","",INDEX(Daten_Risiken!$A:$ZZ,MATCH($B10&amp;"|Inlandsnachfrage",Daten_Risiken!$A$1:$A$529,0),$BK$4)),"")</f>
        <v>61</v>
      </c>
      <c r="AE10" s="49">
        <f>IFERROR(AD10-IFERROR(IF(INDEX(Daten_Risiken!$A:$ZZ,MATCH($B10&amp;"|Inlandsnachfrage",Daten_Risiken!$A$1:$A$529,0),$BK$5)="",NA(),INDEX(Daten_Risiken!$A:$ZZ,MATCH($B10&amp;"|Inlandsnachfrage",Daten_Risiken!$A$1:$A$529,0),$BK$5)),NA()),"")</f>
        <v>-1</v>
      </c>
      <c r="AF10" s="49">
        <f>IFERROR(AD10-IFERROR(IF(INDEX(Daten_Risiken!$A:$ZZ,MATCH($B10&amp;"|Inlandsnachfrage",Daten_Risiken!$A$1:$A$529,0),$BK$6)="",NA(),INDEX(Daten_Risiken!$A:$ZZ,MATCH($B10&amp;"|Inlandsnachfrage",Daten_Risiken!$A$1:$A$529,0),$BK$6)),NA()),"")</f>
        <v>-7</v>
      </c>
      <c r="AG10" s="50">
        <f>IFERROR(IF(INDEX(Daten_Risiken!$A:$ZZ,MATCH($B10&amp;"|Wirtschaftspolitische Rahmenbedingungen",Daten_Risiken!$A$1:$A$529,0),$BK$4)="","",INDEX(Daten_Risiken!$A:$ZZ,MATCH($B10&amp;"|Wirtschaftspolitische Rahmenbedingungen",Daten_Risiken!$A$1:$A$529,0),$BK$4)),"")</f>
        <v>59</v>
      </c>
      <c r="AH10" s="49">
        <f>IFERROR(AG10-IFERROR(IF(INDEX(Daten_Risiken!$A:$ZZ,MATCH($B10&amp;"|Wirtschaftspolitische Rahmenbedingungen",Daten_Risiken!$A$1:$A$529,0),$BK$5)="",NA(),INDEX(Daten_Risiken!$A:$ZZ,MATCH($B10&amp;"|Wirtschaftspolitische Rahmenbedingungen",Daten_Risiken!$A$1:$A$529,0),$BK$5)),NA()),"")</f>
        <v>-1</v>
      </c>
      <c r="AI10" s="49">
        <f>IFERROR(AG10-IFERROR(IF(INDEX(Daten_Risiken!$A:$ZZ,MATCH($B10&amp;"|Wirtschaftspolitische Rahmenbedingungen",Daten_Risiken!$A$1:$A$529,0),$BK$6)="",NA(),INDEX(Daten_Risiken!$A:$ZZ,MATCH($B10&amp;"|Wirtschaftspolitische Rahmenbedingungen",Daten_Risiken!$A$1:$A$529,0),$BK$6)),NA()),"")</f>
        <v>-1</v>
      </c>
      <c r="AJ10" s="50">
        <f>IFERROR(IF(INDEX(Daten_Risiken!$A:$ZZ,MATCH($B10&amp;"|Fachkräftemangel",Daten_Risiken!$A$1:$A$529,0),$BK$4)="","",INDEX(Daten_Risiken!$A:$ZZ,MATCH($B10&amp;"|Fachkräftemangel",Daten_Risiken!$A$1:$A$529,0),$BK$4)),"")</f>
        <v>34</v>
      </c>
      <c r="AK10" s="49">
        <f>IFERROR(AJ10-IFERROR(IF(INDEX(Daten_Risiken!$A:$ZZ,MATCH($B10&amp;"|Fachkräftemangel",Daten_Risiken!$A$1:$A$529,0),$BK$5)="",NA(),INDEX(Daten_Risiken!$A:$ZZ,MATCH($B10&amp;"|Fachkräftemangel",Daten_Risiken!$A$1:$A$529,0),$BK$5)),NA()),"")</f>
        <v>2</v>
      </c>
      <c r="AL10" s="49">
        <f>IFERROR(AJ10-IFERROR(IF(INDEX(Daten_Risiken!$A:$ZZ,MATCH($B10&amp;"|Fachkräftemangel",Daten_Risiken!$A$1:$A$529,0),$BK$6)="",NA(),INDEX(Daten_Risiken!$A:$ZZ,MATCH($B10&amp;"|Fachkräftemangel",Daten_Risiken!$A$1:$A$529,0),$BK$6)),NA()),"")</f>
        <v>-5</v>
      </c>
      <c r="AM10" s="50">
        <f>IFERROR(IF(INDEX(Daten_Risiken!$A:$ZZ,MATCH($B10&amp;"|Auslandsnachfrage",Daten_Risiken!$A$1:$A$529,0),$BK$4)="","",INDEX(Daten_Risiken!$A:$ZZ,MATCH($B10&amp;"|Auslandsnachfrage",Daten_Risiken!$A$1:$A$529,0),$BK$4)),"")</f>
        <v>29</v>
      </c>
      <c r="AN10" s="49">
        <f>IFERROR(AM10-IFERROR(IF(INDEX(Daten_Risiken!$A:$ZZ,MATCH($B10&amp;"|Auslandsnachfrage",Daten_Risiken!$A$1:$A$529,0),$BK$5)="",NA(),INDEX(Daten_Risiken!$A:$ZZ,MATCH($B10&amp;"|Auslandsnachfrage",Daten_Risiken!$A$1:$A$529,0),$BK$5)),NA()),"")</f>
        <v>-5</v>
      </c>
      <c r="AO10" s="49">
        <f>IFERROR(AM10-IFERROR(IF(INDEX(Daten_Risiken!$A:$ZZ,MATCH($B10&amp;"|Auslandsnachfrage",Daten_Risiken!$A$1:$A$529,0),$BK$6)="",NA(),INDEX(Daten_Risiken!$A:$ZZ,MATCH($B10&amp;"|Auslandsnachfrage",Daten_Risiken!$A$1:$A$529,0),$BK$6)),NA()),"")</f>
        <v>-7</v>
      </c>
      <c r="AP10" s="50">
        <f>IFERROR(IF(INDEX(Daten_Risiken!$A:$ZZ,MATCH($B10&amp;"|Finanzierung",Daten_Risiken!$A$1:$A$529,0),$BK$4)="","",INDEX(Daten_Risiken!$A:$ZZ,MATCH($B10&amp;"|Finanzierung",Daten_Risiken!$A$1:$A$529,0),$BK$4)),"")</f>
        <v>13</v>
      </c>
      <c r="AQ10" s="49">
        <f>IFERROR(AP10-IFERROR(IF(INDEX(Daten_Risiken!$A:$ZZ,MATCH($B10&amp;"|Finanzierung",Daten_Risiken!$A$1:$A$529,0),$BK$5)="",NA(),INDEX(Daten_Risiken!$A:$ZZ,MATCH($B10&amp;"|Finanzierung",Daten_Risiken!$A$1:$A$529,0),$BK$5)),NA()),"")</f>
        <v>1</v>
      </c>
      <c r="AR10" s="49">
        <f>IFERROR(AP10-IFERROR(IF(INDEX(Daten_Risiken!$A:$ZZ,MATCH($B10&amp;"|Finanzierung",Daten_Risiken!$A$1:$A$529,0),$BK$6)="",NA(),INDEX(Daten_Risiken!$A:$ZZ,MATCH($B10&amp;"|Finanzierung",Daten_Risiken!$A$1:$A$529,0),$BK$6)),NA()),"")</f>
        <v>2</v>
      </c>
      <c r="AS10" s="50">
        <f>IFERROR(IF(INDEX(Daten_Risiken!$A:$ZZ,MATCH($B10&amp;"|Wechselkurs",Daten_Risiken!$A$1:$A$529,0),$BK$4)="","",INDEX(Daten_Risiken!$A:$ZZ,MATCH($B10&amp;"|Wechselkurs",Daten_Risiken!$A$1:$A$529,0),$BK$4)),"")</f>
        <v>4</v>
      </c>
      <c r="AT10" s="49">
        <f>IFERROR(AS10-IFERROR(IF(INDEX(Daten_Risiken!$A:$ZZ,MATCH($B10&amp;"|Wechselkurs",Daten_Risiken!$A$1:$A$529,0),$BK$5)="",NA(),INDEX(Daten_Risiken!$A:$ZZ,MATCH($B10&amp;"|Wechselkurs",Daten_Risiken!$A$1:$A$529,0),$BK$5)),NA()),"")</f>
        <v>-1</v>
      </c>
      <c r="AU10" s="49">
        <f>IFERROR(AS10-IFERROR(IF(INDEX(Daten_Risiken!$A:$ZZ,MATCH($B10&amp;"|Wechselkurs",Daten_Risiken!$A$1:$A$529,0),$BK$6)="",NA(),INDEX(Daten_Risiken!$A:$ZZ,MATCH($B10&amp;"|Wechselkurs",Daten_Risiken!$A$1:$A$529,0),$BK$6)),NA()),"")</f>
        <v>-2</v>
      </c>
      <c r="AV10" s="50">
        <f>IFERROR(IF(INDEX(Daten_Motive!$A:$ZZ,MATCH($B10&amp;"|Ersatzbedarf",Daten_Motive!$A$1:$A$331,0),$BK$7)="","",INDEX(Daten_Motive!$A:$ZZ,MATCH($B10&amp;"|Ersatzbedarf",Daten_Motive!$A$1:$A$331,0),$BK$7)),"")</f>
        <v>67</v>
      </c>
      <c r="AW10" s="49">
        <f>IFERROR(AV10-IFERROR(IF(INDEX(Daten_Motive!$A:$ZZ,MATCH($B10&amp;"|Ersatzbedarf",Daten_Motive!$A$1:$A$331,0),$BK$8)="",NA(),INDEX(Daten_Motive!$A:$ZZ,MATCH($B10&amp;"|Ersatzbedarf",Daten_Motive!$A$1:$A$331,0),$BK$8)),NA()),"")</f>
        <v>-1</v>
      </c>
      <c r="AX10" s="49">
        <f>IFERROR(AV10-IFERROR(IF(INDEX(Daten_Motive!$A:$ZZ,MATCH($B10&amp;"|Ersatzbedarf",Daten_Motive!$A$1:$A$331,0),$BK$9)="",NA(),INDEX(Daten_Motive!$A:$ZZ,MATCH($B10&amp;"|Ersatzbedarf",Daten_Motive!$A$1:$A$331,0),$BK$9)),NA()),"")</f>
        <v>1</v>
      </c>
      <c r="AY10" s="50">
        <f>IFERROR(IF(INDEX(Daten_Motive!$A:$ZZ,MATCH($B10&amp;"|Rationalisierung",Daten_Motive!$A$1:$A$331,0),$BK$7)="","",INDEX(Daten_Motive!$A:$ZZ,MATCH($B10&amp;"|Rationalisierung",Daten_Motive!$A$1:$A$331,0),$BK$7)),"")</f>
        <v>43</v>
      </c>
      <c r="AZ10" s="49">
        <f>IFERROR(AY10-IFERROR(IF(INDEX(Daten_Motive!$A:$ZZ,MATCH($B10&amp;"|Rationalisierung",Daten_Motive!$A$1:$A$331,0),$BK$8)="",NA(),INDEX(Daten_Motive!$A:$ZZ,MATCH($B10&amp;"|Rationalisierung",Daten_Motive!$A$1:$A$331,0),$BK$8)),NA()),"")</f>
        <v>0</v>
      </c>
      <c r="BA10" s="49">
        <f>IFERROR(AY10-IFERROR(IF(INDEX(Daten_Motive!$A:$ZZ,MATCH($B10&amp;"|Rationalisierung",Daten_Motive!$A$1:$A$331,0),$BK$9)="",NA(),INDEX(Daten_Motive!$A:$ZZ,MATCH($B10&amp;"|Rationalisierung",Daten_Motive!$A$1:$A$331,0),$BK$9)),NA()),"")</f>
        <v>-1</v>
      </c>
      <c r="BB10" s="50">
        <f>IFERROR(IF(INDEX(Daten_Motive!$A:$ZZ,MATCH($B10&amp;"|Produktinnovation",Daten_Motive!$A$1:$A$331,0),$BK$7)="","",INDEX(Daten_Motive!$A:$ZZ,MATCH($B10&amp;"|Produktinnovation",Daten_Motive!$A$1:$A$331,0),$BK$7)),"")</f>
        <v>30</v>
      </c>
      <c r="BC10" s="49">
        <f>IFERROR(BB10-IFERROR(IF(INDEX(Daten_Motive!$A:$ZZ,MATCH($B10&amp;"|Produktinnovation",Daten_Motive!$A$1:$A$331,0),$BK$8)="",NA(),INDEX(Daten_Motive!$A:$ZZ,MATCH($B10&amp;"|Produktinnovation",Daten_Motive!$A$1:$A$331,0),$BK$8)),NA()),"")</f>
        <v>1</v>
      </c>
      <c r="BD10" s="49">
        <f>IFERROR(BB10-IFERROR(IF(INDEX(Daten_Motive!$A:$ZZ,MATCH($B10&amp;"|Produktinnovation",Daten_Motive!$A$1:$A$331,0),$BK$9)="",NA(),INDEX(Daten_Motive!$A:$ZZ,MATCH($B10&amp;"|Produktinnovation",Daten_Motive!$A$1:$A$331,0),$BK$9)),NA()),"")</f>
        <v>0</v>
      </c>
      <c r="BE10" s="50">
        <f>IFERROR(IF(INDEX(Daten_Motive!$A:$ZZ,MATCH($B10&amp;"|Umweltschutz",Daten_Motive!$A$1:$A$331,0),$BK$7)="","",INDEX(Daten_Motive!$A:$ZZ,MATCH($B10&amp;"|Umweltschutz",Daten_Motive!$A$1:$A$331,0),$BK$7)),"")</f>
        <v>21</v>
      </c>
      <c r="BF10" s="49">
        <f>IFERROR(BE10-IFERROR(IF(INDEX(Daten_Motive!$A:$ZZ,MATCH($B10&amp;"|Umweltschutz",Daten_Motive!$A$1:$A$331,0),$BK$8)="",NA(),INDEX(Daten_Motive!$A:$ZZ,MATCH($B10&amp;"|Umweltschutz",Daten_Motive!$A$1:$A$331,0),$BK$8)),NA()),"")</f>
        <v>0</v>
      </c>
      <c r="BG10" s="49">
        <f>IFERROR(BE10-IFERROR(IF(INDEX(Daten_Motive!$A:$ZZ,MATCH($B10&amp;"|Umweltschutz",Daten_Motive!$A$1:$A$331,0),$BK$9)="",NA(),INDEX(Daten_Motive!$A:$ZZ,MATCH($B10&amp;"|Umweltschutz",Daten_Motive!$A$1:$A$331,0),$BK$9)),NA()),"")</f>
        <v>-2</v>
      </c>
      <c r="BH10" s="50">
        <f>IFERROR(IF(INDEX(Daten_Motive!$A:$ZZ,MATCH($B10&amp;"|Kapazitätserweiterung",Daten_Motive!$A$1:$A$331,0),$BK$7)="","",INDEX(Daten_Motive!$A:$ZZ,MATCH($B10&amp;"|Kapazitätserweiterung",Daten_Motive!$A$1:$A$331,0),$BK$7)),"")</f>
        <v>22</v>
      </c>
      <c r="BI10" s="49">
        <f>IFERROR(BH10-IFERROR(IF(INDEX(Daten_Motive!$A:$ZZ,MATCH($B10&amp;"|Kapazitätserweiterung",Daten_Motive!$A$1:$A$331,0),$BK$8)="",NA(),INDEX(Daten_Motive!$A:$ZZ,MATCH($B10&amp;"|Kapazitätserweiterung",Daten_Motive!$A$1:$A$331,0),$BK$8)),NA()),"")</f>
        <v>2</v>
      </c>
      <c r="BJ10" s="49">
        <f>IFERROR(BH10-IFERROR(IF(INDEX(Daten_Motive!$A:$ZZ,MATCH($B10&amp;"|Kapazitätserweiterung",Daten_Motive!$A$1:$A$331,0),$BK$9)="",NA(),INDEX(Daten_Motive!$A:$ZZ,MATCH($B10&amp;"|Kapazitätserweiterung",Daten_Motive!$A$1:$A$331,0),$BK$9)),NA()),"")</f>
        <v>2</v>
      </c>
    </row>
    <row r="11" spans="1:63" x14ac:dyDescent="0.25">
      <c r="A11" s="42">
        <v>3</v>
      </c>
      <c r="B11" s="51" t="str">
        <f>Listen!A4</f>
        <v>Gewinnung von Steinen und Erden, Bergbau</v>
      </c>
      <c r="C11" s="44" t="s">
        <v>4497</v>
      </c>
      <c r="D11" s="44" t="str">
        <f>Listen!B4</f>
        <v>Industrie</v>
      </c>
      <c r="E11" s="45">
        <f>IFERROR(IF(INDEX(Daten_Anteile!$A:$ZZ,MATCH($B11&amp;"|Lage|"&amp;$C$3,Daten_Anteile!$A$1:$A$2971,0),5)="","",INDEX(Daten_Anteile!$A:$ZZ,MATCH($B11&amp;"|Lage|"&amp;$C$3,Daten_Anteile!$A$1:$A$2971,0),5)),"")</f>
        <v>66</v>
      </c>
      <c r="F11" s="46">
        <f t="shared" si="0"/>
        <v>77.400000000000006</v>
      </c>
      <c r="G11" s="47">
        <f t="shared" si="1"/>
        <v>-8.1</v>
      </c>
      <c r="H11" s="47">
        <f t="shared" si="2"/>
        <v>-11</v>
      </c>
      <c r="I11" s="48">
        <f>IFERROR(IF(INDEX(Daten_Salden!$A:$ZZ,MATCH($B11&amp;"|Lage",Daten_Salden!$A$1:$A$331,0),$BK$1)="","",INDEX(Daten_Salden!$A:$ZZ,MATCH($B11&amp;"|Lage",Daten_Salden!$A$1:$A$331,0),$BK$1)),"")</f>
        <v>-19</v>
      </c>
      <c r="J11" s="49">
        <f>IFERROR(I11-IFERROR(IF(INDEX(Daten_Salden!$A:$ZZ,MATCH($B11&amp;"|Lage",Daten_Salden!$A$1:$A$331,0),$BK$2)="",NA(),INDEX(Daten_Salden!$A:$ZZ,MATCH($B11&amp;"|Lage",Daten_Salden!$A$1:$A$331,0),$BK$2)),NA()),"")</f>
        <v>-7</v>
      </c>
      <c r="K11" s="49">
        <f>IFERROR(I11-IFERROR(IF(INDEX(Daten_Salden!$A:$ZZ,MATCH($B11&amp;"|Lage",Daten_Salden!$A$1:$A$331,0),$BK$3)="",NA(),INDEX(Daten_Salden!$A:$ZZ,MATCH($B11&amp;"|Lage",Daten_Salden!$A$1:$A$331,0),$BK$3)),NA()),"")</f>
        <v>-4</v>
      </c>
      <c r="L11" s="48">
        <f>IFERROR(IF(INDEX(Daten_Salden!$A:$ZZ,MATCH($B11&amp;"|Erwartungen",Daten_Salden!$A$1:$A$331,0),$BK$1)="","",INDEX(Daten_Salden!$A:$ZZ,MATCH($B11&amp;"|Erwartungen",Daten_Salden!$A$1:$A$331,0),$BK$1)),"")</f>
        <v>-26</v>
      </c>
      <c r="M11" s="49">
        <f>IFERROR(L11-IFERROR(IF(INDEX(Daten_Salden!$A:$ZZ,MATCH($B11&amp;"|Erwartungen",Daten_Salden!$A$1:$A$331,0),$BK$2)="",NA(),INDEX(Daten_Salden!$A:$ZZ,MATCH($B11&amp;"|Erwartungen",Daten_Salden!$A$1:$A$331,0),$BK$2)),NA()),"")</f>
        <v>-9</v>
      </c>
      <c r="N11" s="49">
        <f>IFERROR(L11-IFERROR(IF(INDEX(Daten_Salden!$A:$ZZ,MATCH($B11&amp;"|Erwartungen",Daten_Salden!$A$1:$A$331,0),$BK$3)="",NA(),INDEX(Daten_Salden!$A:$ZZ,MATCH($B11&amp;"|Erwartungen",Daten_Salden!$A$1:$A$331,0),$BK$3)),NA()),"")</f>
        <v>-18</v>
      </c>
      <c r="O11" s="48">
        <f>IFERROR(IF(INDEX(Daten_Salden!$A:$ZZ,MATCH($B11&amp;"|Export",Daten_Salden!$A$1:$A$331,0),$BK$1)="","",INDEX(Daten_Salden!$A:$ZZ,MATCH($B11&amp;"|Export",Daten_Salden!$A$1:$A$331,0),$BK$1)),"")</f>
        <v>-27</v>
      </c>
      <c r="P11" s="49">
        <f>IFERROR(O11-IFERROR(IF(INDEX(Daten_Salden!$A:$ZZ,MATCH($B11&amp;"|Export",Daten_Salden!$A$1:$A$331,0),$BK$2)="",NA(),INDEX(Daten_Salden!$A:$ZZ,MATCH($B11&amp;"|Export",Daten_Salden!$A$1:$A$331,0),$BK$2)),NA()),"")</f>
        <v>-5</v>
      </c>
      <c r="Q11" s="49">
        <f>IFERROR(O11-IFERROR(IF(INDEX(Daten_Salden!$A:$ZZ,MATCH($B11&amp;"|Export",Daten_Salden!$A$1:$A$331,0),$BK$3)="",NA(),INDEX(Daten_Salden!$A:$ZZ,MATCH($B11&amp;"|Export",Daten_Salden!$A$1:$A$331,0),$BK$3)),NA()),"")</f>
        <v>-20</v>
      </c>
      <c r="R11" s="48">
        <f>IFERROR(IF(INDEX(Daten_Salden!$A:$ZZ,MATCH($B11&amp;"|Investitionen",Daten_Salden!$A$1:$A$331,0),$BK$1)="","",INDEX(Daten_Salden!$A:$ZZ,MATCH($B11&amp;"|Investitionen",Daten_Salden!$A$1:$A$331,0),$BK$1)),"")</f>
        <v>-19</v>
      </c>
      <c r="S11" s="49">
        <f>IFERROR(R11-IFERROR(IF(INDEX(Daten_Salden!$A:$ZZ,MATCH($B11&amp;"|Investitionen",Daten_Salden!$A$1:$A$331,0),$BK$2)="",NA(),INDEX(Daten_Salden!$A:$ZZ,MATCH($B11&amp;"|Investitionen",Daten_Salden!$A$1:$A$331,0),$BK$2)),NA()),"")</f>
        <v>4</v>
      </c>
      <c r="T11" s="49">
        <f>IFERROR(R11-IFERROR(IF(INDEX(Daten_Salden!$A:$ZZ,MATCH($B11&amp;"|Investitionen",Daten_Salden!$A$1:$A$331,0),$BK$3)="",NA(),INDEX(Daten_Salden!$A:$ZZ,MATCH($B11&amp;"|Investitionen",Daten_Salden!$A$1:$A$331,0),$BK$3)),NA()),"")</f>
        <v>11</v>
      </c>
      <c r="U11" s="48">
        <f>IFERROR(IF(INDEX(Daten_Salden!$A:$ZZ,MATCH($B11&amp;"|Beschäftigung",Daten_Salden!$A$1:$A$331,0),$BK$1)="","",INDEX(Daten_Salden!$A:$ZZ,MATCH($B11&amp;"|Beschäftigung",Daten_Salden!$A$1:$A$331,0),$BK$1)),"")</f>
        <v>-13</v>
      </c>
      <c r="V11" s="49">
        <f>IFERROR(U11-IFERROR(IF(INDEX(Daten_Salden!$A:$ZZ,MATCH($B11&amp;"|Beschäftigung",Daten_Salden!$A$1:$A$331,0),$BK$2)="",NA(),INDEX(Daten_Salden!$A:$ZZ,MATCH($B11&amp;"|Beschäftigung",Daten_Salden!$A$1:$A$331,0),$BK$2)),NA()),"")</f>
        <v>-2</v>
      </c>
      <c r="W11" s="49">
        <f>IFERROR(U11-IFERROR(IF(INDEX(Daten_Salden!$A:$ZZ,MATCH($B11&amp;"|Beschäftigung",Daten_Salden!$A$1:$A$331,0),$BK$3)="",NA(),INDEX(Daten_Salden!$A:$ZZ,MATCH($B11&amp;"|Beschäftigung",Daten_Salden!$A$1:$A$331,0),$BK$3)),NA()),"")</f>
        <v>0</v>
      </c>
      <c r="X11" s="50">
        <f>IFERROR(IF(INDEX(Daten_Risiken!$A:$ZZ,MATCH($B11&amp;"|Energie- und Rohstoffpreise",Daten_Risiken!$A$1:$A$529,0),$BK$4)="","",INDEX(Daten_Risiken!$A:$ZZ,MATCH($B11&amp;"|Energie- und Rohstoffpreise",Daten_Risiken!$A$1:$A$529,0),$BK$4)),"")</f>
        <v>98</v>
      </c>
      <c r="Y11" s="49">
        <f>IFERROR(X11-IFERROR(IF(INDEX(Daten_Risiken!$A:$ZZ,MATCH($B11&amp;"|Energie- und Rohstoffpreise",Daten_Risiken!$A$1:$A$529,0),$BK$5)="",NA(),INDEX(Daten_Risiken!$A:$ZZ,MATCH($B11&amp;"|Energie- und Rohstoffpreise",Daten_Risiken!$A$1:$A$529,0),$BK$5)),NA()),"")</f>
        <v>3</v>
      </c>
      <c r="Z11" s="49">
        <f>IFERROR(X11-IFERROR(IF(INDEX(Daten_Risiken!$A:$ZZ,MATCH($B11&amp;"|Energie- und Rohstoffpreise",Daten_Risiken!$A$1:$A$529,0),$BK$6)="",NA(),INDEX(Daten_Risiken!$A:$ZZ,MATCH($B11&amp;"|Energie- und Rohstoffpreise",Daten_Risiken!$A$1:$A$529,0),$BK$6)),NA()),"")</f>
        <v>12</v>
      </c>
      <c r="AA11" s="50">
        <f>IFERROR(IF(INDEX(Daten_Risiken!$A:$ZZ,MATCH($B11&amp;"|Arbeitskosten",Daten_Risiken!$A$1:$A$529,0),$BK$4)="","",INDEX(Daten_Risiken!$A:$ZZ,MATCH($B11&amp;"|Arbeitskosten",Daten_Risiken!$A$1:$A$529,0),$BK$4)),"")</f>
        <v>47</v>
      </c>
      <c r="AB11" s="49">
        <f>IFERROR(AA11-IFERROR(IF(INDEX(Daten_Risiken!$A:$ZZ,MATCH($B11&amp;"|Arbeitskosten",Daten_Risiken!$A$1:$A$529,0),$BK$5)="",NA(),INDEX(Daten_Risiken!$A:$ZZ,MATCH($B11&amp;"|Arbeitskosten",Daten_Risiken!$A$1:$A$529,0),$BK$5)),NA()),"")</f>
        <v>2</v>
      </c>
      <c r="AC11" s="49">
        <f>IFERROR(AA11-IFERROR(IF(INDEX(Daten_Risiken!$A:$ZZ,MATCH($B11&amp;"|Arbeitskosten",Daten_Risiken!$A$1:$A$529,0),$BK$6)="",NA(),INDEX(Daten_Risiken!$A:$ZZ,MATCH($B11&amp;"|Arbeitskosten",Daten_Risiken!$A$1:$A$529,0),$BK$6)),NA()),"")</f>
        <v>0</v>
      </c>
      <c r="AD11" s="50">
        <f>IFERROR(IF(INDEX(Daten_Risiken!$A:$ZZ,MATCH($B11&amp;"|Inlandsnachfrage",Daten_Risiken!$A$1:$A$529,0),$BK$4)="","",INDEX(Daten_Risiken!$A:$ZZ,MATCH($B11&amp;"|Inlandsnachfrage",Daten_Risiken!$A$1:$A$529,0),$BK$4)),"")</f>
        <v>70</v>
      </c>
      <c r="AE11" s="49">
        <f>IFERROR(AD11-IFERROR(IF(INDEX(Daten_Risiken!$A:$ZZ,MATCH($B11&amp;"|Inlandsnachfrage",Daten_Risiken!$A$1:$A$529,0),$BK$5)="",NA(),INDEX(Daten_Risiken!$A:$ZZ,MATCH($B11&amp;"|Inlandsnachfrage",Daten_Risiken!$A$1:$A$529,0),$BK$5)),NA()),"")</f>
        <v>2</v>
      </c>
      <c r="AF11" s="49">
        <f>IFERROR(AD11-IFERROR(IF(INDEX(Daten_Risiken!$A:$ZZ,MATCH($B11&amp;"|Inlandsnachfrage",Daten_Risiken!$A$1:$A$529,0),$BK$6)="",NA(),INDEX(Daten_Risiken!$A:$ZZ,MATCH($B11&amp;"|Inlandsnachfrage",Daten_Risiken!$A$1:$A$529,0),$BK$6)),NA()),"")</f>
        <v>-6</v>
      </c>
      <c r="AG11" s="50">
        <f>IFERROR(IF(INDEX(Daten_Risiken!$A:$ZZ,MATCH($B11&amp;"|Wirtschaftspolitische Rahmenbedingungen",Daten_Risiken!$A$1:$A$529,0),$BK$4)="","",INDEX(Daten_Risiken!$A:$ZZ,MATCH($B11&amp;"|Wirtschaftspolitische Rahmenbedingungen",Daten_Risiken!$A$1:$A$529,0),$BK$4)),"")</f>
        <v>55</v>
      </c>
      <c r="AH11" s="49">
        <f>IFERROR(AG11-IFERROR(IF(INDEX(Daten_Risiken!$A:$ZZ,MATCH($B11&amp;"|Wirtschaftspolitische Rahmenbedingungen",Daten_Risiken!$A$1:$A$529,0),$BK$5)="",NA(),INDEX(Daten_Risiken!$A:$ZZ,MATCH($B11&amp;"|Wirtschaftspolitische Rahmenbedingungen",Daten_Risiken!$A$1:$A$529,0),$BK$5)),NA()),"")</f>
        <v>-6</v>
      </c>
      <c r="AI11" s="49">
        <f>IFERROR(AG11-IFERROR(IF(INDEX(Daten_Risiken!$A:$ZZ,MATCH($B11&amp;"|Wirtschaftspolitische Rahmenbedingungen",Daten_Risiken!$A$1:$A$529,0),$BK$6)="",NA(),INDEX(Daten_Risiken!$A:$ZZ,MATCH($B11&amp;"|Wirtschaftspolitische Rahmenbedingungen",Daten_Risiken!$A$1:$A$529,0),$BK$6)),NA()),"")</f>
        <v>-10</v>
      </c>
      <c r="AJ11" s="50">
        <f>IFERROR(IF(INDEX(Daten_Risiken!$A:$ZZ,MATCH($B11&amp;"|Fachkräftemangel",Daten_Risiken!$A$1:$A$529,0),$BK$4)="","",INDEX(Daten_Risiken!$A:$ZZ,MATCH($B11&amp;"|Fachkräftemangel",Daten_Risiken!$A$1:$A$529,0),$BK$4)),"")</f>
        <v>35</v>
      </c>
      <c r="AK11" s="49">
        <f>IFERROR(AJ11-IFERROR(IF(INDEX(Daten_Risiken!$A:$ZZ,MATCH($B11&amp;"|Fachkräftemangel",Daten_Risiken!$A$1:$A$529,0),$BK$5)="",NA(),INDEX(Daten_Risiken!$A:$ZZ,MATCH($B11&amp;"|Fachkräftemangel",Daten_Risiken!$A$1:$A$529,0),$BK$5)),NA()),"")</f>
        <v>14</v>
      </c>
      <c r="AL11" s="49">
        <f>IFERROR(AJ11-IFERROR(IF(INDEX(Daten_Risiken!$A:$ZZ,MATCH($B11&amp;"|Fachkräftemangel",Daten_Risiken!$A$1:$A$529,0),$BK$6)="",NA(),INDEX(Daten_Risiken!$A:$ZZ,MATCH($B11&amp;"|Fachkräftemangel",Daten_Risiken!$A$1:$A$529,0),$BK$6)),NA()),"")</f>
        <v>-1</v>
      </c>
      <c r="AM11" s="50">
        <f>IFERROR(IF(INDEX(Daten_Risiken!$A:$ZZ,MATCH($B11&amp;"|Auslandsnachfrage",Daten_Risiken!$A$1:$A$529,0),$BK$4)="","",INDEX(Daten_Risiken!$A:$ZZ,MATCH($B11&amp;"|Auslandsnachfrage",Daten_Risiken!$A$1:$A$529,0),$BK$4)),"")</f>
        <v>17</v>
      </c>
      <c r="AN11" s="49">
        <f>IFERROR(AM11-IFERROR(IF(INDEX(Daten_Risiken!$A:$ZZ,MATCH($B11&amp;"|Auslandsnachfrage",Daten_Risiken!$A$1:$A$529,0),$BK$5)="",NA(),INDEX(Daten_Risiken!$A:$ZZ,MATCH($B11&amp;"|Auslandsnachfrage",Daten_Risiken!$A$1:$A$529,0),$BK$5)),NA()),"")</f>
        <v>4</v>
      </c>
      <c r="AO11" s="49">
        <f>IFERROR(AM11-IFERROR(IF(INDEX(Daten_Risiken!$A:$ZZ,MATCH($B11&amp;"|Auslandsnachfrage",Daten_Risiken!$A$1:$A$529,0),$BK$6)="",NA(),INDEX(Daten_Risiken!$A:$ZZ,MATCH($B11&amp;"|Auslandsnachfrage",Daten_Risiken!$A$1:$A$529,0),$BK$6)),NA()),"")</f>
        <v>8</v>
      </c>
      <c r="AP11" s="50">
        <f>IFERROR(IF(INDEX(Daten_Risiken!$A:$ZZ,MATCH($B11&amp;"|Finanzierung",Daten_Risiken!$A$1:$A$529,0),$BK$4)="","",INDEX(Daten_Risiken!$A:$ZZ,MATCH($B11&amp;"|Finanzierung",Daten_Risiken!$A$1:$A$529,0),$BK$4)),"")</f>
        <v>13</v>
      </c>
      <c r="AQ11" s="49">
        <f>IFERROR(AP11-IFERROR(IF(INDEX(Daten_Risiken!$A:$ZZ,MATCH($B11&amp;"|Finanzierung",Daten_Risiken!$A$1:$A$529,0),$BK$5)="",NA(),INDEX(Daten_Risiken!$A:$ZZ,MATCH($B11&amp;"|Finanzierung",Daten_Risiken!$A$1:$A$529,0),$BK$5)),NA()),"")</f>
        <v>6</v>
      </c>
      <c r="AR11" s="49">
        <f>IFERROR(AP11-IFERROR(IF(INDEX(Daten_Risiken!$A:$ZZ,MATCH($B11&amp;"|Finanzierung",Daten_Risiken!$A$1:$A$529,0),$BK$6)="",NA(),INDEX(Daten_Risiken!$A:$ZZ,MATCH($B11&amp;"|Finanzierung",Daten_Risiken!$A$1:$A$529,0),$BK$6)),NA()),"")</f>
        <v>5</v>
      </c>
      <c r="AS11" s="50">
        <f>IFERROR(IF(INDEX(Daten_Risiken!$A:$ZZ,MATCH($B11&amp;"|Wechselkurs",Daten_Risiken!$A$1:$A$529,0),$BK$4)="","",INDEX(Daten_Risiken!$A:$ZZ,MATCH($B11&amp;"|Wechselkurs",Daten_Risiken!$A$1:$A$529,0),$BK$4)),"")</f>
        <v>0</v>
      </c>
      <c r="AT11" s="49">
        <f>IFERROR(AS11-IFERROR(IF(INDEX(Daten_Risiken!$A:$ZZ,MATCH($B11&amp;"|Wechselkurs",Daten_Risiken!$A$1:$A$529,0),$BK$5)="",NA(),INDEX(Daten_Risiken!$A:$ZZ,MATCH($B11&amp;"|Wechselkurs",Daten_Risiken!$A$1:$A$529,0),$BK$5)),NA()),"")</f>
        <v>-2</v>
      </c>
      <c r="AU11" s="49">
        <f>IFERROR(AS11-IFERROR(IF(INDEX(Daten_Risiken!$A:$ZZ,MATCH($B11&amp;"|Wechselkurs",Daten_Risiken!$A$1:$A$529,0),$BK$6)="",NA(),INDEX(Daten_Risiken!$A:$ZZ,MATCH($B11&amp;"|Wechselkurs",Daten_Risiken!$A$1:$A$529,0),$BK$6)),NA()),"")</f>
        <v>-4</v>
      </c>
      <c r="AV11" s="50">
        <f>IFERROR(IF(INDEX(Daten_Motive!$A:$ZZ,MATCH($B11&amp;"|Ersatzbedarf",Daten_Motive!$A$1:$A$331,0),$BK$7)="","",INDEX(Daten_Motive!$A:$ZZ,MATCH($B11&amp;"|Ersatzbedarf",Daten_Motive!$A$1:$A$331,0),$BK$7)),"")</f>
        <v>83</v>
      </c>
      <c r="AW11" s="49">
        <f>IFERROR(AV11-IFERROR(IF(INDEX(Daten_Motive!$A:$ZZ,MATCH($B11&amp;"|Ersatzbedarf",Daten_Motive!$A$1:$A$331,0),$BK$8)="",NA(),INDEX(Daten_Motive!$A:$ZZ,MATCH($B11&amp;"|Ersatzbedarf",Daten_Motive!$A$1:$A$331,0),$BK$8)),NA()),"")</f>
        <v>1</v>
      </c>
      <c r="AX11" s="49">
        <f>IFERROR(AV11-IFERROR(IF(INDEX(Daten_Motive!$A:$ZZ,MATCH($B11&amp;"|Ersatzbedarf",Daten_Motive!$A$1:$A$331,0),$BK$9)="",NA(),INDEX(Daten_Motive!$A:$ZZ,MATCH($B11&amp;"|Ersatzbedarf",Daten_Motive!$A$1:$A$331,0),$BK$9)),NA()),"")</f>
        <v>-9</v>
      </c>
      <c r="AY11" s="50">
        <f>IFERROR(IF(INDEX(Daten_Motive!$A:$ZZ,MATCH($B11&amp;"|Rationalisierung",Daten_Motive!$A$1:$A$331,0),$BK$7)="","",INDEX(Daten_Motive!$A:$ZZ,MATCH($B11&amp;"|Rationalisierung",Daten_Motive!$A$1:$A$331,0),$BK$7)),"")</f>
        <v>38</v>
      </c>
      <c r="AZ11" s="49">
        <f>IFERROR(AY11-IFERROR(IF(INDEX(Daten_Motive!$A:$ZZ,MATCH($B11&amp;"|Rationalisierung",Daten_Motive!$A$1:$A$331,0),$BK$8)="",NA(),INDEX(Daten_Motive!$A:$ZZ,MATCH($B11&amp;"|Rationalisierung",Daten_Motive!$A$1:$A$331,0),$BK$8)),NA()),"")</f>
        <v>9</v>
      </c>
      <c r="BA11" s="49">
        <f>IFERROR(AY11-IFERROR(IF(INDEX(Daten_Motive!$A:$ZZ,MATCH($B11&amp;"|Rationalisierung",Daten_Motive!$A$1:$A$331,0),$BK$9)="",NA(),INDEX(Daten_Motive!$A:$ZZ,MATCH($B11&amp;"|Rationalisierung",Daten_Motive!$A$1:$A$331,0),$BK$9)),NA()),"")</f>
        <v>10</v>
      </c>
      <c r="BB11" s="50">
        <f>IFERROR(IF(INDEX(Daten_Motive!$A:$ZZ,MATCH($B11&amp;"|Produktinnovation",Daten_Motive!$A$1:$A$331,0),$BK$7)="","",INDEX(Daten_Motive!$A:$ZZ,MATCH($B11&amp;"|Produktinnovation",Daten_Motive!$A$1:$A$331,0),$BK$7)),"")</f>
        <v>19</v>
      </c>
      <c r="BC11" s="49">
        <f>IFERROR(BB11-IFERROR(IF(INDEX(Daten_Motive!$A:$ZZ,MATCH($B11&amp;"|Produktinnovation",Daten_Motive!$A$1:$A$331,0),$BK$8)="",NA(),INDEX(Daten_Motive!$A:$ZZ,MATCH($B11&amp;"|Produktinnovation",Daten_Motive!$A$1:$A$331,0),$BK$8)),NA()),"")</f>
        <v>6</v>
      </c>
      <c r="BD11" s="49">
        <f>IFERROR(BB11-IFERROR(IF(INDEX(Daten_Motive!$A:$ZZ,MATCH($B11&amp;"|Produktinnovation",Daten_Motive!$A$1:$A$331,0),$BK$9)="",NA(),INDEX(Daten_Motive!$A:$ZZ,MATCH($B11&amp;"|Produktinnovation",Daten_Motive!$A$1:$A$331,0),$BK$9)),NA()),"")</f>
        <v>10</v>
      </c>
      <c r="BE11" s="50">
        <f>IFERROR(IF(INDEX(Daten_Motive!$A:$ZZ,MATCH($B11&amp;"|Umweltschutz",Daten_Motive!$A$1:$A$331,0),$BK$7)="","",INDEX(Daten_Motive!$A:$ZZ,MATCH($B11&amp;"|Umweltschutz",Daten_Motive!$A$1:$A$331,0),$BK$7)),"")</f>
        <v>27</v>
      </c>
      <c r="BF11" s="49">
        <f>IFERROR(BE11-IFERROR(IF(INDEX(Daten_Motive!$A:$ZZ,MATCH($B11&amp;"|Umweltschutz",Daten_Motive!$A$1:$A$331,0),$BK$8)="",NA(),INDEX(Daten_Motive!$A:$ZZ,MATCH($B11&amp;"|Umweltschutz",Daten_Motive!$A$1:$A$331,0),$BK$8)),NA()),"")</f>
        <v>-4</v>
      </c>
      <c r="BG11" s="49">
        <f>IFERROR(BE11-IFERROR(IF(INDEX(Daten_Motive!$A:$ZZ,MATCH($B11&amp;"|Umweltschutz",Daten_Motive!$A$1:$A$331,0),$BK$9)="",NA(),INDEX(Daten_Motive!$A:$ZZ,MATCH($B11&amp;"|Umweltschutz",Daten_Motive!$A$1:$A$331,0),$BK$9)),NA()),"")</f>
        <v>-13</v>
      </c>
      <c r="BH11" s="50">
        <f>IFERROR(IF(INDEX(Daten_Motive!$A:$ZZ,MATCH($B11&amp;"|Kapazitätserweiterung",Daten_Motive!$A$1:$A$331,0),$BK$7)="","",INDEX(Daten_Motive!$A:$ZZ,MATCH($B11&amp;"|Kapazitätserweiterung",Daten_Motive!$A$1:$A$331,0),$BK$7)),"")</f>
        <v>5</v>
      </c>
      <c r="BI11" s="49">
        <f>IFERROR(BH11-IFERROR(IF(INDEX(Daten_Motive!$A:$ZZ,MATCH($B11&amp;"|Kapazitätserweiterung",Daten_Motive!$A$1:$A$331,0),$BK$8)="",NA(),INDEX(Daten_Motive!$A:$ZZ,MATCH($B11&amp;"|Kapazitätserweiterung",Daten_Motive!$A$1:$A$331,0),$BK$8)),NA()),"")</f>
        <v>1</v>
      </c>
      <c r="BJ11" s="49">
        <f>IFERROR(BH11-IFERROR(IF(INDEX(Daten_Motive!$A:$ZZ,MATCH($B11&amp;"|Kapazitätserweiterung",Daten_Motive!$A$1:$A$331,0),$BK$9)="",NA(),INDEX(Daten_Motive!$A:$ZZ,MATCH($B11&amp;"|Kapazitätserweiterung",Daten_Motive!$A$1:$A$331,0),$BK$9)),NA()),"")</f>
        <v>-2</v>
      </c>
    </row>
    <row r="12" spans="1:63" x14ac:dyDescent="0.25">
      <c r="A12" s="42">
        <v>4</v>
      </c>
      <c r="B12" s="52" t="str">
        <f>Listen!A5</f>
        <v>Nahrungs- und Futtermittelindustrie</v>
      </c>
      <c r="C12" s="44" t="s">
        <v>4498</v>
      </c>
      <c r="D12" s="44" t="str">
        <f>Listen!B5</f>
        <v>Industrie</v>
      </c>
      <c r="E12" s="45">
        <f>IFERROR(IF(INDEX(Daten_Anteile!$A:$ZZ,MATCH($B12&amp;"|Lage|"&amp;$C$3,Daten_Anteile!$A$1:$A$2971,0),5)="","",INDEX(Daten_Anteile!$A:$ZZ,MATCH($B12&amp;"|Lage|"&amp;$C$3,Daten_Anteile!$A$1:$A$2971,0),5)),"")</f>
        <v>235</v>
      </c>
      <c r="F12" s="46">
        <f t="shared" si="0"/>
        <v>95.4</v>
      </c>
      <c r="G12" s="47">
        <f t="shared" si="1"/>
        <v>7.8</v>
      </c>
      <c r="H12" s="47">
        <f t="shared" si="2"/>
        <v>-0.5</v>
      </c>
      <c r="I12" s="48">
        <f>IFERROR(IF(INDEX(Daten_Salden!$A:$ZZ,MATCH($B12&amp;"|Lage",Daten_Salden!$A$1:$A$331,0),$BK$1)="","",INDEX(Daten_Salden!$A:$ZZ,MATCH($B12&amp;"|Lage",Daten_Salden!$A$1:$A$331,0),$BK$1)),"")</f>
        <v>0</v>
      </c>
      <c r="J12" s="49">
        <f>IFERROR(I12-IFERROR(IF(INDEX(Daten_Salden!$A:$ZZ,MATCH($B12&amp;"|Lage",Daten_Salden!$A$1:$A$331,0),$BK$2)="",NA(),INDEX(Daten_Salden!$A:$ZZ,MATCH($B12&amp;"|Lage",Daten_Salden!$A$1:$A$331,0),$BK$2)),NA()),"")</f>
        <v>4</v>
      </c>
      <c r="K12" s="49">
        <f>IFERROR(I12-IFERROR(IF(INDEX(Daten_Salden!$A:$ZZ,MATCH($B12&amp;"|Lage",Daten_Salden!$A$1:$A$331,0),$BK$3)="",NA(),INDEX(Daten_Salden!$A:$ZZ,MATCH($B12&amp;"|Lage",Daten_Salden!$A$1:$A$331,0),$BK$3)),NA()),"")</f>
        <v>0</v>
      </c>
      <c r="L12" s="48">
        <f>IFERROR(IF(INDEX(Daten_Salden!$A:$ZZ,MATCH($B12&amp;"|Erwartungen",Daten_Salden!$A$1:$A$331,0),$BK$1)="","",INDEX(Daten_Salden!$A:$ZZ,MATCH($B12&amp;"|Erwartungen",Daten_Salden!$A$1:$A$331,0),$BK$1)),"")</f>
        <v>-9</v>
      </c>
      <c r="M12" s="49">
        <f>IFERROR(L12-IFERROR(IF(INDEX(Daten_Salden!$A:$ZZ,MATCH($B12&amp;"|Erwartungen",Daten_Salden!$A$1:$A$331,0),$BK$2)="",NA(),INDEX(Daten_Salden!$A:$ZZ,MATCH($B12&amp;"|Erwartungen",Daten_Salden!$A$1:$A$331,0),$BK$2)),NA()),"")</f>
        <v>11</v>
      </c>
      <c r="N12" s="49">
        <f>IFERROR(L12-IFERROR(IF(INDEX(Daten_Salden!$A:$ZZ,MATCH($B12&amp;"|Erwartungen",Daten_Salden!$A$1:$A$331,0),$BK$3)="",NA(),INDEX(Daten_Salden!$A:$ZZ,MATCH($B12&amp;"|Erwartungen",Daten_Salden!$A$1:$A$331,0),$BK$3)),NA()),"")</f>
        <v>-1</v>
      </c>
      <c r="O12" s="48">
        <f>IFERROR(IF(INDEX(Daten_Salden!$A:$ZZ,MATCH($B12&amp;"|Export",Daten_Salden!$A$1:$A$331,0),$BK$1)="","",INDEX(Daten_Salden!$A:$ZZ,MATCH($B12&amp;"|Export",Daten_Salden!$A$1:$A$331,0),$BK$1)),"")</f>
        <v>5</v>
      </c>
      <c r="P12" s="49">
        <f>IFERROR(O12-IFERROR(IF(INDEX(Daten_Salden!$A:$ZZ,MATCH($B12&amp;"|Export",Daten_Salden!$A$1:$A$331,0),$BK$2)="",NA(),INDEX(Daten_Salden!$A:$ZZ,MATCH($B12&amp;"|Export",Daten_Salden!$A$1:$A$331,0),$BK$2)),NA()),"")</f>
        <v>6</v>
      </c>
      <c r="Q12" s="49">
        <f>IFERROR(O12-IFERROR(IF(INDEX(Daten_Salden!$A:$ZZ,MATCH($B12&amp;"|Export",Daten_Salden!$A$1:$A$331,0),$BK$3)="",NA(),INDEX(Daten_Salden!$A:$ZZ,MATCH($B12&amp;"|Export",Daten_Salden!$A$1:$A$331,0),$BK$3)),NA()),"")</f>
        <v>4</v>
      </c>
      <c r="R12" s="48">
        <f>IFERROR(IF(INDEX(Daten_Salden!$A:$ZZ,MATCH($B12&amp;"|Investitionen",Daten_Salden!$A$1:$A$331,0),$BK$1)="","",INDEX(Daten_Salden!$A:$ZZ,MATCH($B12&amp;"|Investitionen",Daten_Salden!$A$1:$A$331,0),$BK$1)),"")</f>
        <v>5</v>
      </c>
      <c r="S12" s="49">
        <f>IFERROR(R12-IFERROR(IF(INDEX(Daten_Salden!$A:$ZZ,MATCH($B12&amp;"|Investitionen",Daten_Salden!$A$1:$A$331,0),$BK$2)="",NA(),INDEX(Daten_Salden!$A:$ZZ,MATCH($B12&amp;"|Investitionen",Daten_Salden!$A$1:$A$331,0),$BK$2)),NA()),"")</f>
        <v>5</v>
      </c>
      <c r="T12" s="49">
        <f>IFERROR(R12-IFERROR(IF(INDEX(Daten_Salden!$A:$ZZ,MATCH($B12&amp;"|Investitionen",Daten_Salden!$A$1:$A$331,0),$BK$3)="",NA(),INDEX(Daten_Salden!$A:$ZZ,MATCH($B12&amp;"|Investitionen",Daten_Salden!$A$1:$A$331,0),$BK$3)),NA()),"")</f>
        <v>20</v>
      </c>
      <c r="U12" s="48">
        <f>IFERROR(IF(INDEX(Daten_Salden!$A:$ZZ,MATCH($B12&amp;"|Beschäftigung",Daten_Salden!$A$1:$A$331,0),$BK$1)="","",INDEX(Daten_Salden!$A:$ZZ,MATCH($B12&amp;"|Beschäftigung",Daten_Salden!$A$1:$A$331,0),$BK$1)),"")</f>
        <v>-6</v>
      </c>
      <c r="V12" s="49">
        <f>IFERROR(U12-IFERROR(IF(INDEX(Daten_Salden!$A:$ZZ,MATCH($B12&amp;"|Beschäftigung",Daten_Salden!$A$1:$A$331,0),$BK$2)="",NA(),INDEX(Daten_Salden!$A:$ZZ,MATCH($B12&amp;"|Beschäftigung",Daten_Salden!$A$1:$A$331,0),$BK$2)),NA()),"")</f>
        <v>2</v>
      </c>
      <c r="W12" s="49">
        <f>IFERROR(U12-IFERROR(IF(INDEX(Daten_Salden!$A:$ZZ,MATCH($B12&amp;"|Beschäftigung",Daten_Salden!$A$1:$A$331,0),$BK$3)="",NA(),INDEX(Daten_Salden!$A:$ZZ,MATCH($B12&amp;"|Beschäftigung",Daten_Salden!$A$1:$A$331,0),$BK$3)),NA()),"")</f>
        <v>7</v>
      </c>
      <c r="X12" s="50">
        <f>IFERROR(IF(INDEX(Daten_Risiken!$A:$ZZ,MATCH($B12&amp;"|Energie- und Rohstoffpreise",Daten_Risiken!$A$1:$A$529,0),$BK$4)="","",INDEX(Daten_Risiken!$A:$ZZ,MATCH($B12&amp;"|Energie- und Rohstoffpreise",Daten_Risiken!$A$1:$A$529,0),$BK$4)),"")</f>
        <v>89</v>
      </c>
      <c r="Y12" s="49">
        <f>IFERROR(X12-IFERROR(IF(INDEX(Daten_Risiken!$A:$ZZ,MATCH($B12&amp;"|Energie- und Rohstoffpreise",Daten_Risiken!$A$1:$A$529,0),$BK$5)="",NA(),INDEX(Daten_Risiken!$A:$ZZ,MATCH($B12&amp;"|Energie- und Rohstoffpreise",Daten_Risiken!$A$1:$A$529,0),$BK$5)),NA()),"")</f>
        <v>-4</v>
      </c>
      <c r="Z12" s="49">
        <f>IFERROR(X12-IFERROR(IF(INDEX(Daten_Risiken!$A:$ZZ,MATCH($B12&amp;"|Energie- und Rohstoffpreise",Daten_Risiken!$A$1:$A$529,0),$BK$6)="",NA(),INDEX(Daten_Risiken!$A:$ZZ,MATCH($B12&amp;"|Energie- und Rohstoffpreise",Daten_Risiken!$A$1:$A$529,0),$BK$6)),NA()),"")</f>
        <v>10</v>
      </c>
      <c r="AA12" s="50">
        <f>IFERROR(IF(INDEX(Daten_Risiken!$A:$ZZ,MATCH($B12&amp;"|Arbeitskosten",Daten_Risiken!$A$1:$A$529,0),$BK$4)="","",INDEX(Daten_Risiken!$A:$ZZ,MATCH($B12&amp;"|Arbeitskosten",Daten_Risiken!$A$1:$A$529,0),$BK$4)),"")</f>
        <v>72</v>
      </c>
      <c r="AB12" s="49">
        <f>IFERROR(AA12-IFERROR(IF(INDEX(Daten_Risiken!$A:$ZZ,MATCH($B12&amp;"|Arbeitskosten",Daten_Risiken!$A$1:$A$529,0),$BK$5)="",NA(),INDEX(Daten_Risiken!$A:$ZZ,MATCH($B12&amp;"|Arbeitskosten",Daten_Risiken!$A$1:$A$529,0),$BK$5)),NA()),"")</f>
        <v>6</v>
      </c>
      <c r="AC12" s="49">
        <f>IFERROR(AA12-IFERROR(IF(INDEX(Daten_Risiken!$A:$ZZ,MATCH($B12&amp;"|Arbeitskosten",Daten_Risiken!$A$1:$A$529,0),$BK$6)="",NA(),INDEX(Daten_Risiken!$A:$ZZ,MATCH($B12&amp;"|Arbeitskosten",Daten_Risiken!$A$1:$A$529,0),$BK$6)),NA()),"")</f>
        <v>9</v>
      </c>
      <c r="AD12" s="50">
        <f>IFERROR(IF(INDEX(Daten_Risiken!$A:$ZZ,MATCH($B12&amp;"|Inlandsnachfrage",Daten_Risiken!$A$1:$A$529,0),$BK$4)="","",INDEX(Daten_Risiken!$A:$ZZ,MATCH($B12&amp;"|Inlandsnachfrage",Daten_Risiken!$A$1:$A$529,0),$BK$4)),"")</f>
        <v>56</v>
      </c>
      <c r="AE12" s="49">
        <f>IFERROR(AD12-IFERROR(IF(INDEX(Daten_Risiken!$A:$ZZ,MATCH($B12&amp;"|Inlandsnachfrage",Daten_Risiken!$A$1:$A$529,0),$BK$5)="",NA(),INDEX(Daten_Risiken!$A:$ZZ,MATCH($B12&amp;"|Inlandsnachfrage",Daten_Risiken!$A$1:$A$529,0),$BK$5)),NA()),"")</f>
        <v>10</v>
      </c>
      <c r="AF12" s="49">
        <f>IFERROR(AD12-IFERROR(IF(INDEX(Daten_Risiken!$A:$ZZ,MATCH($B12&amp;"|Inlandsnachfrage",Daten_Risiken!$A$1:$A$529,0),$BK$6)="",NA(),INDEX(Daten_Risiken!$A:$ZZ,MATCH($B12&amp;"|Inlandsnachfrage",Daten_Risiken!$A$1:$A$529,0),$BK$6)),NA()),"")</f>
        <v>5</v>
      </c>
      <c r="AG12" s="50">
        <f>IFERROR(IF(INDEX(Daten_Risiken!$A:$ZZ,MATCH($B12&amp;"|Wirtschaftspolitische Rahmenbedingungen",Daten_Risiken!$A$1:$A$529,0),$BK$4)="","",INDEX(Daten_Risiken!$A:$ZZ,MATCH($B12&amp;"|Wirtschaftspolitische Rahmenbedingungen",Daten_Risiken!$A$1:$A$529,0),$BK$4)),"")</f>
        <v>60</v>
      </c>
      <c r="AH12" s="49">
        <f>IFERROR(AG12-IFERROR(IF(INDEX(Daten_Risiken!$A:$ZZ,MATCH($B12&amp;"|Wirtschaftspolitische Rahmenbedingungen",Daten_Risiken!$A$1:$A$529,0),$BK$5)="",NA(),INDEX(Daten_Risiken!$A:$ZZ,MATCH($B12&amp;"|Wirtschaftspolitische Rahmenbedingungen",Daten_Risiken!$A$1:$A$529,0),$BK$5)),NA()),"")</f>
        <v>4</v>
      </c>
      <c r="AI12" s="49">
        <f>IFERROR(AG12-IFERROR(IF(INDEX(Daten_Risiken!$A:$ZZ,MATCH($B12&amp;"|Wirtschaftspolitische Rahmenbedingungen",Daten_Risiken!$A$1:$A$529,0),$BK$6)="",NA(),INDEX(Daten_Risiken!$A:$ZZ,MATCH($B12&amp;"|Wirtschaftspolitische Rahmenbedingungen",Daten_Risiken!$A$1:$A$529,0),$BK$6)),NA()),"")</f>
        <v>7</v>
      </c>
      <c r="AJ12" s="50">
        <f>IFERROR(IF(INDEX(Daten_Risiken!$A:$ZZ,MATCH($B12&amp;"|Fachkräftemangel",Daten_Risiken!$A$1:$A$529,0),$BK$4)="","",INDEX(Daten_Risiken!$A:$ZZ,MATCH($B12&amp;"|Fachkräftemangel",Daten_Risiken!$A$1:$A$529,0),$BK$4)),"")</f>
        <v>33</v>
      </c>
      <c r="AK12" s="49">
        <f>IFERROR(AJ12-IFERROR(IF(INDEX(Daten_Risiken!$A:$ZZ,MATCH($B12&amp;"|Fachkräftemangel",Daten_Risiken!$A$1:$A$529,0),$BK$5)="",NA(),INDEX(Daten_Risiken!$A:$ZZ,MATCH($B12&amp;"|Fachkräftemangel",Daten_Risiken!$A$1:$A$529,0),$BK$5)),NA()),"")</f>
        <v>1</v>
      </c>
      <c r="AL12" s="49">
        <f>IFERROR(AJ12-IFERROR(IF(INDEX(Daten_Risiken!$A:$ZZ,MATCH($B12&amp;"|Fachkräftemangel",Daten_Risiken!$A$1:$A$529,0),$BK$6)="",NA(),INDEX(Daten_Risiken!$A:$ZZ,MATCH($B12&amp;"|Fachkräftemangel",Daten_Risiken!$A$1:$A$529,0),$BK$6)),NA()),"")</f>
        <v>-16</v>
      </c>
      <c r="AM12" s="50">
        <f>IFERROR(IF(INDEX(Daten_Risiken!$A:$ZZ,MATCH($B12&amp;"|Auslandsnachfrage",Daten_Risiken!$A$1:$A$529,0),$BK$4)="","",INDEX(Daten_Risiken!$A:$ZZ,MATCH($B12&amp;"|Auslandsnachfrage",Daten_Risiken!$A$1:$A$529,0),$BK$4)),"")</f>
        <v>16</v>
      </c>
      <c r="AN12" s="49">
        <f>IFERROR(AM12-IFERROR(IF(INDEX(Daten_Risiken!$A:$ZZ,MATCH($B12&amp;"|Auslandsnachfrage",Daten_Risiken!$A$1:$A$529,0),$BK$5)="",NA(),INDEX(Daten_Risiken!$A:$ZZ,MATCH($B12&amp;"|Auslandsnachfrage",Daten_Risiken!$A$1:$A$529,0),$BK$5)),NA()),"")</f>
        <v>-2</v>
      </c>
      <c r="AO12" s="49">
        <f>IFERROR(AM12-IFERROR(IF(INDEX(Daten_Risiken!$A:$ZZ,MATCH($B12&amp;"|Auslandsnachfrage",Daten_Risiken!$A$1:$A$529,0),$BK$6)="",NA(),INDEX(Daten_Risiken!$A:$ZZ,MATCH($B12&amp;"|Auslandsnachfrage",Daten_Risiken!$A$1:$A$529,0),$BK$6)),NA()),"")</f>
        <v>-1</v>
      </c>
      <c r="AP12" s="50">
        <f>IFERROR(IF(INDEX(Daten_Risiken!$A:$ZZ,MATCH($B12&amp;"|Finanzierung",Daten_Risiken!$A$1:$A$529,0),$BK$4)="","",INDEX(Daten_Risiken!$A:$ZZ,MATCH($B12&amp;"|Finanzierung",Daten_Risiken!$A$1:$A$529,0),$BK$4)),"")</f>
        <v>13</v>
      </c>
      <c r="AQ12" s="49">
        <f>IFERROR(AP12-IFERROR(IF(INDEX(Daten_Risiken!$A:$ZZ,MATCH($B12&amp;"|Finanzierung",Daten_Risiken!$A$1:$A$529,0),$BK$5)="",NA(),INDEX(Daten_Risiken!$A:$ZZ,MATCH($B12&amp;"|Finanzierung",Daten_Risiken!$A$1:$A$529,0),$BK$5)),NA()),"")</f>
        <v>6</v>
      </c>
      <c r="AR12" s="49">
        <f>IFERROR(AP12-IFERROR(IF(INDEX(Daten_Risiken!$A:$ZZ,MATCH($B12&amp;"|Finanzierung",Daten_Risiken!$A$1:$A$529,0),$BK$6)="",NA(),INDEX(Daten_Risiken!$A:$ZZ,MATCH($B12&amp;"|Finanzierung",Daten_Risiken!$A$1:$A$529,0),$BK$6)),NA()),"")</f>
        <v>2</v>
      </c>
      <c r="AS12" s="50">
        <f>IFERROR(IF(INDEX(Daten_Risiken!$A:$ZZ,MATCH($B12&amp;"|Wechselkurs",Daten_Risiken!$A$1:$A$529,0),$BK$4)="","",INDEX(Daten_Risiken!$A:$ZZ,MATCH($B12&amp;"|Wechselkurs",Daten_Risiken!$A$1:$A$529,0),$BK$4)),"")</f>
        <v>4</v>
      </c>
      <c r="AT12" s="49">
        <f>IFERROR(AS12-IFERROR(IF(INDEX(Daten_Risiken!$A:$ZZ,MATCH($B12&amp;"|Wechselkurs",Daten_Risiken!$A$1:$A$529,0),$BK$5)="",NA(),INDEX(Daten_Risiken!$A:$ZZ,MATCH($B12&amp;"|Wechselkurs",Daten_Risiken!$A$1:$A$529,0),$BK$5)),NA()),"")</f>
        <v>-1</v>
      </c>
      <c r="AU12" s="49">
        <f>IFERROR(AS12-IFERROR(IF(INDEX(Daten_Risiken!$A:$ZZ,MATCH($B12&amp;"|Wechselkurs",Daten_Risiken!$A$1:$A$529,0),$BK$6)="",NA(),INDEX(Daten_Risiken!$A:$ZZ,MATCH($B12&amp;"|Wechselkurs",Daten_Risiken!$A$1:$A$529,0),$BK$6)),NA()),"")</f>
        <v>-4</v>
      </c>
      <c r="AV12" s="50">
        <f>IFERROR(IF(INDEX(Daten_Motive!$A:$ZZ,MATCH($B12&amp;"|Ersatzbedarf",Daten_Motive!$A$1:$A$331,0),$BK$7)="","",INDEX(Daten_Motive!$A:$ZZ,MATCH($B12&amp;"|Ersatzbedarf",Daten_Motive!$A$1:$A$331,0),$BK$7)),"")</f>
        <v>66</v>
      </c>
      <c r="AW12" s="49">
        <f>IFERROR(AV12-IFERROR(IF(INDEX(Daten_Motive!$A:$ZZ,MATCH($B12&amp;"|Ersatzbedarf",Daten_Motive!$A$1:$A$331,0),$BK$8)="",NA(),INDEX(Daten_Motive!$A:$ZZ,MATCH($B12&amp;"|Ersatzbedarf",Daten_Motive!$A$1:$A$331,0),$BK$8)),NA()),"")</f>
        <v>-4</v>
      </c>
      <c r="AX12" s="49">
        <f>IFERROR(AV12-IFERROR(IF(INDEX(Daten_Motive!$A:$ZZ,MATCH($B12&amp;"|Ersatzbedarf",Daten_Motive!$A$1:$A$331,0),$BK$9)="",NA(),INDEX(Daten_Motive!$A:$ZZ,MATCH($B12&amp;"|Ersatzbedarf",Daten_Motive!$A$1:$A$331,0),$BK$9)),NA()),"")</f>
        <v>-9</v>
      </c>
      <c r="AY12" s="50">
        <f>IFERROR(IF(INDEX(Daten_Motive!$A:$ZZ,MATCH($B12&amp;"|Rationalisierung",Daten_Motive!$A$1:$A$331,0),$BK$7)="","",INDEX(Daten_Motive!$A:$ZZ,MATCH($B12&amp;"|Rationalisierung",Daten_Motive!$A$1:$A$331,0),$BK$7)),"")</f>
        <v>42</v>
      </c>
      <c r="AZ12" s="49">
        <f>IFERROR(AY12-IFERROR(IF(INDEX(Daten_Motive!$A:$ZZ,MATCH($B12&amp;"|Rationalisierung",Daten_Motive!$A$1:$A$331,0),$BK$8)="",NA(),INDEX(Daten_Motive!$A:$ZZ,MATCH($B12&amp;"|Rationalisierung",Daten_Motive!$A$1:$A$331,0),$BK$8)),NA()),"")</f>
        <v>1</v>
      </c>
      <c r="BA12" s="49">
        <f>IFERROR(AY12-IFERROR(IF(INDEX(Daten_Motive!$A:$ZZ,MATCH($B12&amp;"|Rationalisierung",Daten_Motive!$A$1:$A$331,0),$BK$9)="",NA(),INDEX(Daten_Motive!$A:$ZZ,MATCH($B12&amp;"|Rationalisierung",Daten_Motive!$A$1:$A$331,0),$BK$9)),NA()),"")</f>
        <v>0</v>
      </c>
      <c r="BB12" s="50">
        <f>IFERROR(IF(INDEX(Daten_Motive!$A:$ZZ,MATCH($B12&amp;"|Produktinnovation",Daten_Motive!$A$1:$A$331,0),$BK$7)="","",INDEX(Daten_Motive!$A:$ZZ,MATCH($B12&amp;"|Produktinnovation",Daten_Motive!$A$1:$A$331,0),$BK$7)),"")</f>
        <v>22</v>
      </c>
      <c r="BC12" s="49">
        <f>IFERROR(BB12-IFERROR(IF(INDEX(Daten_Motive!$A:$ZZ,MATCH($B12&amp;"|Produktinnovation",Daten_Motive!$A$1:$A$331,0),$BK$8)="",NA(),INDEX(Daten_Motive!$A:$ZZ,MATCH($B12&amp;"|Produktinnovation",Daten_Motive!$A$1:$A$331,0),$BK$8)),NA()),"")</f>
        <v>1</v>
      </c>
      <c r="BD12" s="49">
        <f>IFERROR(BB12-IFERROR(IF(INDEX(Daten_Motive!$A:$ZZ,MATCH($B12&amp;"|Produktinnovation",Daten_Motive!$A$1:$A$331,0),$BK$9)="",NA(),INDEX(Daten_Motive!$A:$ZZ,MATCH($B12&amp;"|Produktinnovation",Daten_Motive!$A$1:$A$331,0),$BK$9)),NA()),"")</f>
        <v>1</v>
      </c>
      <c r="BE12" s="50">
        <f>IFERROR(IF(INDEX(Daten_Motive!$A:$ZZ,MATCH($B12&amp;"|Umweltschutz",Daten_Motive!$A$1:$A$331,0),$BK$7)="","",INDEX(Daten_Motive!$A:$ZZ,MATCH($B12&amp;"|Umweltschutz",Daten_Motive!$A$1:$A$331,0),$BK$7)),"")</f>
        <v>22</v>
      </c>
      <c r="BF12" s="49">
        <f>IFERROR(BE12-IFERROR(IF(INDEX(Daten_Motive!$A:$ZZ,MATCH($B12&amp;"|Umweltschutz",Daten_Motive!$A$1:$A$331,0),$BK$8)="",NA(),INDEX(Daten_Motive!$A:$ZZ,MATCH($B12&amp;"|Umweltschutz",Daten_Motive!$A$1:$A$331,0),$BK$8)),NA()),"")</f>
        <v>0</v>
      </c>
      <c r="BG12" s="49">
        <f>IFERROR(BE12-IFERROR(IF(INDEX(Daten_Motive!$A:$ZZ,MATCH($B12&amp;"|Umweltschutz",Daten_Motive!$A$1:$A$331,0),$BK$9)="",NA(),INDEX(Daten_Motive!$A:$ZZ,MATCH($B12&amp;"|Umweltschutz",Daten_Motive!$A$1:$A$331,0),$BK$9)),NA()),"")</f>
        <v>-2</v>
      </c>
      <c r="BH12" s="50">
        <f>IFERROR(IF(INDEX(Daten_Motive!$A:$ZZ,MATCH($B12&amp;"|Kapazitätserweiterung",Daten_Motive!$A$1:$A$331,0),$BK$7)="","",INDEX(Daten_Motive!$A:$ZZ,MATCH($B12&amp;"|Kapazitätserweiterung",Daten_Motive!$A$1:$A$331,0),$BK$7)),"")</f>
        <v>37</v>
      </c>
      <c r="BI12" s="49">
        <f>IFERROR(BH12-IFERROR(IF(INDEX(Daten_Motive!$A:$ZZ,MATCH($B12&amp;"|Kapazitätserweiterung",Daten_Motive!$A$1:$A$331,0),$BK$8)="",NA(),INDEX(Daten_Motive!$A:$ZZ,MATCH($B12&amp;"|Kapazitätserweiterung",Daten_Motive!$A$1:$A$331,0),$BK$8)),NA()),"")</f>
        <v>12</v>
      </c>
      <c r="BJ12" s="49">
        <f>IFERROR(BH12-IFERROR(IF(INDEX(Daten_Motive!$A:$ZZ,MATCH($B12&amp;"|Kapazitätserweiterung",Daten_Motive!$A$1:$A$331,0),$BK$9)="",NA(),INDEX(Daten_Motive!$A:$ZZ,MATCH($B12&amp;"|Kapazitätserweiterung",Daten_Motive!$A$1:$A$331,0),$BK$9)),NA()),"")</f>
        <v>13</v>
      </c>
    </row>
    <row r="13" spans="1:63" x14ac:dyDescent="0.25">
      <c r="A13" s="42">
        <v>5</v>
      </c>
      <c r="B13" s="52" t="str">
        <f>Listen!A6</f>
        <v>Getränkeindustrie</v>
      </c>
      <c r="C13" s="44" t="s">
        <v>4499</v>
      </c>
      <c r="D13" s="44" t="str">
        <f>Listen!B6</f>
        <v>Industrie</v>
      </c>
      <c r="E13" s="45">
        <f>IFERROR(IF(INDEX(Daten_Anteile!$A:$ZZ,MATCH($B13&amp;"|Lage|"&amp;$C$3,Daten_Anteile!$A$1:$A$2971,0),5)="","",INDEX(Daten_Anteile!$A:$ZZ,MATCH($B13&amp;"|Lage|"&amp;$C$3,Daten_Anteile!$A$1:$A$2971,0),5)),"")</f>
        <v>107</v>
      </c>
      <c r="F13" s="46">
        <f t="shared" si="0"/>
        <v>86.3</v>
      </c>
      <c r="G13" s="47">
        <f t="shared" si="1"/>
        <v>6.3</v>
      </c>
      <c r="H13" s="47">
        <f t="shared" si="2"/>
        <v>-1.2</v>
      </c>
      <c r="I13" s="48">
        <f>IFERROR(IF(INDEX(Daten_Salden!$A:$ZZ,MATCH($B13&amp;"|Lage",Daten_Salden!$A$1:$A$331,0),$BK$1)="","",INDEX(Daten_Salden!$A:$ZZ,MATCH($B13&amp;"|Lage",Daten_Salden!$A$1:$A$331,0),$BK$1)),"")</f>
        <v>-7</v>
      </c>
      <c r="J13" s="49">
        <f>IFERROR(I13-IFERROR(IF(INDEX(Daten_Salden!$A:$ZZ,MATCH($B13&amp;"|Lage",Daten_Salden!$A$1:$A$331,0),$BK$2)="",NA(),INDEX(Daten_Salden!$A:$ZZ,MATCH($B13&amp;"|Lage",Daten_Salden!$A$1:$A$331,0),$BK$2)),NA()),"")</f>
        <v>12</v>
      </c>
      <c r="K13" s="49">
        <f>IFERROR(I13-IFERROR(IF(INDEX(Daten_Salden!$A:$ZZ,MATCH($B13&amp;"|Lage",Daten_Salden!$A$1:$A$331,0),$BK$3)="",NA(),INDEX(Daten_Salden!$A:$ZZ,MATCH($B13&amp;"|Lage",Daten_Salden!$A$1:$A$331,0),$BK$3)),NA()),"")</f>
        <v>6</v>
      </c>
      <c r="L13" s="48">
        <f>IFERROR(IF(INDEX(Daten_Salden!$A:$ZZ,MATCH($B13&amp;"|Erwartungen",Daten_Salden!$A$1:$A$331,0),$BK$1)="","",INDEX(Daten_Salden!$A:$ZZ,MATCH($B13&amp;"|Erwartungen",Daten_Salden!$A$1:$A$331,0),$BK$1)),"")</f>
        <v>-20</v>
      </c>
      <c r="M13" s="49">
        <f>IFERROR(L13-IFERROR(IF(INDEX(Daten_Salden!$A:$ZZ,MATCH($B13&amp;"|Erwartungen",Daten_Salden!$A$1:$A$331,0),$BK$2)="",NA(),INDEX(Daten_Salden!$A:$ZZ,MATCH($B13&amp;"|Erwartungen",Daten_Salden!$A$1:$A$331,0),$BK$2)),NA()),"")</f>
        <v>1</v>
      </c>
      <c r="N13" s="49">
        <f>IFERROR(L13-IFERROR(IF(INDEX(Daten_Salden!$A:$ZZ,MATCH($B13&amp;"|Erwartungen",Daten_Salden!$A$1:$A$331,0),$BK$3)="",NA(),INDEX(Daten_Salden!$A:$ZZ,MATCH($B13&amp;"|Erwartungen",Daten_Salden!$A$1:$A$331,0),$BK$3)),NA()),"")</f>
        <v>-8</v>
      </c>
      <c r="O13" s="48">
        <f>IFERROR(IF(INDEX(Daten_Salden!$A:$ZZ,MATCH($B13&amp;"|Export",Daten_Salden!$A$1:$A$331,0),$BK$1)="","",INDEX(Daten_Salden!$A:$ZZ,MATCH($B13&amp;"|Export",Daten_Salden!$A$1:$A$331,0),$BK$1)),"")</f>
        <v>-1</v>
      </c>
      <c r="P13" s="49">
        <f>IFERROR(O13-IFERROR(IF(INDEX(Daten_Salden!$A:$ZZ,MATCH($B13&amp;"|Export",Daten_Salden!$A$1:$A$331,0),$BK$2)="",NA(),INDEX(Daten_Salden!$A:$ZZ,MATCH($B13&amp;"|Export",Daten_Salden!$A$1:$A$331,0),$BK$2)),NA()),"")</f>
        <v>17</v>
      </c>
      <c r="Q13" s="49">
        <f>IFERROR(O13-IFERROR(IF(INDEX(Daten_Salden!$A:$ZZ,MATCH($B13&amp;"|Export",Daten_Salden!$A$1:$A$331,0),$BK$3)="",NA(),INDEX(Daten_Salden!$A:$ZZ,MATCH($B13&amp;"|Export",Daten_Salden!$A$1:$A$331,0),$BK$3)),NA()),"")</f>
        <v>8</v>
      </c>
      <c r="R13" s="48">
        <f>IFERROR(IF(INDEX(Daten_Salden!$A:$ZZ,MATCH($B13&amp;"|Investitionen",Daten_Salden!$A$1:$A$331,0),$BK$1)="","",INDEX(Daten_Salden!$A:$ZZ,MATCH($B13&amp;"|Investitionen",Daten_Salden!$A$1:$A$331,0),$BK$1)),"")</f>
        <v>-17</v>
      </c>
      <c r="S13" s="49">
        <f>IFERROR(R13-IFERROR(IF(INDEX(Daten_Salden!$A:$ZZ,MATCH($B13&amp;"|Investitionen",Daten_Salden!$A$1:$A$331,0),$BK$2)="",NA(),INDEX(Daten_Salden!$A:$ZZ,MATCH($B13&amp;"|Investitionen",Daten_Salden!$A$1:$A$331,0),$BK$2)),NA()),"")</f>
        <v>9</v>
      </c>
      <c r="T13" s="49">
        <f>IFERROR(R13-IFERROR(IF(INDEX(Daten_Salden!$A:$ZZ,MATCH($B13&amp;"|Investitionen",Daten_Salden!$A$1:$A$331,0),$BK$3)="",NA(),INDEX(Daten_Salden!$A:$ZZ,MATCH($B13&amp;"|Investitionen",Daten_Salden!$A$1:$A$331,0),$BK$3)),NA()),"")</f>
        <v>-16</v>
      </c>
      <c r="U13" s="48">
        <f>IFERROR(IF(INDEX(Daten_Salden!$A:$ZZ,MATCH($B13&amp;"|Beschäftigung",Daten_Salden!$A$1:$A$331,0),$BK$1)="","",INDEX(Daten_Salden!$A:$ZZ,MATCH($B13&amp;"|Beschäftigung",Daten_Salden!$A$1:$A$331,0),$BK$1)),"")</f>
        <v>-19</v>
      </c>
      <c r="V13" s="49">
        <f>IFERROR(U13-IFERROR(IF(INDEX(Daten_Salden!$A:$ZZ,MATCH($B13&amp;"|Beschäftigung",Daten_Salden!$A$1:$A$331,0),$BK$2)="",NA(),INDEX(Daten_Salden!$A:$ZZ,MATCH($B13&amp;"|Beschäftigung",Daten_Salden!$A$1:$A$331,0),$BK$2)),NA()),"")</f>
        <v>1</v>
      </c>
      <c r="W13" s="49">
        <f>IFERROR(U13-IFERROR(IF(INDEX(Daten_Salden!$A:$ZZ,MATCH($B13&amp;"|Beschäftigung",Daten_Salden!$A$1:$A$331,0),$BK$3)="",NA(),INDEX(Daten_Salden!$A:$ZZ,MATCH($B13&amp;"|Beschäftigung",Daten_Salden!$A$1:$A$331,0),$BK$3)),NA()),"")</f>
        <v>5</v>
      </c>
      <c r="X13" s="50">
        <f>IFERROR(IF(INDEX(Daten_Risiken!$A:$ZZ,MATCH($B13&amp;"|Energie- und Rohstoffpreise",Daten_Risiken!$A$1:$A$529,0),$BK$4)="","",INDEX(Daten_Risiken!$A:$ZZ,MATCH($B13&amp;"|Energie- und Rohstoffpreise",Daten_Risiken!$A$1:$A$529,0),$BK$4)),"")</f>
        <v>86</v>
      </c>
      <c r="Y13" s="49">
        <f>IFERROR(X13-IFERROR(IF(INDEX(Daten_Risiken!$A:$ZZ,MATCH($B13&amp;"|Energie- und Rohstoffpreise",Daten_Risiken!$A$1:$A$529,0),$BK$5)="",NA(),INDEX(Daten_Risiken!$A:$ZZ,MATCH($B13&amp;"|Energie- und Rohstoffpreise",Daten_Risiken!$A$1:$A$529,0),$BK$5)),NA()),"")</f>
        <v>2</v>
      </c>
      <c r="Z13" s="49">
        <f>IFERROR(X13-IFERROR(IF(INDEX(Daten_Risiken!$A:$ZZ,MATCH($B13&amp;"|Energie- und Rohstoffpreise",Daten_Risiken!$A$1:$A$529,0),$BK$6)="",NA(),INDEX(Daten_Risiken!$A:$ZZ,MATCH($B13&amp;"|Energie- und Rohstoffpreise",Daten_Risiken!$A$1:$A$529,0),$BK$6)),NA()),"")</f>
        <v>14</v>
      </c>
      <c r="AA13" s="50">
        <f>IFERROR(IF(INDEX(Daten_Risiken!$A:$ZZ,MATCH($B13&amp;"|Arbeitskosten",Daten_Risiken!$A$1:$A$529,0),$BK$4)="","",INDEX(Daten_Risiken!$A:$ZZ,MATCH($B13&amp;"|Arbeitskosten",Daten_Risiken!$A$1:$A$529,0),$BK$4)),"")</f>
        <v>61</v>
      </c>
      <c r="AB13" s="49">
        <f>IFERROR(AA13-IFERROR(IF(INDEX(Daten_Risiken!$A:$ZZ,MATCH($B13&amp;"|Arbeitskosten",Daten_Risiken!$A$1:$A$529,0),$BK$5)="",NA(),INDEX(Daten_Risiken!$A:$ZZ,MATCH($B13&amp;"|Arbeitskosten",Daten_Risiken!$A$1:$A$529,0),$BK$5)),NA()),"")</f>
        <v>1</v>
      </c>
      <c r="AC13" s="49">
        <f>IFERROR(AA13-IFERROR(IF(INDEX(Daten_Risiken!$A:$ZZ,MATCH($B13&amp;"|Arbeitskosten",Daten_Risiken!$A$1:$A$529,0),$BK$6)="",NA(),INDEX(Daten_Risiken!$A:$ZZ,MATCH($B13&amp;"|Arbeitskosten",Daten_Risiken!$A$1:$A$529,0),$BK$6)),NA()),"")</f>
        <v>-7</v>
      </c>
      <c r="AD13" s="50">
        <f>IFERROR(IF(INDEX(Daten_Risiken!$A:$ZZ,MATCH($B13&amp;"|Inlandsnachfrage",Daten_Risiken!$A$1:$A$529,0),$BK$4)="","",INDEX(Daten_Risiken!$A:$ZZ,MATCH($B13&amp;"|Inlandsnachfrage",Daten_Risiken!$A$1:$A$529,0),$BK$4)),"")</f>
        <v>74</v>
      </c>
      <c r="AE13" s="49">
        <f>IFERROR(AD13-IFERROR(IF(INDEX(Daten_Risiken!$A:$ZZ,MATCH($B13&amp;"|Inlandsnachfrage",Daten_Risiken!$A$1:$A$529,0),$BK$5)="",NA(),INDEX(Daten_Risiken!$A:$ZZ,MATCH($B13&amp;"|Inlandsnachfrage",Daten_Risiken!$A$1:$A$529,0),$BK$5)),NA()),"")</f>
        <v>-6</v>
      </c>
      <c r="AF13" s="49">
        <f>IFERROR(AD13-IFERROR(IF(INDEX(Daten_Risiken!$A:$ZZ,MATCH($B13&amp;"|Inlandsnachfrage",Daten_Risiken!$A$1:$A$529,0),$BK$6)="",NA(),INDEX(Daten_Risiken!$A:$ZZ,MATCH($B13&amp;"|Inlandsnachfrage",Daten_Risiken!$A$1:$A$529,0),$BK$6)),NA()),"")</f>
        <v>-8</v>
      </c>
      <c r="AG13" s="50">
        <f>IFERROR(IF(INDEX(Daten_Risiken!$A:$ZZ,MATCH($B13&amp;"|Wirtschaftspolitische Rahmenbedingungen",Daten_Risiken!$A$1:$A$529,0),$BK$4)="","",INDEX(Daten_Risiken!$A:$ZZ,MATCH($B13&amp;"|Wirtschaftspolitische Rahmenbedingungen",Daten_Risiken!$A$1:$A$529,0),$BK$4)),"")</f>
        <v>60</v>
      </c>
      <c r="AH13" s="49">
        <f>IFERROR(AG13-IFERROR(IF(INDEX(Daten_Risiken!$A:$ZZ,MATCH($B13&amp;"|Wirtschaftspolitische Rahmenbedingungen",Daten_Risiken!$A$1:$A$529,0),$BK$5)="",NA(),INDEX(Daten_Risiken!$A:$ZZ,MATCH($B13&amp;"|Wirtschaftspolitische Rahmenbedingungen",Daten_Risiken!$A$1:$A$529,0),$BK$5)),NA()),"")</f>
        <v>8</v>
      </c>
      <c r="AI13" s="49">
        <f>IFERROR(AG13-IFERROR(IF(INDEX(Daten_Risiken!$A:$ZZ,MATCH($B13&amp;"|Wirtschaftspolitische Rahmenbedingungen",Daten_Risiken!$A$1:$A$529,0),$BK$6)="",NA(),INDEX(Daten_Risiken!$A:$ZZ,MATCH($B13&amp;"|Wirtschaftspolitische Rahmenbedingungen",Daten_Risiken!$A$1:$A$529,0),$BK$6)),NA()),"")</f>
        <v>12</v>
      </c>
      <c r="AJ13" s="50">
        <f>IFERROR(IF(INDEX(Daten_Risiken!$A:$ZZ,MATCH($B13&amp;"|Fachkräftemangel",Daten_Risiken!$A$1:$A$529,0),$BK$4)="","",INDEX(Daten_Risiken!$A:$ZZ,MATCH($B13&amp;"|Fachkräftemangel",Daten_Risiken!$A$1:$A$529,0),$BK$4)),"")</f>
        <v>29</v>
      </c>
      <c r="AK13" s="49">
        <f>IFERROR(AJ13-IFERROR(IF(INDEX(Daten_Risiken!$A:$ZZ,MATCH($B13&amp;"|Fachkräftemangel",Daten_Risiken!$A$1:$A$529,0),$BK$5)="",NA(),INDEX(Daten_Risiken!$A:$ZZ,MATCH($B13&amp;"|Fachkräftemangel",Daten_Risiken!$A$1:$A$529,0),$BK$5)),NA()),"")</f>
        <v>11</v>
      </c>
      <c r="AL13" s="49">
        <f>IFERROR(AJ13-IFERROR(IF(INDEX(Daten_Risiken!$A:$ZZ,MATCH($B13&amp;"|Fachkräftemangel",Daten_Risiken!$A$1:$A$529,0),$BK$6)="",NA(),INDEX(Daten_Risiken!$A:$ZZ,MATCH($B13&amp;"|Fachkräftemangel",Daten_Risiken!$A$1:$A$529,0),$BK$6)),NA()),"")</f>
        <v>9</v>
      </c>
      <c r="AM13" s="50">
        <f>IFERROR(IF(INDEX(Daten_Risiken!$A:$ZZ,MATCH($B13&amp;"|Auslandsnachfrage",Daten_Risiken!$A$1:$A$529,0),$BK$4)="","",INDEX(Daten_Risiken!$A:$ZZ,MATCH($B13&amp;"|Auslandsnachfrage",Daten_Risiken!$A$1:$A$529,0),$BK$4)),"")</f>
        <v>13</v>
      </c>
      <c r="AN13" s="49">
        <f>IFERROR(AM13-IFERROR(IF(INDEX(Daten_Risiken!$A:$ZZ,MATCH($B13&amp;"|Auslandsnachfrage",Daten_Risiken!$A$1:$A$529,0),$BK$5)="",NA(),INDEX(Daten_Risiken!$A:$ZZ,MATCH($B13&amp;"|Auslandsnachfrage",Daten_Risiken!$A$1:$A$529,0),$BK$5)),NA()),"")</f>
        <v>-4</v>
      </c>
      <c r="AO13" s="49">
        <f>IFERROR(AM13-IFERROR(IF(INDEX(Daten_Risiken!$A:$ZZ,MATCH($B13&amp;"|Auslandsnachfrage",Daten_Risiken!$A$1:$A$529,0),$BK$6)="",NA(),INDEX(Daten_Risiken!$A:$ZZ,MATCH($B13&amp;"|Auslandsnachfrage",Daten_Risiken!$A$1:$A$529,0),$BK$6)),NA()),"")</f>
        <v>-1</v>
      </c>
      <c r="AP13" s="50">
        <f>IFERROR(IF(INDEX(Daten_Risiken!$A:$ZZ,MATCH($B13&amp;"|Finanzierung",Daten_Risiken!$A$1:$A$529,0),$BK$4)="","",INDEX(Daten_Risiken!$A:$ZZ,MATCH($B13&amp;"|Finanzierung",Daten_Risiken!$A$1:$A$529,0),$BK$4)),"")</f>
        <v>22</v>
      </c>
      <c r="AQ13" s="49">
        <f>IFERROR(AP13-IFERROR(IF(INDEX(Daten_Risiken!$A:$ZZ,MATCH($B13&amp;"|Finanzierung",Daten_Risiken!$A$1:$A$529,0),$BK$5)="",NA(),INDEX(Daten_Risiken!$A:$ZZ,MATCH($B13&amp;"|Finanzierung",Daten_Risiken!$A$1:$A$529,0),$BK$5)),NA()),"")</f>
        <v>-1</v>
      </c>
      <c r="AR13" s="49">
        <f>IFERROR(AP13-IFERROR(IF(INDEX(Daten_Risiken!$A:$ZZ,MATCH($B13&amp;"|Finanzierung",Daten_Risiken!$A$1:$A$529,0),$BK$6)="",NA(),INDEX(Daten_Risiken!$A:$ZZ,MATCH($B13&amp;"|Finanzierung",Daten_Risiken!$A$1:$A$529,0),$BK$6)),NA()),"")</f>
        <v>4</v>
      </c>
      <c r="AS13" s="50">
        <f>IFERROR(IF(INDEX(Daten_Risiken!$A:$ZZ,MATCH($B13&amp;"|Wechselkurs",Daten_Risiken!$A$1:$A$529,0),$BK$4)="","",INDEX(Daten_Risiken!$A:$ZZ,MATCH($B13&amp;"|Wechselkurs",Daten_Risiken!$A$1:$A$529,0),$BK$4)),"")</f>
        <v>2</v>
      </c>
      <c r="AT13" s="49">
        <f>IFERROR(AS13-IFERROR(IF(INDEX(Daten_Risiken!$A:$ZZ,MATCH($B13&amp;"|Wechselkurs",Daten_Risiken!$A$1:$A$529,0),$BK$5)="",NA(),INDEX(Daten_Risiken!$A:$ZZ,MATCH($B13&amp;"|Wechselkurs",Daten_Risiken!$A$1:$A$529,0),$BK$5)),NA()),"")</f>
        <v>0</v>
      </c>
      <c r="AU13" s="49">
        <f>IFERROR(AS13-IFERROR(IF(INDEX(Daten_Risiken!$A:$ZZ,MATCH($B13&amp;"|Wechselkurs",Daten_Risiken!$A$1:$A$529,0),$BK$6)="",NA(),INDEX(Daten_Risiken!$A:$ZZ,MATCH($B13&amp;"|Wechselkurs",Daten_Risiken!$A$1:$A$529,0),$BK$6)),NA()),"")</f>
        <v>1</v>
      </c>
      <c r="AV13" s="50">
        <f>IFERROR(IF(INDEX(Daten_Motive!$A:$ZZ,MATCH($B13&amp;"|Ersatzbedarf",Daten_Motive!$A$1:$A$331,0),$BK$7)="","",INDEX(Daten_Motive!$A:$ZZ,MATCH($B13&amp;"|Ersatzbedarf",Daten_Motive!$A$1:$A$331,0),$BK$7)),"")</f>
        <v>67</v>
      </c>
      <c r="AW13" s="49">
        <f>IFERROR(AV13-IFERROR(IF(INDEX(Daten_Motive!$A:$ZZ,MATCH($B13&amp;"|Ersatzbedarf",Daten_Motive!$A$1:$A$331,0),$BK$8)="",NA(),INDEX(Daten_Motive!$A:$ZZ,MATCH($B13&amp;"|Ersatzbedarf",Daten_Motive!$A$1:$A$331,0),$BK$8)),NA()),"")</f>
        <v>-11</v>
      </c>
      <c r="AX13" s="49">
        <f>IFERROR(AV13-IFERROR(IF(INDEX(Daten_Motive!$A:$ZZ,MATCH($B13&amp;"|Ersatzbedarf",Daten_Motive!$A$1:$A$331,0),$BK$9)="",NA(),INDEX(Daten_Motive!$A:$ZZ,MATCH($B13&amp;"|Ersatzbedarf",Daten_Motive!$A$1:$A$331,0),$BK$9)),NA()),"")</f>
        <v>4</v>
      </c>
      <c r="AY13" s="50">
        <f>IFERROR(IF(INDEX(Daten_Motive!$A:$ZZ,MATCH($B13&amp;"|Rationalisierung",Daten_Motive!$A$1:$A$331,0),$BK$7)="","",INDEX(Daten_Motive!$A:$ZZ,MATCH($B13&amp;"|Rationalisierung",Daten_Motive!$A$1:$A$331,0),$BK$7)),"")</f>
        <v>40</v>
      </c>
      <c r="AZ13" s="49">
        <f>IFERROR(AY13-IFERROR(IF(INDEX(Daten_Motive!$A:$ZZ,MATCH($B13&amp;"|Rationalisierung",Daten_Motive!$A$1:$A$331,0),$BK$8)="",NA(),INDEX(Daten_Motive!$A:$ZZ,MATCH($B13&amp;"|Rationalisierung",Daten_Motive!$A$1:$A$331,0),$BK$8)),NA()),"")</f>
        <v>-3</v>
      </c>
      <c r="BA13" s="49">
        <f>IFERROR(AY13-IFERROR(IF(INDEX(Daten_Motive!$A:$ZZ,MATCH($B13&amp;"|Rationalisierung",Daten_Motive!$A$1:$A$331,0),$BK$9)="",NA(),INDEX(Daten_Motive!$A:$ZZ,MATCH($B13&amp;"|Rationalisierung",Daten_Motive!$A$1:$A$331,0),$BK$9)),NA()),"")</f>
        <v>-2</v>
      </c>
      <c r="BB13" s="50">
        <f>IFERROR(IF(INDEX(Daten_Motive!$A:$ZZ,MATCH($B13&amp;"|Produktinnovation",Daten_Motive!$A$1:$A$331,0),$BK$7)="","",INDEX(Daten_Motive!$A:$ZZ,MATCH($B13&amp;"|Produktinnovation",Daten_Motive!$A$1:$A$331,0),$BK$7)),"")</f>
        <v>26</v>
      </c>
      <c r="BC13" s="49">
        <f>IFERROR(BB13-IFERROR(IF(INDEX(Daten_Motive!$A:$ZZ,MATCH($B13&amp;"|Produktinnovation",Daten_Motive!$A$1:$A$331,0),$BK$8)="",NA(),INDEX(Daten_Motive!$A:$ZZ,MATCH($B13&amp;"|Produktinnovation",Daten_Motive!$A$1:$A$331,0),$BK$8)),NA()),"")</f>
        <v>9</v>
      </c>
      <c r="BD13" s="49">
        <f>IFERROR(BB13-IFERROR(IF(INDEX(Daten_Motive!$A:$ZZ,MATCH($B13&amp;"|Produktinnovation",Daten_Motive!$A$1:$A$331,0),$BK$9)="",NA(),INDEX(Daten_Motive!$A:$ZZ,MATCH($B13&amp;"|Produktinnovation",Daten_Motive!$A$1:$A$331,0),$BK$9)),NA()),"")</f>
        <v>-2</v>
      </c>
      <c r="BE13" s="50">
        <f>IFERROR(IF(INDEX(Daten_Motive!$A:$ZZ,MATCH($B13&amp;"|Umweltschutz",Daten_Motive!$A$1:$A$331,0),$BK$7)="","",INDEX(Daten_Motive!$A:$ZZ,MATCH($B13&amp;"|Umweltschutz",Daten_Motive!$A$1:$A$331,0),$BK$7)),"")</f>
        <v>25</v>
      </c>
      <c r="BF13" s="49">
        <f>IFERROR(BE13-IFERROR(IF(INDEX(Daten_Motive!$A:$ZZ,MATCH($B13&amp;"|Umweltschutz",Daten_Motive!$A$1:$A$331,0),$BK$8)="",NA(),INDEX(Daten_Motive!$A:$ZZ,MATCH($B13&amp;"|Umweltschutz",Daten_Motive!$A$1:$A$331,0),$BK$8)),NA()),"")</f>
        <v>-7</v>
      </c>
      <c r="BG13" s="49">
        <f>IFERROR(BE13-IFERROR(IF(INDEX(Daten_Motive!$A:$ZZ,MATCH($B13&amp;"|Umweltschutz",Daten_Motive!$A$1:$A$331,0),$BK$9)="",NA(),INDEX(Daten_Motive!$A:$ZZ,MATCH($B13&amp;"|Umweltschutz",Daten_Motive!$A$1:$A$331,0),$BK$9)),NA()),"")</f>
        <v>-6</v>
      </c>
      <c r="BH13" s="50">
        <f>IFERROR(IF(INDEX(Daten_Motive!$A:$ZZ,MATCH($B13&amp;"|Kapazitätserweiterung",Daten_Motive!$A$1:$A$331,0),$BK$7)="","",INDEX(Daten_Motive!$A:$ZZ,MATCH($B13&amp;"|Kapazitätserweiterung",Daten_Motive!$A$1:$A$331,0),$BK$7)),"")</f>
        <v>17</v>
      </c>
      <c r="BI13" s="49">
        <f>IFERROR(BH13-IFERROR(IF(INDEX(Daten_Motive!$A:$ZZ,MATCH($B13&amp;"|Kapazitätserweiterung",Daten_Motive!$A$1:$A$331,0),$BK$8)="",NA(),INDEX(Daten_Motive!$A:$ZZ,MATCH($B13&amp;"|Kapazitätserweiterung",Daten_Motive!$A$1:$A$331,0),$BK$8)),NA()),"")</f>
        <v>4</v>
      </c>
      <c r="BJ13" s="49">
        <f>IFERROR(BH13-IFERROR(IF(INDEX(Daten_Motive!$A:$ZZ,MATCH($B13&amp;"|Kapazitätserweiterung",Daten_Motive!$A$1:$A$331,0),$BK$9)="",NA(),INDEX(Daten_Motive!$A:$ZZ,MATCH($B13&amp;"|Kapazitätserweiterung",Daten_Motive!$A$1:$A$331,0),$BK$9)),NA()),"")</f>
        <v>0</v>
      </c>
    </row>
    <row r="14" spans="1:63" x14ac:dyDescent="0.25">
      <c r="A14" s="42">
        <v>6</v>
      </c>
      <c r="B14" s="51" t="str">
        <f>Listen!A7</f>
        <v>Textil-, Bekleidungs- und Ledergewerbe</v>
      </c>
      <c r="C14" s="44" t="s">
        <v>4500</v>
      </c>
      <c r="D14" s="44" t="str">
        <f>Listen!B7</f>
        <v>Industrie</v>
      </c>
      <c r="E14" s="45">
        <f>IFERROR(IF(INDEX(Daten_Anteile!$A:$ZZ,MATCH($B14&amp;"|Lage|"&amp;$C$3,Daten_Anteile!$A$1:$A$2971,0),5)="","",INDEX(Daten_Anteile!$A:$ZZ,MATCH($B14&amp;"|Lage|"&amp;$C$3,Daten_Anteile!$A$1:$A$2971,0),5)),"")</f>
        <v>226</v>
      </c>
      <c r="F14" s="46">
        <f t="shared" si="0"/>
        <v>91</v>
      </c>
      <c r="G14" s="47">
        <f t="shared" si="1"/>
        <v>6.5</v>
      </c>
      <c r="H14" s="47">
        <f t="shared" si="2"/>
        <v>5.2</v>
      </c>
      <c r="I14" s="48">
        <f>IFERROR(IF(INDEX(Daten_Salden!$A:$ZZ,MATCH($B14&amp;"|Lage",Daten_Salden!$A$1:$A$331,0),$BK$1)="","",INDEX(Daten_Salden!$A:$ZZ,MATCH($B14&amp;"|Lage",Daten_Salden!$A$1:$A$331,0),$BK$1)),"")</f>
        <v>-10</v>
      </c>
      <c r="J14" s="49">
        <f>IFERROR(I14-IFERROR(IF(INDEX(Daten_Salden!$A:$ZZ,MATCH($B14&amp;"|Lage",Daten_Salden!$A$1:$A$331,0),$BK$2)="",NA(),INDEX(Daten_Salden!$A:$ZZ,MATCH($B14&amp;"|Lage",Daten_Salden!$A$1:$A$331,0),$BK$2)),NA()),"")</f>
        <v>4</v>
      </c>
      <c r="K14" s="49">
        <f>IFERROR(I14-IFERROR(IF(INDEX(Daten_Salden!$A:$ZZ,MATCH($B14&amp;"|Lage",Daten_Salden!$A$1:$A$331,0),$BK$3)="",NA(),INDEX(Daten_Salden!$A:$ZZ,MATCH($B14&amp;"|Lage",Daten_Salden!$A$1:$A$331,0),$BK$3)),NA()),"")</f>
        <v>10</v>
      </c>
      <c r="L14" s="48">
        <f>IFERROR(IF(INDEX(Daten_Salden!$A:$ZZ,MATCH($B14&amp;"|Erwartungen",Daten_Salden!$A$1:$A$331,0),$BK$1)="","",INDEX(Daten_Salden!$A:$ZZ,MATCH($B14&amp;"|Erwartungen",Daten_Salden!$A$1:$A$331,0),$BK$1)),"")</f>
        <v>-8</v>
      </c>
      <c r="M14" s="49">
        <f>IFERROR(L14-IFERROR(IF(INDEX(Daten_Salden!$A:$ZZ,MATCH($B14&amp;"|Erwartungen",Daten_Salden!$A$1:$A$331,0),$BK$2)="",NA(),INDEX(Daten_Salden!$A:$ZZ,MATCH($B14&amp;"|Erwartungen",Daten_Salden!$A$1:$A$331,0),$BK$2)),NA()),"")</f>
        <v>9</v>
      </c>
      <c r="N14" s="49">
        <f>IFERROR(L14-IFERROR(IF(INDEX(Daten_Salden!$A:$ZZ,MATCH($B14&amp;"|Erwartungen",Daten_Salden!$A$1:$A$331,0),$BK$3)="",NA(),INDEX(Daten_Salden!$A:$ZZ,MATCH($B14&amp;"|Erwartungen",Daten_Salden!$A$1:$A$331,0),$BK$3)),NA()),"")</f>
        <v>0</v>
      </c>
      <c r="O14" s="48">
        <f>IFERROR(IF(INDEX(Daten_Salden!$A:$ZZ,MATCH($B14&amp;"|Export",Daten_Salden!$A$1:$A$331,0),$BK$1)="","",INDEX(Daten_Salden!$A:$ZZ,MATCH($B14&amp;"|Export",Daten_Salden!$A$1:$A$331,0),$BK$1)),"")</f>
        <v>-2</v>
      </c>
      <c r="P14" s="49">
        <f>IFERROR(O14-IFERROR(IF(INDEX(Daten_Salden!$A:$ZZ,MATCH($B14&amp;"|Export",Daten_Salden!$A$1:$A$331,0),$BK$2)="",NA(),INDEX(Daten_Salden!$A:$ZZ,MATCH($B14&amp;"|Export",Daten_Salden!$A$1:$A$331,0),$BK$2)),NA()),"")</f>
        <v>9</v>
      </c>
      <c r="Q14" s="49">
        <f>IFERROR(O14-IFERROR(IF(INDEX(Daten_Salden!$A:$ZZ,MATCH($B14&amp;"|Export",Daten_Salden!$A$1:$A$331,0),$BK$3)="",NA(),INDEX(Daten_Salden!$A:$ZZ,MATCH($B14&amp;"|Export",Daten_Salden!$A$1:$A$331,0),$BK$3)),NA()),"")</f>
        <v>9</v>
      </c>
      <c r="R14" s="48">
        <f>IFERROR(IF(INDEX(Daten_Salden!$A:$ZZ,MATCH($B14&amp;"|Investitionen",Daten_Salden!$A$1:$A$331,0),$BK$1)="","",INDEX(Daten_Salden!$A:$ZZ,MATCH($B14&amp;"|Investitionen",Daten_Salden!$A$1:$A$331,0),$BK$1)),"")</f>
        <v>-19</v>
      </c>
      <c r="S14" s="49">
        <f>IFERROR(R14-IFERROR(IF(INDEX(Daten_Salden!$A:$ZZ,MATCH($B14&amp;"|Investitionen",Daten_Salden!$A$1:$A$331,0),$BK$2)="",NA(),INDEX(Daten_Salden!$A:$ZZ,MATCH($B14&amp;"|Investitionen",Daten_Salden!$A$1:$A$331,0),$BK$2)),NA()),"")</f>
        <v>7</v>
      </c>
      <c r="T14" s="49">
        <f>IFERROR(R14-IFERROR(IF(INDEX(Daten_Salden!$A:$ZZ,MATCH($B14&amp;"|Investitionen",Daten_Salden!$A$1:$A$331,0),$BK$3)="",NA(),INDEX(Daten_Salden!$A:$ZZ,MATCH($B14&amp;"|Investitionen",Daten_Salden!$A$1:$A$331,0),$BK$3)),NA()),"")</f>
        <v>-8</v>
      </c>
      <c r="U14" s="48">
        <f>IFERROR(IF(INDEX(Daten_Salden!$A:$ZZ,MATCH($B14&amp;"|Beschäftigung",Daten_Salden!$A$1:$A$331,0),$BK$1)="","",INDEX(Daten_Salden!$A:$ZZ,MATCH($B14&amp;"|Beschäftigung",Daten_Salden!$A$1:$A$331,0),$BK$1)),"")</f>
        <v>-22</v>
      </c>
      <c r="V14" s="49">
        <f>IFERROR(U14-IFERROR(IF(INDEX(Daten_Salden!$A:$ZZ,MATCH($B14&amp;"|Beschäftigung",Daten_Salden!$A$1:$A$331,0),$BK$2)="",NA(),INDEX(Daten_Salden!$A:$ZZ,MATCH($B14&amp;"|Beschäftigung",Daten_Salden!$A$1:$A$331,0),$BK$2)),NA()),"")</f>
        <v>5</v>
      </c>
      <c r="W14" s="49">
        <f>IFERROR(U14-IFERROR(IF(INDEX(Daten_Salden!$A:$ZZ,MATCH($B14&amp;"|Beschäftigung",Daten_Salden!$A$1:$A$331,0),$BK$3)="",NA(),INDEX(Daten_Salden!$A:$ZZ,MATCH($B14&amp;"|Beschäftigung",Daten_Salden!$A$1:$A$331,0),$BK$3)),NA()),"")</f>
        <v>3</v>
      </c>
      <c r="X14" s="50">
        <f>IFERROR(IF(INDEX(Daten_Risiken!$A:$ZZ,MATCH($B14&amp;"|Energie- und Rohstoffpreise",Daten_Risiken!$A$1:$A$529,0),$BK$4)="","",INDEX(Daten_Risiken!$A:$ZZ,MATCH($B14&amp;"|Energie- und Rohstoffpreise",Daten_Risiken!$A$1:$A$529,0),$BK$4)),"")</f>
        <v>78</v>
      </c>
      <c r="Y14" s="49">
        <f>IFERROR(X14-IFERROR(IF(INDEX(Daten_Risiken!$A:$ZZ,MATCH($B14&amp;"|Energie- und Rohstoffpreise",Daten_Risiken!$A$1:$A$529,0),$BK$5)="",NA(),INDEX(Daten_Risiken!$A:$ZZ,MATCH($B14&amp;"|Energie- und Rohstoffpreise",Daten_Risiken!$A$1:$A$529,0),$BK$5)),NA()),"")</f>
        <v>-7</v>
      </c>
      <c r="Z14" s="49">
        <f>IFERROR(X14-IFERROR(IF(INDEX(Daten_Risiken!$A:$ZZ,MATCH($B14&amp;"|Energie- und Rohstoffpreise",Daten_Risiken!$A$1:$A$529,0),$BK$6)="",NA(),INDEX(Daten_Risiken!$A:$ZZ,MATCH($B14&amp;"|Energie- und Rohstoffpreise",Daten_Risiken!$A$1:$A$529,0),$BK$6)),NA()),"")</f>
        <v>18</v>
      </c>
      <c r="AA14" s="50">
        <f>IFERROR(IF(INDEX(Daten_Risiken!$A:$ZZ,MATCH($B14&amp;"|Arbeitskosten",Daten_Risiken!$A$1:$A$529,0),$BK$4)="","",INDEX(Daten_Risiken!$A:$ZZ,MATCH($B14&amp;"|Arbeitskosten",Daten_Risiken!$A$1:$A$529,0),$BK$4)),"")</f>
        <v>55</v>
      </c>
      <c r="AB14" s="49">
        <f>IFERROR(AA14-IFERROR(IF(INDEX(Daten_Risiken!$A:$ZZ,MATCH($B14&amp;"|Arbeitskosten",Daten_Risiken!$A$1:$A$529,0),$BK$5)="",NA(),INDEX(Daten_Risiken!$A:$ZZ,MATCH($B14&amp;"|Arbeitskosten",Daten_Risiken!$A$1:$A$529,0),$BK$5)),NA()),"")</f>
        <v>-5</v>
      </c>
      <c r="AC14" s="49">
        <f>IFERROR(AA14-IFERROR(IF(INDEX(Daten_Risiken!$A:$ZZ,MATCH($B14&amp;"|Arbeitskosten",Daten_Risiken!$A$1:$A$529,0),$BK$6)="",NA(),INDEX(Daten_Risiken!$A:$ZZ,MATCH($B14&amp;"|Arbeitskosten",Daten_Risiken!$A$1:$A$529,0),$BK$6)),NA()),"")</f>
        <v>-11</v>
      </c>
      <c r="AD14" s="50">
        <f>IFERROR(IF(INDEX(Daten_Risiken!$A:$ZZ,MATCH($B14&amp;"|Inlandsnachfrage",Daten_Risiken!$A$1:$A$529,0),$BK$4)="","",INDEX(Daten_Risiken!$A:$ZZ,MATCH($B14&amp;"|Inlandsnachfrage",Daten_Risiken!$A$1:$A$529,0),$BK$4)),"")</f>
        <v>66</v>
      </c>
      <c r="AE14" s="49">
        <f>IFERROR(AD14-IFERROR(IF(INDEX(Daten_Risiken!$A:$ZZ,MATCH($B14&amp;"|Inlandsnachfrage",Daten_Risiken!$A$1:$A$529,0),$BK$5)="",NA(),INDEX(Daten_Risiken!$A:$ZZ,MATCH($B14&amp;"|Inlandsnachfrage",Daten_Risiken!$A$1:$A$529,0),$BK$5)),NA()),"")</f>
        <v>-2</v>
      </c>
      <c r="AF14" s="49">
        <f>IFERROR(AD14-IFERROR(IF(INDEX(Daten_Risiken!$A:$ZZ,MATCH($B14&amp;"|Inlandsnachfrage",Daten_Risiken!$A$1:$A$529,0),$BK$6)="",NA(),INDEX(Daten_Risiken!$A:$ZZ,MATCH($B14&amp;"|Inlandsnachfrage",Daten_Risiken!$A$1:$A$529,0),$BK$6)),NA()),"")</f>
        <v>-3</v>
      </c>
      <c r="AG14" s="50">
        <f>IFERROR(IF(INDEX(Daten_Risiken!$A:$ZZ,MATCH($B14&amp;"|Wirtschaftspolitische Rahmenbedingungen",Daten_Risiken!$A$1:$A$529,0),$BK$4)="","",INDEX(Daten_Risiken!$A:$ZZ,MATCH($B14&amp;"|Wirtschaftspolitische Rahmenbedingungen",Daten_Risiken!$A$1:$A$529,0),$BK$4)),"")</f>
        <v>57</v>
      </c>
      <c r="AH14" s="49">
        <f>IFERROR(AG14-IFERROR(IF(INDEX(Daten_Risiken!$A:$ZZ,MATCH($B14&amp;"|Wirtschaftspolitische Rahmenbedingungen",Daten_Risiken!$A$1:$A$529,0),$BK$5)="",NA(),INDEX(Daten_Risiken!$A:$ZZ,MATCH($B14&amp;"|Wirtschaftspolitische Rahmenbedingungen",Daten_Risiken!$A$1:$A$529,0),$BK$5)),NA()),"")</f>
        <v>-1</v>
      </c>
      <c r="AI14" s="49">
        <f>IFERROR(AG14-IFERROR(IF(INDEX(Daten_Risiken!$A:$ZZ,MATCH($B14&amp;"|Wirtschaftspolitische Rahmenbedingungen",Daten_Risiken!$A$1:$A$529,0),$BK$6)="",NA(),INDEX(Daten_Risiken!$A:$ZZ,MATCH($B14&amp;"|Wirtschaftspolitische Rahmenbedingungen",Daten_Risiken!$A$1:$A$529,0),$BK$6)),NA()),"")</f>
        <v>5</v>
      </c>
      <c r="AJ14" s="50">
        <f>IFERROR(IF(INDEX(Daten_Risiken!$A:$ZZ,MATCH($B14&amp;"|Fachkräftemangel",Daten_Risiken!$A$1:$A$529,0),$BK$4)="","",INDEX(Daten_Risiken!$A:$ZZ,MATCH($B14&amp;"|Fachkräftemangel",Daten_Risiken!$A$1:$A$529,0),$BK$4)),"")</f>
        <v>32</v>
      </c>
      <c r="AK14" s="49">
        <f>IFERROR(AJ14-IFERROR(IF(INDEX(Daten_Risiken!$A:$ZZ,MATCH($B14&amp;"|Fachkräftemangel",Daten_Risiken!$A$1:$A$529,0),$BK$5)="",NA(),INDEX(Daten_Risiken!$A:$ZZ,MATCH($B14&amp;"|Fachkräftemangel",Daten_Risiken!$A$1:$A$529,0),$BK$5)),NA()),"")</f>
        <v>6</v>
      </c>
      <c r="AL14" s="49">
        <f>IFERROR(AJ14-IFERROR(IF(INDEX(Daten_Risiken!$A:$ZZ,MATCH($B14&amp;"|Fachkräftemangel",Daten_Risiken!$A$1:$A$529,0),$BK$6)="",NA(),INDEX(Daten_Risiken!$A:$ZZ,MATCH($B14&amp;"|Fachkräftemangel",Daten_Risiken!$A$1:$A$529,0),$BK$6)),NA()),"")</f>
        <v>2</v>
      </c>
      <c r="AM14" s="50">
        <f>IFERROR(IF(INDEX(Daten_Risiken!$A:$ZZ,MATCH($B14&amp;"|Auslandsnachfrage",Daten_Risiken!$A$1:$A$529,0),$BK$4)="","",INDEX(Daten_Risiken!$A:$ZZ,MATCH($B14&amp;"|Auslandsnachfrage",Daten_Risiken!$A$1:$A$529,0),$BK$4)),"")</f>
        <v>31</v>
      </c>
      <c r="AN14" s="49">
        <f>IFERROR(AM14-IFERROR(IF(INDEX(Daten_Risiken!$A:$ZZ,MATCH($B14&amp;"|Auslandsnachfrage",Daten_Risiken!$A$1:$A$529,0),$BK$5)="",NA(),INDEX(Daten_Risiken!$A:$ZZ,MATCH($B14&amp;"|Auslandsnachfrage",Daten_Risiken!$A$1:$A$529,0),$BK$5)),NA()),"")</f>
        <v>-10</v>
      </c>
      <c r="AO14" s="49">
        <f>IFERROR(AM14-IFERROR(IF(INDEX(Daten_Risiken!$A:$ZZ,MATCH($B14&amp;"|Auslandsnachfrage",Daten_Risiken!$A$1:$A$529,0),$BK$6)="",NA(),INDEX(Daten_Risiken!$A:$ZZ,MATCH($B14&amp;"|Auslandsnachfrage",Daten_Risiken!$A$1:$A$529,0),$BK$6)),NA()),"")</f>
        <v>-14</v>
      </c>
      <c r="AP14" s="50">
        <f>IFERROR(IF(INDEX(Daten_Risiken!$A:$ZZ,MATCH($B14&amp;"|Finanzierung",Daten_Risiken!$A$1:$A$529,0),$BK$4)="","",INDEX(Daten_Risiken!$A:$ZZ,MATCH($B14&amp;"|Finanzierung",Daten_Risiken!$A$1:$A$529,0),$BK$4)),"")</f>
        <v>8</v>
      </c>
      <c r="AQ14" s="49">
        <f>IFERROR(AP14-IFERROR(IF(INDEX(Daten_Risiken!$A:$ZZ,MATCH($B14&amp;"|Finanzierung",Daten_Risiken!$A$1:$A$529,0),$BK$5)="",NA(),INDEX(Daten_Risiken!$A:$ZZ,MATCH($B14&amp;"|Finanzierung",Daten_Risiken!$A$1:$A$529,0),$BK$5)),NA()),"")</f>
        <v>-2</v>
      </c>
      <c r="AR14" s="49">
        <f>IFERROR(AP14-IFERROR(IF(INDEX(Daten_Risiken!$A:$ZZ,MATCH($B14&amp;"|Finanzierung",Daten_Risiken!$A$1:$A$529,0),$BK$6)="",NA(),INDEX(Daten_Risiken!$A:$ZZ,MATCH($B14&amp;"|Finanzierung",Daten_Risiken!$A$1:$A$529,0),$BK$6)),NA()),"")</f>
        <v>-3</v>
      </c>
      <c r="AS14" s="50">
        <f>IFERROR(IF(INDEX(Daten_Risiken!$A:$ZZ,MATCH($B14&amp;"|Wechselkurs",Daten_Risiken!$A$1:$A$529,0),$BK$4)="","",INDEX(Daten_Risiken!$A:$ZZ,MATCH($B14&amp;"|Wechselkurs",Daten_Risiken!$A$1:$A$529,0),$BK$4)),"")</f>
        <v>5</v>
      </c>
      <c r="AT14" s="49">
        <f>IFERROR(AS14-IFERROR(IF(INDEX(Daten_Risiken!$A:$ZZ,MATCH($B14&amp;"|Wechselkurs",Daten_Risiken!$A$1:$A$529,0),$BK$5)="",NA(),INDEX(Daten_Risiken!$A:$ZZ,MATCH($B14&amp;"|Wechselkurs",Daten_Risiken!$A$1:$A$529,0),$BK$5)),NA()),"")</f>
        <v>0</v>
      </c>
      <c r="AU14" s="49">
        <f>IFERROR(AS14-IFERROR(IF(INDEX(Daten_Risiken!$A:$ZZ,MATCH($B14&amp;"|Wechselkurs",Daten_Risiken!$A$1:$A$529,0),$BK$6)="",NA(),INDEX(Daten_Risiken!$A:$ZZ,MATCH($B14&amp;"|Wechselkurs",Daten_Risiken!$A$1:$A$529,0),$BK$6)),NA()),"")</f>
        <v>0</v>
      </c>
      <c r="AV14" s="50">
        <f>IFERROR(IF(INDEX(Daten_Motive!$A:$ZZ,MATCH($B14&amp;"|Ersatzbedarf",Daten_Motive!$A$1:$A$331,0),$BK$7)="","",INDEX(Daten_Motive!$A:$ZZ,MATCH($B14&amp;"|Ersatzbedarf",Daten_Motive!$A$1:$A$331,0),$BK$7)),"")</f>
        <v>68</v>
      </c>
      <c r="AW14" s="49">
        <f>IFERROR(AV14-IFERROR(IF(INDEX(Daten_Motive!$A:$ZZ,MATCH($B14&amp;"|Ersatzbedarf",Daten_Motive!$A$1:$A$331,0),$BK$8)="",NA(),INDEX(Daten_Motive!$A:$ZZ,MATCH($B14&amp;"|Ersatzbedarf",Daten_Motive!$A$1:$A$331,0),$BK$8)),NA()),"")</f>
        <v>1</v>
      </c>
      <c r="AX14" s="49">
        <f>IFERROR(AV14-IFERROR(IF(INDEX(Daten_Motive!$A:$ZZ,MATCH($B14&amp;"|Ersatzbedarf",Daten_Motive!$A$1:$A$331,0),$BK$9)="",NA(),INDEX(Daten_Motive!$A:$ZZ,MATCH($B14&amp;"|Ersatzbedarf",Daten_Motive!$A$1:$A$331,0),$BK$9)),NA()),"")</f>
        <v>6</v>
      </c>
      <c r="AY14" s="50">
        <f>IFERROR(IF(INDEX(Daten_Motive!$A:$ZZ,MATCH($B14&amp;"|Rationalisierung",Daten_Motive!$A$1:$A$331,0),$BK$7)="","",INDEX(Daten_Motive!$A:$ZZ,MATCH($B14&amp;"|Rationalisierung",Daten_Motive!$A$1:$A$331,0),$BK$7)),"")</f>
        <v>37</v>
      </c>
      <c r="AZ14" s="49">
        <f>IFERROR(AY14-IFERROR(IF(INDEX(Daten_Motive!$A:$ZZ,MATCH($B14&amp;"|Rationalisierung",Daten_Motive!$A$1:$A$331,0),$BK$8)="",NA(),INDEX(Daten_Motive!$A:$ZZ,MATCH($B14&amp;"|Rationalisierung",Daten_Motive!$A$1:$A$331,0),$BK$8)),NA()),"")</f>
        <v>-4</v>
      </c>
      <c r="BA14" s="49">
        <f>IFERROR(AY14-IFERROR(IF(INDEX(Daten_Motive!$A:$ZZ,MATCH($B14&amp;"|Rationalisierung",Daten_Motive!$A$1:$A$331,0),$BK$9)="",NA(),INDEX(Daten_Motive!$A:$ZZ,MATCH($B14&amp;"|Rationalisierung",Daten_Motive!$A$1:$A$331,0),$BK$9)),NA()),"")</f>
        <v>-7</v>
      </c>
      <c r="BB14" s="50">
        <f>IFERROR(IF(INDEX(Daten_Motive!$A:$ZZ,MATCH($B14&amp;"|Produktinnovation",Daten_Motive!$A$1:$A$331,0),$BK$7)="","",INDEX(Daten_Motive!$A:$ZZ,MATCH($B14&amp;"|Produktinnovation",Daten_Motive!$A$1:$A$331,0),$BK$7)),"")</f>
        <v>28</v>
      </c>
      <c r="BC14" s="49">
        <f>IFERROR(BB14-IFERROR(IF(INDEX(Daten_Motive!$A:$ZZ,MATCH($B14&amp;"|Produktinnovation",Daten_Motive!$A$1:$A$331,0),$BK$8)="",NA(),INDEX(Daten_Motive!$A:$ZZ,MATCH($B14&amp;"|Produktinnovation",Daten_Motive!$A$1:$A$331,0),$BK$8)),NA()),"")</f>
        <v>-8</v>
      </c>
      <c r="BD14" s="49">
        <f>IFERROR(BB14-IFERROR(IF(INDEX(Daten_Motive!$A:$ZZ,MATCH($B14&amp;"|Produktinnovation",Daten_Motive!$A$1:$A$331,0),$BK$9)="",NA(),INDEX(Daten_Motive!$A:$ZZ,MATCH($B14&amp;"|Produktinnovation",Daten_Motive!$A$1:$A$331,0),$BK$9)),NA()),"")</f>
        <v>-4</v>
      </c>
      <c r="BE14" s="50">
        <f>IFERROR(IF(INDEX(Daten_Motive!$A:$ZZ,MATCH($B14&amp;"|Umweltschutz",Daten_Motive!$A$1:$A$331,0),$BK$7)="","",INDEX(Daten_Motive!$A:$ZZ,MATCH($B14&amp;"|Umweltschutz",Daten_Motive!$A$1:$A$331,0),$BK$7)),"")</f>
        <v>22</v>
      </c>
      <c r="BF14" s="49">
        <f>IFERROR(BE14-IFERROR(IF(INDEX(Daten_Motive!$A:$ZZ,MATCH($B14&amp;"|Umweltschutz",Daten_Motive!$A$1:$A$331,0),$BK$8)="",NA(),INDEX(Daten_Motive!$A:$ZZ,MATCH($B14&amp;"|Umweltschutz",Daten_Motive!$A$1:$A$331,0),$BK$8)),NA()),"")</f>
        <v>4</v>
      </c>
      <c r="BG14" s="49">
        <f>IFERROR(BE14-IFERROR(IF(INDEX(Daten_Motive!$A:$ZZ,MATCH($B14&amp;"|Umweltschutz",Daten_Motive!$A$1:$A$331,0),$BK$9)="",NA(),INDEX(Daten_Motive!$A:$ZZ,MATCH($B14&amp;"|Umweltschutz",Daten_Motive!$A$1:$A$331,0),$BK$9)),NA()),"")</f>
        <v>-1</v>
      </c>
      <c r="BH14" s="50">
        <f>IFERROR(IF(INDEX(Daten_Motive!$A:$ZZ,MATCH($B14&amp;"|Kapazitätserweiterung",Daten_Motive!$A$1:$A$331,0),$BK$7)="","",INDEX(Daten_Motive!$A:$ZZ,MATCH($B14&amp;"|Kapazitätserweiterung",Daten_Motive!$A$1:$A$331,0),$BK$7)),"")</f>
        <v>16</v>
      </c>
      <c r="BI14" s="49">
        <f>IFERROR(BH14-IFERROR(IF(INDEX(Daten_Motive!$A:$ZZ,MATCH($B14&amp;"|Kapazitätserweiterung",Daten_Motive!$A$1:$A$331,0),$BK$8)="",NA(),INDEX(Daten_Motive!$A:$ZZ,MATCH($B14&amp;"|Kapazitätserweiterung",Daten_Motive!$A$1:$A$331,0),$BK$8)),NA()),"")</f>
        <v>-1</v>
      </c>
      <c r="BJ14" s="49">
        <f>IFERROR(BH14-IFERROR(IF(INDEX(Daten_Motive!$A:$ZZ,MATCH($B14&amp;"|Kapazitätserweiterung",Daten_Motive!$A$1:$A$331,0),$BK$9)="",NA(),INDEX(Daten_Motive!$A:$ZZ,MATCH($B14&amp;"|Kapazitätserweiterung",Daten_Motive!$A$1:$A$331,0),$BK$9)),NA()),"")</f>
        <v>-3</v>
      </c>
    </row>
    <row r="15" spans="1:63" x14ac:dyDescent="0.25">
      <c r="A15" s="42">
        <v>7</v>
      </c>
      <c r="B15" s="52" t="str">
        <f>Listen!A8</f>
        <v>Textilgewerbe</v>
      </c>
      <c r="C15" s="44" t="s">
        <v>4501</v>
      </c>
      <c r="D15" s="44" t="str">
        <f>Listen!B8</f>
        <v>Industrie</v>
      </c>
      <c r="E15" s="45">
        <f>IFERROR(IF(INDEX(Daten_Anteile!$A:$ZZ,MATCH($B15&amp;"|Lage|"&amp;$C$3,Daten_Anteile!$A$1:$A$2971,0),5)="","",INDEX(Daten_Anteile!$A:$ZZ,MATCH($B15&amp;"|Lage|"&amp;$C$3,Daten_Anteile!$A$1:$A$2971,0),5)),"")</f>
        <v>143</v>
      </c>
      <c r="F15" s="46">
        <f t="shared" si="0"/>
        <v>95</v>
      </c>
      <c r="G15" s="47">
        <f t="shared" si="1"/>
        <v>6.5</v>
      </c>
      <c r="H15" s="47">
        <f t="shared" si="2"/>
        <v>9.8000000000000007</v>
      </c>
      <c r="I15" s="48">
        <f>IFERROR(IF(INDEX(Daten_Salden!$A:$ZZ,MATCH($B15&amp;"|Lage",Daten_Salden!$A$1:$A$331,0),$BK$1)="","",INDEX(Daten_Salden!$A:$ZZ,MATCH($B15&amp;"|Lage",Daten_Salden!$A$1:$A$331,0),$BK$1)),"")</f>
        <v>-2</v>
      </c>
      <c r="J15" s="49">
        <f>IFERROR(I15-IFERROR(IF(INDEX(Daten_Salden!$A:$ZZ,MATCH($B15&amp;"|Lage",Daten_Salden!$A$1:$A$331,0),$BK$2)="",NA(),INDEX(Daten_Salden!$A:$ZZ,MATCH($B15&amp;"|Lage",Daten_Salden!$A$1:$A$331,0),$BK$2)),NA()),"")</f>
        <v>9</v>
      </c>
      <c r="K15" s="49">
        <f>IFERROR(I15-IFERROR(IF(INDEX(Daten_Salden!$A:$ZZ,MATCH($B15&amp;"|Lage",Daten_Salden!$A$1:$A$331,0),$BK$3)="",NA(),INDEX(Daten_Salden!$A:$ZZ,MATCH($B15&amp;"|Lage",Daten_Salden!$A$1:$A$331,0),$BK$3)),NA()),"")</f>
        <v>24</v>
      </c>
      <c r="L15" s="48">
        <f>IFERROR(IF(INDEX(Daten_Salden!$A:$ZZ,MATCH($B15&amp;"|Erwartungen",Daten_Salden!$A$1:$A$331,0),$BK$1)="","",INDEX(Daten_Salden!$A:$ZZ,MATCH($B15&amp;"|Erwartungen",Daten_Salden!$A$1:$A$331,0),$BK$1)),"")</f>
        <v>-8</v>
      </c>
      <c r="M15" s="49">
        <f>IFERROR(L15-IFERROR(IF(INDEX(Daten_Salden!$A:$ZZ,MATCH($B15&amp;"|Erwartungen",Daten_Salden!$A$1:$A$331,0),$BK$2)="",NA(),INDEX(Daten_Salden!$A:$ZZ,MATCH($B15&amp;"|Erwartungen",Daten_Salden!$A$1:$A$331,0),$BK$2)),NA()),"")</f>
        <v>4</v>
      </c>
      <c r="N15" s="49">
        <f>IFERROR(L15-IFERROR(IF(INDEX(Daten_Salden!$A:$ZZ,MATCH($B15&amp;"|Erwartungen",Daten_Salden!$A$1:$A$331,0),$BK$3)="",NA(),INDEX(Daten_Salden!$A:$ZZ,MATCH($B15&amp;"|Erwartungen",Daten_Salden!$A$1:$A$331,0),$BK$3)),NA()),"")</f>
        <v>-6</v>
      </c>
      <c r="O15" s="48">
        <f>IFERROR(IF(INDEX(Daten_Salden!$A:$ZZ,MATCH($B15&amp;"|Export",Daten_Salden!$A$1:$A$331,0),$BK$1)="","",INDEX(Daten_Salden!$A:$ZZ,MATCH($B15&amp;"|Export",Daten_Salden!$A$1:$A$331,0),$BK$1)),"")</f>
        <v>-3</v>
      </c>
      <c r="P15" s="49">
        <f>IFERROR(O15-IFERROR(IF(INDEX(Daten_Salden!$A:$ZZ,MATCH($B15&amp;"|Export",Daten_Salden!$A$1:$A$331,0),$BK$2)="",NA(),INDEX(Daten_Salden!$A:$ZZ,MATCH($B15&amp;"|Export",Daten_Salden!$A$1:$A$331,0),$BK$2)),NA()),"")</f>
        <v>6</v>
      </c>
      <c r="Q15" s="49">
        <f>IFERROR(O15-IFERROR(IF(INDEX(Daten_Salden!$A:$ZZ,MATCH($B15&amp;"|Export",Daten_Salden!$A$1:$A$331,0),$BK$3)="",NA(),INDEX(Daten_Salden!$A:$ZZ,MATCH($B15&amp;"|Export",Daten_Salden!$A$1:$A$331,0),$BK$3)),NA()),"")</f>
        <v>3</v>
      </c>
      <c r="R15" s="48">
        <f>IFERROR(IF(INDEX(Daten_Salden!$A:$ZZ,MATCH($B15&amp;"|Investitionen",Daten_Salden!$A$1:$A$331,0),$BK$1)="","",INDEX(Daten_Salden!$A:$ZZ,MATCH($B15&amp;"|Investitionen",Daten_Salden!$A$1:$A$331,0),$BK$1)),"")</f>
        <v>-14</v>
      </c>
      <c r="S15" s="49">
        <f>IFERROR(R15-IFERROR(IF(INDEX(Daten_Salden!$A:$ZZ,MATCH($B15&amp;"|Investitionen",Daten_Salden!$A$1:$A$331,0),$BK$2)="",NA(),INDEX(Daten_Salden!$A:$ZZ,MATCH($B15&amp;"|Investitionen",Daten_Salden!$A$1:$A$331,0),$BK$2)),NA()),"")</f>
        <v>14</v>
      </c>
      <c r="T15" s="49">
        <f>IFERROR(R15-IFERROR(IF(INDEX(Daten_Salden!$A:$ZZ,MATCH($B15&amp;"|Investitionen",Daten_Salden!$A$1:$A$331,0),$BK$3)="",NA(),INDEX(Daten_Salden!$A:$ZZ,MATCH($B15&amp;"|Investitionen",Daten_Salden!$A$1:$A$331,0),$BK$3)),NA()),"")</f>
        <v>2</v>
      </c>
      <c r="U15" s="48">
        <f>IFERROR(IF(INDEX(Daten_Salden!$A:$ZZ,MATCH($B15&amp;"|Beschäftigung",Daten_Salden!$A$1:$A$331,0),$BK$1)="","",INDEX(Daten_Salden!$A:$ZZ,MATCH($B15&amp;"|Beschäftigung",Daten_Salden!$A$1:$A$331,0),$BK$1)),"")</f>
        <v>-13</v>
      </c>
      <c r="V15" s="49">
        <f>IFERROR(U15-IFERROR(IF(INDEX(Daten_Salden!$A:$ZZ,MATCH($B15&amp;"|Beschäftigung",Daten_Salden!$A$1:$A$331,0),$BK$2)="",NA(),INDEX(Daten_Salden!$A:$ZZ,MATCH($B15&amp;"|Beschäftigung",Daten_Salden!$A$1:$A$331,0),$BK$2)),NA()),"")</f>
        <v>10</v>
      </c>
      <c r="W15" s="49">
        <f>IFERROR(U15-IFERROR(IF(INDEX(Daten_Salden!$A:$ZZ,MATCH($B15&amp;"|Beschäftigung",Daten_Salden!$A$1:$A$331,0),$BK$3)="",NA(),INDEX(Daten_Salden!$A:$ZZ,MATCH($B15&amp;"|Beschäftigung",Daten_Salden!$A$1:$A$331,0),$BK$3)),NA()),"")</f>
        <v>8</v>
      </c>
      <c r="X15" s="50">
        <f>IFERROR(IF(INDEX(Daten_Risiken!$A:$ZZ,MATCH($B15&amp;"|Energie- und Rohstoffpreise",Daten_Risiken!$A$1:$A$529,0),$BK$4)="","",INDEX(Daten_Risiken!$A:$ZZ,MATCH($B15&amp;"|Energie- und Rohstoffpreise",Daten_Risiken!$A$1:$A$529,0),$BK$4)),"")</f>
        <v>80</v>
      </c>
      <c r="Y15" s="49">
        <f>IFERROR(X15-IFERROR(IF(INDEX(Daten_Risiken!$A:$ZZ,MATCH($B15&amp;"|Energie- und Rohstoffpreise",Daten_Risiken!$A$1:$A$529,0),$BK$5)="",NA(),INDEX(Daten_Risiken!$A:$ZZ,MATCH($B15&amp;"|Energie- und Rohstoffpreise",Daten_Risiken!$A$1:$A$529,0),$BK$5)),NA()),"")</f>
        <v>-12</v>
      </c>
      <c r="Z15" s="49">
        <f>IFERROR(X15-IFERROR(IF(INDEX(Daten_Risiken!$A:$ZZ,MATCH($B15&amp;"|Energie- und Rohstoffpreise",Daten_Risiken!$A$1:$A$529,0),$BK$6)="",NA(),INDEX(Daten_Risiken!$A:$ZZ,MATCH($B15&amp;"|Energie- und Rohstoffpreise",Daten_Risiken!$A$1:$A$529,0),$BK$6)),NA()),"")</f>
        <v>14</v>
      </c>
      <c r="AA15" s="50">
        <f>IFERROR(IF(INDEX(Daten_Risiken!$A:$ZZ,MATCH($B15&amp;"|Arbeitskosten",Daten_Risiken!$A$1:$A$529,0),$BK$4)="","",INDEX(Daten_Risiken!$A:$ZZ,MATCH($B15&amp;"|Arbeitskosten",Daten_Risiken!$A$1:$A$529,0),$BK$4)),"")</f>
        <v>55</v>
      </c>
      <c r="AB15" s="49">
        <f>IFERROR(AA15-IFERROR(IF(INDEX(Daten_Risiken!$A:$ZZ,MATCH($B15&amp;"|Arbeitskosten",Daten_Risiken!$A$1:$A$529,0),$BK$5)="",NA(),INDEX(Daten_Risiken!$A:$ZZ,MATCH($B15&amp;"|Arbeitskosten",Daten_Risiken!$A$1:$A$529,0),$BK$5)),NA()),"")</f>
        <v>-7</v>
      </c>
      <c r="AC15" s="49">
        <f>IFERROR(AA15-IFERROR(IF(INDEX(Daten_Risiken!$A:$ZZ,MATCH($B15&amp;"|Arbeitskosten",Daten_Risiken!$A$1:$A$529,0),$BK$6)="",NA(),INDEX(Daten_Risiken!$A:$ZZ,MATCH($B15&amp;"|Arbeitskosten",Daten_Risiken!$A$1:$A$529,0),$BK$6)),NA()),"")</f>
        <v>-13</v>
      </c>
      <c r="AD15" s="50">
        <f>IFERROR(IF(INDEX(Daten_Risiken!$A:$ZZ,MATCH($B15&amp;"|Inlandsnachfrage",Daten_Risiken!$A$1:$A$529,0),$BK$4)="","",INDEX(Daten_Risiken!$A:$ZZ,MATCH($B15&amp;"|Inlandsnachfrage",Daten_Risiken!$A$1:$A$529,0),$BK$4)),"")</f>
        <v>64</v>
      </c>
      <c r="AE15" s="49">
        <f>IFERROR(AD15-IFERROR(IF(INDEX(Daten_Risiken!$A:$ZZ,MATCH($B15&amp;"|Inlandsnachfrage",Daten_Risiken!$A$1:$A$529,0),$BK$5)="",NA(),INDEX(Daten_Risiken!$A:$ZZ,MATCH($B15&amp;"|Inlandsnachfrage",Daten_Risiken!$A$1:$A$529,0),$BK$5)),NA()),"")</f>
        <v>0</v>
      </c>
      <c r="AF15" s="49">
        <f>IFERROR(AD15-IFERROR(IF(INDEX(Daten_Risiken!$A:$ZZ,MATCH($B15&amp;"|Inlandsnachfrage",Daten_Risiken!$A$1:$A$529,0),$BK$6)="",NA(),INDEX(Daten_Risiken!$A:$ZZ,MATCH($B15&amp;"|Inlandsnachfrage",Daten_Risiken!$A$1:$A$529,0),$BK$6)),NA()),"")</f>
        <v>-8</v>
      </c>
      <c r="AG15" s="50">
        <f>IFERROR(IF(INDEX(Daten_Risiken!$A:$ZZ,MATCH($B15&amp;"|Wirtschaftspolitische Rahmenbedingungen",Daten_Risiken!$A$1:$A$529,0),$BK$4)="","",INDEX(Daten_Risiken!$A:$ZZ,MATCH($B15&amp;"|Wirtschaftspolitische Rahmenbedingungen",Daten_Risiken!$A$1:$A$529,0),$BK$4)),"")</f>
        <v>58</v>
      </c>
      <c r="AH15" s="49">
        <f>IFERROR(AG15-IFERROR(IF(INDEX(Daten_Risiken!$A:$ZZ,MATCH($B15&amp;"|Wirtschaftspolitische Rahmenbedingungen",Daten_Risiken!$A$1:$A$529,0),$BK$5)="",NA(),INDEX(Daten_Risiken!$A:$ZZ,MATCH($B15&amp;"|Wirtschaftspolitische Rahmenbedingungen",Daten_Risiken!$A$1:$A$529,0),$BK$5)),NA()),"")</f>
        <v>1</v>
      </c>
      <c r="AI15" s="49">
        <f>IFERROR(AG15-IFERROR(IF(INDEX(Daten_Risiken!$A:$ZZ,MATCH($B15&amp;"|Wirtschaftspolitische Rahmenbedingungen",Daten_Risiken!$A$1:$A$529,0),$BK$6)="",NA(),INDEX(Daten_Risiken!$A:$ZZ,MATCH($B15&amp;"|Wirtschaftspolitische Rahmenbedingungen",Daten_Risiken!$A$1:$A$529,0),$BK$6)),NA()),"")</f>
        <v>1</v>
      </c>
      <c r="AJ15" s="50">
        <f>IFERROR(IF(INDEX(Daten_Risiken!$A:$ZZ,MATCH($B15&amp;"|Fachkräftemangel",Daten_Risiken!$A$1:$A$529,0),$BK$4)="","",INDEX(Daten_Risiken!$A:$ZZ,MATCH($B15&amp;"|Fachkräftemangel",Daten_Risiken!$A$1:$A$529,0),$BK$4)),"")</f>
        <v>34</v>
      </c>
      <c r="AK15" s="49">
        <f>IFERROR(AJ15-IFERROR(IF(INDEX(Daten_Risiken!$A:$ZZ,MATCH($B15&amp;"|Fachkräftemangel",Daten_Risiken!$A$1:$A$529,0),$BK$5)="",NA(),INDEX(Daten_Risiken!$A:$ZZ,MATCH($B15&amp;"|Fachkräftemangel",Daten_Risiken!$A$1:$A$529,0),$BK$5)),NA()),"")</f>
        <v>0</v>
      </c>
      <c r="AL15" s="49">
        <f>IFERROR(AJ15-IFERROR(IF(INDEX(Daten_Risiken!$A:$ZZ,MATCH($B15&amp;"|Fachkräftemangel",Daten_Risiken!$A$1:$A$529,0),$BK$6)="",NA(),INDEX(Daten_Risiken!$A:$ZZ,MATCH($B15&amp;"|Fachkräftemangel",Daten_Risiken!$A$1:$A$529,0),$BK$6)),NA()),"")</f>
        <v>1</v>
      </c>
      <c r="AM15" s="50">
        <f>IFERROR(IF(INDEX(Daten_Risiken!$A:$ZZ,MATCH($B15&amp;"|Auslandsnachfrage",Daten_Risiken!$A$1:$A$529,0),$BK$4)="","",INDEX(Daten_Risiken!$A:$ZZ,MATCH($B15&amp;"|Auslandsnachfrage",Daten_Risiken!$A$1:$A$529,0),$BK$4)),"")</f>
        <v>33</v>
      </c>
      <c r="AN15" s="49">
        <f>IFERROR(AM15-IFERROR(IF(INDEX(Daten_Risiken!$A:$ZZ,MATCH($B15&amp;"|Auslandsnachfrage",Daten_Risiken!$A$1:$A$529,0),$BK$5)="",NA(),INDEX(Daten_Risiken!$A:$ZZ,MATCH($B15&amp;"|Auslandsnachfrage",Daten_Risiken!$A$1:$A$529,0),$BK$5)),NA()),"")</f>
        <v>-9</v>
      </c>
      <c r="AO15" s="49">
        <f>IFERROR(AM15-IFERROR(IF(INDEX(Daten_Risiken!$A:$ZZ,MATCH($B15&amp;"|Auslandsnachfrage",Daten_Risiken!$A$1:$A$529,0),$BK$6)="",NA(),INDEX(Daten_Risiken!$A:$ZZ,MATCH($B15&amp;"|Auslandsnachfrage",Daten_Risiken!$A$1:$A$529,0),$BK$6)),NA()),"")</f>
        <v>-15</v>
      </c>
      <c r="AP15" s="50">
        <f>IFERROR(IF(INDEX(Daten_Risiken!$A:$ZZ,MATCH($B15&amp;"|Finanzierung",Daten_Risiken!$A$1:$A$529,0),$BK$4)="","",INDEX(Daten_Risiken!$A:$ZZ,MATCH($B15&amp;"|Finanzierung",Daten_Risiken!$A$1:$A$529,0),$BK$4)),"")</f>
        <v>7</v>
      </c>
      <c r="AQ15" s="49">
        <f>IFERROR(AP15-IFERROR(IF(INDEX(Daten_Risiken!$A:$ZZ,MATCH($B15&amp;"|Finanzierung",Daten_Risiken!$A$1:$A$529,0),$BK$5)="",NA(),INDEX(Daten_Risiken!$A:$ZZ,MATCH($B15&amp;"|Finanzierung",Daten_Risiken!$A$1:$A$529,0),$BK$5)),NA()),"")</f>
        <v>-1</v>
      </c>
      <c r="AR15" s="49">
        <f>IFERROR(AP15-IFERROR(IF(INDEX(Daten_Risiken!$A:$ZZ,MATCH($B15&amp;"|Finanzierung",Daten_Risiken!$A$1:$A$529,0),$BK$6)="",NA(),INDEX(Daten_Risiken!$A:$ZZ,MATCH($B15&amp;"|Finanzierung",Daten_Risiken!$A$1:$A$529,0),$BK$6)),NA()),"")</f>
        <v>-1</v>
      </c>
      <c r="AS15" s="50">
        <f>IFERROR(IF(INDEX(Daten_Risiken!$A:$ZZ,MATCH($B15&amp;"|Wechselkurs",Daten_Risiken!$A$1:$A$529,0),$BK$4)="","",INDEX(Daten_Risiken!$A:$ZZ,MATCH($B15&amp;"|Wechselkurs",Daten_Risiken!$A$1:$A$529,0),$BK$4)),"")</f>
        <v>2</v>
      </c>
      <c r="AT15" s="49">
        <f>IFERROR(AS15-IFERROR(IF(INDEX(Daten_Risiken!$A:$ZZ,MATCH($B15&amp;"|Wechselkurs",Daten_Risiken!$A$1:$A$529,0),$BK$5)="",NA(),INDEX(Daten_Risiken!$A:$ZZ,MATCH($B15&amp;"|Wechselkurs",Daten_Risiken!$A$1:$A$529,0),$BK$5)),NA()),"")</f>
        <v>-3</v>
      </c>
      <c r="AU15" s="49">
        <f>IFERROR(AS15-IFERROR(IF(INDEX(Daten_Risiken!$A:$ZZ,MATCH($B15&amp;"|Wechselkurs",Daten_Risiken!$A$1:$A$529,0),$BK$6)="",NA(),INDEX(Daten_Risiken!$A:$ZZ,MATCH($B15&amp;"|Wechselkurs",Daten_Risiken!$A$1:$A$529,0),$BK$6)),NA()),"")</f>
        <v>-1</v>
      </c>
      <c r="AV15" s="50">
        <f>IFERROR(IF(INDEX(Daten_Motive!$A:$ZZ,MATCH($B15&amp;"|Ersatzbedarf",Daten_Motive!$A$1:$A$331,0),$BK$7)="","",INDEX(Daten_Motive!$A:$ZZ,MATCH($B15&amp;"|Ersatzbedarf",Daten_Motive!$A$1:$A$331,0),$BK$7)),"")</f>
        <v>66</v>
      </c>
      <c r="AW15" s="49">
        <f>IFERROR(AV15-IFERROR(IF(INDEX(Daten_Motive!$A:$ZZ,MATCH($B15&amp;"|Ersatzbedarf",Daten_Motive!$A$1:$A$331,0),$BK$8)="",NA(),INDEX(Daten_Motive!$A:$ZZ,MATCH($B15&amp;"|Ersatzbedarf",Daten_Motive!$A$1:$A$331,0),$BK$8)),NA()),"")</f>
        <v>1</v>
      </c>
      <c r="AX15" s="49">
        <f>IFERROR(AV15-IFERROR(IF(INDEX(Daten_Motive!$A:$ZZ,MATCH($B15&amp;"|Ersatzbedarf",Daten_Motive!$A$1:$A$331,0),$BK$9)="",NA(),INDEX(Daten_Motive!$A:$ZZ,MATCH($B15&amp;"|Ersatzbedarf",Daten_Motive!$A$1:$A$331,0),$BK$9)),NA()),"")</f>
        <v>4</v>
      </c>
      <c r="AY15" s="50">
        <f>IFERROR(IF(INDEX(Daten_Motive!$A:$ZZ,MATCH($B15&amp;"|Rationalisierung",Daten_Motive!$A$1:$A$331,0),$BK$7)="","",INDEX(Daten_Motive!$A:$ZZ,MATCH($B15&amp;"|Rationalisierung",Daten_Motive!$A$1:$A$331,0),$BK$7)),"")</f>
        <v>37</v>
      </c>
      <c r="AZ15" s="49">
        <f>IFERROR(AY15-IFERROR(IF(INDEX(Daten_Motive!$A:$ZZ,MATCH($B15&amp;"|Rationalisierung",Daten_Motive!$A$1:$A$331,0),$BK$8)="",NA(),INDEX(Daten_Motive!$A:$ZZ,MATCH($B15&amp;"|Rationalisierung",Daten_Motive!$A$1:$A$331,0),$BK$8)),NA()),"")</f>
        <v>-1</v>
      </c>
      <c r="BA15" s="49">
        <f>IFERROR(AY15-IFERROR(IF(INDEX(Daten_Motive!$A:$ZZ,MATCH($B15&amp;"|Rationalisierung",Daten_Motive!$A$1:$A$331,0),$BK$9)="",NA(),INDEX(Daten_Motive!$A:$ZZ,MATCH($B15&amp;"|Rationalisierung",Daten_Motive!$A$1:$A$331,0),$BK$9)),NA()),"")</f>
        <v>-6</v>
      </c>
      <c r="BB15" s="50">
        <f>IFERROR(IF(INDEX(Daten_Motive!$A:$ZZ,MATCH($B15&amp;"|Produktinnovation",Daten_Motive!$A$1:$A$331,0),$BK$7)="","",INDEX(Daten_Motive!$A:$ZZ,MATCH($B15&amp;"|Produktinnovation",Daten_Motive!$A$1:$A$331,0),$BK$7)),"")</f>
        <v>30</v>
      </c>
      <c r="BC15" s="49">
        <f>IFERROR(BB15-IFERROR(IF(INDEX(Daten_Motive!$A:$ZZ,MATCH($B15&amp;"|Produktinnovation",Daten_Motive!$A$1:$A$331,0),$BK$8)="",NA(),INDEX(Daten_Motive!$A:$ZZ,MATCH($B15&amp;"|Produktinnovation",Daten_Motive!$A$1:$A$331,0),$BK$8)),NA()),"")</f>
        <v>-3</v>
      </c>
      <c r="BD15" s="49">
        <f>IFERROR(BB15-IFERROR(IF(INDEX(Daten_Motive!$A:$ZZ,MATCH($B15&amp;"|Produktinnovation",Daten_Motive!$A$1:$A$331,0),$BK$9)="",NA(),INDEX(Daten_Motive!$A:$ZZ,MATCH($B15&amp;"|Produktinnovation",Daten_Motive!$A$1:$A$331,0),$BK$9)),NA()),"")</f>
        <v>2</v>
      </c>
      <c r="BE15" s="50">
        <f>IFERROR(IF(INDEX(Daten_Motive!$A:$ZZ,MATCH($B15&amp;"|Umweltschutz",Daten_Motive!$A$1:$A$331,0),$BK$7)="","",INDEX(Daten_Motive!$A:$ZZ,MATCH($B15&amp;"|Umweltschutz",Daten_Motive!$A$1:$A$331,0),$BK$7)),"")</f>
        <v>24</v>
      </c>
      <c r="BF15" s="49">
        <f>IFERROR(BE15-IFERROR(IF(INDEX(Daten_Motive!$A:$ZZ,MATCH($B15&amp;"|Umweltschutz",Daten_Motive!$A$1:$A$331,0),$BK$8)="",NA(),INDEX(Daten_Motive!$A:$ZZ,MATCH($B15&amp;"|Umweltschutz",Daten_Motive!$A$1:$A$331,0),$BK$8)),NA()),"")</f>
        <v>1</v>
      </c>
      <c r="BG15" s="49">
        <f>IFERROR(BE15-IFERROR(IF(INDEX(Daten_Motive!$A:$ZZ,MATCH($B15&amp;"|Umweltschutz",Daten_Motive!$A$1:$A$331,0),$BK$9)="",NA(),INDEX(Daten_Motive!$A:$ZZ,MATCH($B15&amp;"|Umweltschutz",Daten_Motive!$A$1:$A$331,0),$BK$9)),NA()),"")</f>
        <v>0</v>
      </c>
      <c r="BH15" s="50">
        <f>IFERROR(IF(INDEX(Daten_Motive!$A:$ZZ,MATCH($B15&amp;"|Kapazitätserweiterung",Daten_Motive!$A$1:$A$331,0),$BK$7)="","",INDEX(Daten_Motive!$A:$ZZ,MATCH($B15&amp;"|Kapazitätserweiterung",Daten_Motive!$A$1:$A$331,0),$BK$7)),"")</f>
        <v>19</v>
      </c>
      <c r="BI15" s="49">
        <f>IFERROR(BH15-IFERROR(IF(INDEX(Daten_Motive!$A:$ZZ,MATCH($B15&amp;"|Kapazitätserweiterung",Daten_Motive!$A$1:$A$331,0),$BK$8)="",NA(),INDEX(Daten_Motive!$A:$ZZ,MATCH($B15&amp;"|Kapazitätserweiterung",Daten_Motive!$A$1:$A$331,0),$BK$8)),NA()),"")</f>
        <v>0</v>
      </c>
      <c r="BJ15" s="49">
        <f>IFERROR(BH15-IFERROR(IF(INDEX(Daten_Motive!$A:$ZZ,MATCH($B15&amp;"|Kapazitätserweiterung",Daten_Motive!$A$1:$A$331,0),$BK$9)="",NA(),INDEX(Daten_Motive!$A:$ZZ,MATCH($B15&amp;"|Kapazitätserweiterung",Daten_Motive!$A$1:$A$331,0),$BK$9)),NA()),"")</f>
        <v>-2</v>
      </c>
    </row>
    <row r="16" spans="1:63" x14ac:dyDescent="0.25">
      <c r="A16" s="42">
        <v>8</v>
      </c>
      <c r="B16" s="52" t="str">
        <f>Listen!A9</f>
        <v>Holzgewerbe (ohne Möbel)</v>
      </c>
      <c r="C16" s="44" t="s">
        <v>4502</v>
      </c>
      <c r="D16" s="44" t="str">
        <f>Listen!B9</f>
        <v>Industrie</v>
      </c>
      <c r="E16" s="45">
        <f>IFERROR(IF(INDEX(Daten_Anteile!$A:$ZZ,MATCH($B16&amp;"|Lage|"&amp;$C$3,Daten_Anteile!$A$1:$A$2971,0),5)="","",INDEX(Daten_Anteile!$A:$ZZ,MATCH($B16&amp;"|Lage|"&amp;$C$3,Daten_Anteile!$A$1:$A$2971,0),5)),"")</f>
        <v>156</v>
      </c>
      <c r="F16" s="46">
        <f t="shared" si="0"/>
        <v>80.8</v>
      </c>
      <c r="G16" s="47">
        <f t="shared" si="1"/>
        <v>1</v>
      </c>
      <c r="H16" s="47">
        <f t="shared" si="2"/>
        <v>-3.7</v>
      </c>
      <c r="I16" s="48">
        <f>IFERROR(IF(INDEX(Daten_Salden!$A:$ZZ,MATCH($B16&amp;"|Lage",Daten_Salden!$A$1:$A$331,0),$BK$1)="","",INDEX(Daten_Salden!$A:$ZZ,MATCH($B16&amp;"|Lage",Daten_Salden!$A$1:$A$331,0),$BK$1)),"")</f>
        <v>-14</v>
      </c>
      <c r="J16" s="49">
        <f>IFERROR(I16-IFERROR(IF(INDEX(Daten_Salden!$A:$ZZ,MATCH($B16&amp;"|Lage",Daten_Salden!$A$1:$A$331,0),$BK$2)="",NA(),INDEX(Daten_Salden!$A:$ZZ,MATCH($B16&amp;"|Lage",Daten_Salden!$A$1:$A$331,0),$BK$2)),NA()),"")</f>
        <v>1</v>
      </c>
      <c r="K16" s="49">
        <f>IFERROR(I16-IFERROR(IF(INDEX(Daten_Salden!$A:$ZZ,MATCH($B16&amp;"|Lage",Daten_Salden!$A$1:$A$331,0),$BK$3)="",NA(),INDEX(Daten_Salden!$A:$ZZ,MATCH($B16&amp;"|Lage",Daten_Salden!$A$1:$A$331,0),$BK$3)),NA()),"")</f>
        <v>4</v>
      </c>
      <c r="L16" s="48">
        <f>IFERROR(IF(INDEX(Daten_Salden!$A:$ZZ,MATCH($B16&amp;"|Erwartungen",Daten_Salden!$A$1:$A$331,0),$BK$1)="","",INDEX(Daten_Salden!$A:$ZZ,MATCH($B16&amp;"|Erwartungen",Daten_Salden!$A$1:$A$331,0),$BK$1)),"")</f>
        <v>-24</v>
      </c>
      <c r="M16" s="49">
        <f>IFERROR(L16-IFERROR(IF(INDEX(Daten_Salden!$A:$ZZ,MATCH($B16&amp;"|Erwartungen",Daten_Salden!$A$1:$A$331,0),$BK$2)="",NA(),INDEX(Daten_Salden!$A:$ZZ,MATCH($B16&amp;"|Erwartungen",Daten_Salden!$A$1:$A$331,0),$BK$2)),NA()),"")</f>
        <v>1</v>
      </c>
      <c r="N16" s="49">
        <f>IFERROR(L16-IFERROR(IF(INDEX(Daten_Salden!$A:$ZZ,MATCH($B16&amp;"|Erwartungen",Daten_Salden!$A$1:$A$331,0),$BK$3)="",NA(),INDEX(Daten_Salden!$A:$ZZ,MATCH($B16&amp;"|Erwartungen",Daten_Salden!$A$1:$A$331,0),$BK$3)),NA()),"")</f>
        <v>-11</v>
      </c>
      <c r="O16" s="48">
        <f>IFERROR(IF(INDEX(Daten_Salden!$A:$ZZ,MATCH($B16&amp;"|Export",Daten_Salden!$A$1:$A$331,0),$BK$1)="","",INDEX(Daten_Salden!$A:$ZZ,MATCH($B16&amp;"|Export",Daten_Salden!$A$1:$A$331,0),$BK$1)),"")</f>
        <v>-2</v>
      </c>
      <c r="P16" s="49">
        <f>IFERROR(O16-IFERROR(IF(INDEX(Daten_Salden!$A:$ZZ,MATCH($B16&amp;"|Export",Daten_Salden!$A$1:$A$331,0),$BK$2)="",NA(),INDEX(Daten_Salden!$A:$ZZ,MATCH($B16&amp;"|Export",Daten_Salden!$A$1:$A$331,0),$BK$2)),NA()),"")</f>
        <v>20</v>
      </c>
      <c r="Q16" s="49">
        <f>IFERROR(O16-IFERROR(IF(INDEX(Daten_Salden!$A:$ZZ,MATCH($B16&amp;"|Export",Daten_Salden!$A$1:$A$331,0),$BK$3)="",NA(),INDEX(Daten_Salden!$A:$ZZ,MATCH($B16&amp;"|Export",Daten_Salden!$A$1:$A$331,0),$BK$3)),NA()),"")</f>
        <v>0</v>
      </c>
      <c r="R16" s="48">
        <f>IFERROR(IF(INDEX(Daten_Salden!$A:$ZZ,MATCH($B16&amp;"|Investitionen",Daten_Salden!$A$1:$A$331,0),$BK$1)="","",INDEX(Daten_Salden!$A:$ZZ,MATCH($B16&amp;"|Investitionen",Daten_Salden!$A$1:$A$331,0),$BK$1)),"")</f>
        <v>-16</v>
      </c>
      <c r="S16" s="49">
        <f>IFERROR(R16-IFERROR(IF(INDEX(Daten_Salden!$A:$ZZ,MATCH($B16&amp;"|Investitionen",Daten_Salden!$A$1:$A$331,0),$BK$2)="",NA(),INDEX(Daten_Salden!$A:$ZZ,MATCH($B16&amp;"|Investitionen",Daten_Salden!$A$1:$A$331,0),$BK$2)),NA()),"")</f>
        <v>20</v>
      </c>
      <c r="T16" s="49">
        <f>IFERROR(R16-IFERROR(IF(INDEX(Daten_Salden!$A:$ZZ,MATCH($B16&amp;"|Investitionen",Daten_Salden!$A$1:$A$331,0),$BK$3)="",NA(),INDEX(Daten_Salden!$A:$ZZ,MATCH($B16&amp;"|Investitionen",Daten_Salden!$A$1:$A$331,0),$BK$3)),NA()),"")</f>
        <v>-5</v>
      </c>
      <c r="U16" s="48">
        <f>IFERROR(IF(INDEX(Daten_Salden!$A:$ZZ,MATCH($B16&amp;"|Beschäftigung",Daten_Salden!$A$1:$A$331,0),$BK$1)="","",INDEX(Daten_Salden!$A:$ZZ,MATCH($B16&amp;"|Beschäftigung",Daten_Salden!$A$1:$A$331,0),$BK$1)),"")</f>
        <v>-23</v>
      </c>
      <c r="V16" s="49">
        <f>IFERROR(U16-IFERROR(IF(INDEX(Daten_Salden!$A:$ZZ,MATCH($B16&amp;"|Beschäftigung",Daten_Salden!$A$1:$A$331,0),$BK$2)="",NA(),INDEX(Daten_Salden!$A:$ZZ,MATCH($B16&amp;"|Beschäftigung",Daten_Salden!$A$1:$A$331,0),$BK$2)),NA()),"")</f>
        <v>3</v>
      </c>
      <c r="W16" s="49">
        <f>IFERROR(U16-IFERROR(IF(INDEX(Daten_Salden!$A:$ZZ,MATCH($B16&amp;"|Beschäftigung",Daten_Salden!$A$1:$A$331,0),$BK$3)="",NA(),INDEX(Daten_Salden!$A:$ZZ,MATCH($B16&amp;"|Beschäftigung",Daten_Salden!$A$1:$A$331,0),$BK$3)),NA()),"")</f>
        <v>-2</v>
      </c>
      <c r="X16" s="50">
        <f>IFERROR(IF(INDEX(Daten_Risiken!$A:$ZZ,MATCH($B16&amp;"|Energie- und Rohstoffpreise",Daten_Risiken!$A$1:$A$529,0),$BK$4)="","",INDEX(Daten_Risiken!$A:$ZZ,MATCH($B16&amp;"|Energie- und Rohstoffpreise",Daten_Risiken!$A$1:$A$529,0),$BK$4)),"")</f>
        <v>81</v>
      </c>
      <c r="Y16" s="49">
        <f>IFERROR(X16-IFERROR(IF(INDEX(Daten_Risiken!$A:$ZZ,MATCH($B16&amp;"|Energie- und Rohstoffpreise",Daten_Risiken!$A$1:$A$529,0),$BK$5)="",NA(),INDEX(Daten_Risiken!$A:$ZZ,MATCH($B16&amp;"|Energie- und Rohstoffpreise",Daten_Risiken!$A$1:$A$529,0),$BK$5)),NA()),"")</f>
        <v>-3</v>
      </c>
      <c r="Z16" s="49">
        <f>IFERROR(X16-IFERROR(IF(INDEX(Daten_Risiken!$A:$ZZ,MATCH($B16&amp;"|Energie- und Rohstoffpreise",Daten_Risiken!$A$1:$A$529,0),$BK$6)="",NA(),INDEX(Daten_Risiken!$A:$ZZ,MATCH($B16&amp;"|Energie- und Rohstoffpreise",Daten_Risiken!$A$1:$A$529,0),$BK$6)),NA()),"")</f>
        <v>14</v>
      </c>
      <c r="AA16" s="50">
        <f>IFERROR(IF(INDEX(Daten_Risiken!$A:$ZZ,MATCH($B16&amp;"|Arbeitskosten",Daten_Risiken!$A$1:$A$529,0),$BK$4)="","",INDEX(Daten_Risiken!$A:$ZZ,MATCH($B16&amp;"|Arbeitskosten",Daten_Risiken!$A$1:$A$529,0),$BK$4)),"")</f>
        <v>59</v>
      </c>
      <c r="AB16" s="49">
        <f>IFERROR(AA16-IFERROR(IF(INDEX(Daten_Risiken!$A:$ZZ,MATCH($B16&amp;"|Arbeitskosten",Daten_Risiken!$A$1:$A$529,0),$BK$5)="",NA(),INDEX(Daten_Risiken!$A:$ZZ,MATCH($B16&amp;"|Arbeitskosten",Daten_Risiken!$A$1:$A$529,0),$BK$5)),NA()),"")</f>
        <v>-1</v>
      </c>
      <c r="AC16" s="49">
        <f>IFERROR(AA16-IFERROR(IF(INDEX(Daten_Risiken!$A:$ZZ,MATCH($B16&amp;"|Arbeitskosten",Daten_Risiken!$A$1:$A$529,0),$BK$6)="",NA(),INDEX(Daten_Risiken!$A:$ZZ,MATCH($B16&amp;"|Arbeitskosten",Daten_Risiken!$A$1:$A$529,0),$BK$6)),NA()),"")</f>
        <v>1</v>
      </c>
      <c r="AD16" s="50">
        <f>IFERROR(IF(INDEX(Daten_Risiken!$A:$ZZ,MATCH($B16&amp;"|Inlandsnachfrage",Daten_Risiken!$A$1:$A$529,0),$BK$4)="","",INDEX(Daten_Risiken!$A:$ZZ,MATCH($B16&amp;"|Inlandsnachfrage",Daten_Risiken!$A$1:$A$529,0),$BK$4)),"")</f>
        <v>62</v>
      </c>
      <c r="AE16" s="49">
        <f>IFERROR(AD16-IFERROR(IF(INDEX(Daten_Risiken!$A:$ZZ,MATCH($B16&amp;"|Inlandsnachfrage",Daten_Risiken!$A$1:$A$529,0),$BK$5)="",NA(),INDEX(Daten_Risiken!$A:$ZZ,MATCH($B16&amp;"|Inlandsnachfrage",Daten_Risiken!$A$1:$A$529,0),$BK$5)),NA()),"")</f>
        <v>-1</v>
      </c>
      <c r="AF16" s="49">
        <f>IFERROR(AD16-IFERROR(IF(INDEX(Daten_Risiken!$A:$ZZ,MATCH($B16&amp;"|Inlandsnachfrage",Daten_Risiken!$A$1:$A$529,0),$BK$6)="",NA(),INDEX(Daten_Risiken!$A:$ZZ,MATCH($B16&amp;"|Inlandsnachfrage",Daten_Risiken!$A$1:$A$529,0),$BK$6)),NA()),"")</f>
        <v>-6</v>
      </c>
      <c r="AG16" s="50">
        <f>IFERROR(IF(INDEX(Daten_Risiken!$A:$ZZ,MATCH($B16&amp;"|Wirtschaftspolitische Rahmenbedingungen",Daten_Risiken!$A$1:$A$529,0),$BK$4)="","",INDEX(Daten_Risiken!$A:$ZZ,MATCH($B16&amp;"|Wirtschaftspolitische Rahmenbedingungen",Daten_Risiken!$A$1:$A$529,0),$BK$4)),"")</f>
        <v>58</v>
      </c>
      <c r="AH16" s="49">
        <f>IFERROR(AG16-IFERROR(IF(INDEX(Daten_Risiken!$A:$ZZ,MATCH($B16&amp;"|Wirtschaftspolitische Rahmenbedingungen",Daten_Risiken!$A$1:$A$529,0),$BK$5)="",NA(),INDEX(Daten_Risiken!$A:$ZZ,MATCH($B16&amp;"|Wirtschaftspolitische Rahmenbedingungen",Daten_Risiken!$A$1:$A$529,0),$BK$5)),NA()),"")</f>
        <v>9</v>
      </c>
      <c r="AI16" s="49">
        <f>IFERROR(AG16-IFERROR(IF(INDEX(Daten_Risiken!$A:$ZZ,MATCH($B16&amp;"|Wirtschaftspolitische Rahmenbedingungen",Daten_Risiken!$A$1:$A$529,0),$BK$6)="",NA(),INDEX(Daten_Risiken!$A:$ZZ,MATCH($B16&amp;"|Wirtschaftspolitische Rahmenbedingungen",Daten_Risiken!$A$1:$A$529,0),$BK$6)),NA()),"")</f>
        <v>-3</v>
      </c>
      <c r="AJ16" s="50">
        <f>IFERROR(IF(INDEX(Daten_Risiken!$A:$ZZ,MATCH($B16&amp;"|Fachkräftemangel",Daten_Risiken!$A$1:$A$529,0),$BK$4)="","",INDEX(Daten_Risiken!$A:$ZZ,MATCH($B16&amp;"|Fachkräftemangel",Daten_Risiken!$A$1:$A$529,0),$BK$4)),"")</f>
        <v>34</v>
      </c>
      <c r="AK16" s="49">
        <f>IFERROR(AJ16-IFERROR(IF(INDEX(Daten_Risiken!$A:$ZZ,MATCH($B16&amp;"|Fachkräftemangel",Daten_Risiken!$A$1:$A$529,0),$BK$5)="",NA(),INDEX(Daten_Risiken!$A:$ZZ,MATCH($B16&amp;"|Fachkräftemangel",Daten_Risiken!$A$1:$A$529,0),$BK$5)),NA()),"")</f>
        <v>0</v>
      </c>
      <c r="AL16" s="49">
        <f>IFERROR(AJ16-IFERROR(IF(INDEX(Daten_Risiken!$A:$ZZ,MATCH($B16&amp;"|Fachkräftemangel",Daten_Risiken!$A$1:$A$529,0),$BK$6)="",NA(),INDEX(Daten_Risiken!$A:$ZZ,MATCH($B16&amp;"|Fachkräftemangel",Daten_Risiken!$A$1:$A$529,0),$BK$6)),NA()),"")</f>
        <v>-11</v>
      </c>
      <c r="AM16" s="50">
        <f>IFERROR(IF(INDEX(Daten_Risiken!$A:$ZZ,MATCH($B16&amp;"|Auslandsnachfrage",Daten_Risiken!$A$1:$A$529,0),$BK$4)="","",INDEX(Daten_Risiken!$A:$ZZ,MATCH($B16&amp;"|Auslandsnachfrage",Daten_Risiken!$A$1:$A$529,0),$BK$4)),"")</f>
        <v>22</v>
      </c>
      <c r="AN16" s="49">
        <f>IFERROR(AM16-IFERROR(IF(INDEX(Daten_Risiken!$A:$ZZ,MATCH($B16&amp;"|Auslandsnachfrage",Daten_Risiken!$A$1:$A$529,0),$BK$5)="",NA(),INDEX(Daten_Risiken!$A:$ZZ,MATCH($B16&amp;"|Auslandsnachfrage",Daten_Risiken!$A$1:$A$529,0),$BK$5)),NA()),"")</f>
        <v>-2</v>
      </c>
      <c r="AO16" s="49">
        <f>IFERROR(AM16-IFERROR(IF(INDEX(Daten_Risiken!$A:$ZZ,MATCH($B16&amp;"|Auslandsnachfrage",Daten_Risiken!$A$1:$A$529,0),$BK$6)="",NA(),INDEX(Daten_Risiken!$A:$ZZ,MATCH($B16&amp;"|Auslandsnachfrage",Daten_Risiken!$A$1:$A$529,0),$BK$6)),NA()),"")</f>
        <v>1</v>
      </c>
      <c r="AP16" s="50">
        <f>IFERROR(IF(INDEX(Daten_Risiken!$A:$ZZ,MATCH($B16&amp;"|Finanzierung",Daten_Risiken!$A$1:$A$529,0),$BK$4)="","",INDEX(Daten_Risiken!$A:$ZZ,MATCH($B16&amp;"|Finanzierung",Daten_Risiken!$A$1:$A$529,0),$BK$4)),"")</f>
        <v>12</v>
      </c>
      <c r="AQ16" s="49">
        <f>IFERROR(AP16-IFERROR(IF(INDEX(Daten_Risiken!$A:$ZZ,MATCH($B16&amp;"|Finanzierung",Daten_Risiken!$A$1:$A$529,0),$BK$5)="",NA(),INDEX(Daten_Risiken!$A:$ZZ,MATCH($B16&amp;"|Finanzierung",Daten_Risiken!$A$1:$A$529,0),$BK$5)),NA()),"")</f>
        <v>0</v>
      </c>
      <c r="AR16" s="49">
        <f>IFERROR(AP16-IFERROR(IF(INDEX(Daten_Risiken!$A:$ZZ,MATCH($B16&amp;"|Finanzierung",Daten_Risiken!$A$1:$A$529,0),$BK$6)="",NA(),INDEX(Daten_Risiken!$A:$ZZ,MATCH($B16&amp;"|Finanzierung",Daten_Risiken!$A$1:$A$529,0),$BK$6)),NA()),"")</f>
        <v>2</v>
      </c>
      <c r="AS16" s="50">
        <f>IFERROR(IF(INDEX(Daten_Risiken!$A:$ZZ,MATCH($B16&amp;"|Wechselkurs",Daten_Risiken!$A$1:$A$529,0),$BK$4)="","",INDEX(Daten_Risiken!$A:$ZZ,MATCH($B16&amp;"|Wechselkurs",Daten_Risiken!$A$1:$A$529,0),$BK$4)),"")</f>
        <v>4</v>
      </c>
      <c r="AT16" s="49">
        <f>IFERROR(AS16-IFERROR(IF(INDEX(Daten_Risiken!$A:$ZZ,MATCH($B16&amp;"|Wechselkurs",Daten_Risiken!$A$1:$A$529,0),$BK$5)="",NA(),INDEX(Daten_Risiken!$A:$ZZ,MATCH($B16&amp;"|Wechselkurs",Daten_Risiken!$A$1:$A$529,0),$BK$5)),NA()),"")</f>
        <v>0</v>
      </c>
      <c r="AU16" s="49">
        <f>IFERROR(AS16-IFERROR(IF(INDEX(Daten_Risiken!$A:$ZZ,MATCH($B16&amp;"|Wechselkurs",Daten_Risiken!$A$1:$A$529,0),$BK$6)="",NA(),INDEX(Daten_Risiken!$A:$ZZ,MATCH($B16&amp;"|Wechselkurs",Daten_Risiken!$A$1:$A$529,0),$BK$6)),NA()),"")</f>
        <v>2</v>
      </c>
      <c r="AV16" s="50">
        <f>IFERROR(IF(INDEX(Daten_Motive!$A:$ZZ,MATCH($B16&amp;"|Ersatzbedarf",Daten_Motive!$A$1:$A$331,0),$BK$7)="","",INDEX(Daten_Motive!$A:$ZZ,MATCH($B16&amp;"|Ersatzbedarf",Daten_Motive!$A$1:$A$331,0),$BK$7)),"")</f>
        <v>74</v>
      </c>
      <c r="AW16" s="49">
        <f>IFERROR(AV16-IFERROR(IF(INDEX(Daten_Motive!$A:$ZZ,MATCH($B16&amp;"|Ersatzbedarf",Daten_Motive!$A$1:$A$331,0),$BK$8)="",NA(),INDEX(Daten_Motive!$A:$ZZ,MATCH($B16&amp;"|Ersatzbedarf",Daten_Motive!$A$1:$A$331,0),$BK$8)),NA()),"")</f>
        <v>0</v>
      </c>
      <c r="AX16" s="49">
        <f>IFERROR(AV16-IFERROR(IF(INDEX(Daten_Motive!$A:$ZZ,MATCH($B16&amp;"|Ersatzbedarf",Daten_Motive!$A$1:$A$331,0),$BK$9)="",NA(),INDEX(Daten_Motive!$A:$ZZ,MATCH($B16&amp;"|Ersatzbedarf",Daten_Motive!$A$1:$A$331,0),$BK$9)),NA()),"")</f>
        <v>-2</v>
      </c>
      <c r="AY16" s="50">
        <f>IFERROR(IF(INDEX(Daten_Motive!$A:$ZZ,MATCH($B16&amp;"|Rationalisierung",Daten_Motive!$A$1:$A$331,0),$BK$7)="","",INDEX(Daten_Motive!$A:$ZZ,MATCH($B16&amp;"|Rationalisierung",Daten_Motive!$A$1:$A$331,0),$BK$7)),"")</f>
        <v>48</v>
      </c>
      <c r="AZ16" s="49">
        <f>IFERROR(AY16-IFERROR(IF(INDEX(Daten_Motive!$A:$ZZ,MATCH($B16&amp;"|Rationalisierung",Daten_Motive!$A$1:$A$331,0),$BK$8)="",NA(),INDEX(Daten_Motive!$A:$ZZ,MATCH($B16&amp;"|Rationalisierung",Daten_Motive!$A$1:$A$331,0),$BK$8)),NA()),"")</f>
        <v>0</v>
      </c>
      <c r="BA16" s="49">
        <f>IFERROR(AY16-IFERROR(IF(INDEX(Daten_Motive!$A:$ZZ,MATCH($B16&amp;"|Rationalisierung",Daten_Motive!$A$1:$A$331,0),$BK$9)="",NA(),INDEX(Daten_Motive!$A:$ZZ,MATCH($B16&amp;"|Rationalisierung",Daten_Motive!$A$1:$A$331,0),$BK$9)),NA()),"")</f>
        <v>2</v>
      </c>
      <c r="BB16" s="50">
        <f>IFERROR(IF(INDEX(Daten_Motive!$A:$ZZ,MATCH($B16&amp;"|Produktinnovation",Daten_Motive!$A$1:$A$331,0),$BK$7)="","",INDEX(Daten_Motive!$A:$ZZ,MATCH($B16&amp;"|Produktinnovation",Daten_Motive!$A$1:$A$331,0),$BK$7)),"")</f>
        <v>25</v>
      </c>
      <c r="BC16" s="49">
        <f>IFERROR(BB16-IFERROR(IF(INDEX(Daten_Motive!$A:$ZZ,MATCH($B16&amp;"|Produktinnovation",Daten_Motive!$A$1:$A$331,0),$BK$8)="",NA(),INDEX(Daten_Motive!$A:$ZZ,MATCH($B16&amp;"|Produktinnovation",Daten_Motive!$A$1:$A$331,0),$BK$8)),NA()),"")</f>
        <v>-4</v>
      </c>
      <c r="BD16" s="49">
        <f>IFERROR(BB16-IFERROR(IF(INDEX(Daten_Motive!$A:$ZZ,MATCH($B16&amp;"|Produktinnovation",Daten_Motive!$A$1:$A$331,0),$BK$9)="",NA(),INDEX(Daten_Motive!$A:$ZZ,MATCH($B16&amp;"|Produktinnovation",Daten_Motive!$A$1:$A$331,0),$BK$9)),NA()),"")</f>
        <v>-2</v>
      </c>
      <c r="BE16" s="50">
        <f>IFERROR(IF(INDEX(Daten_Motive!$A:$ZZ,MATCH($B16&amp;"|Umweltschutz",Daten_Motive!$A$1:$A$331,0),$BK$7)="","",INDEX(Daten_Motive!$A:$ZZ,MATCH($B16&amp;"|Umweltschutz",Daten_Motive!$A$1:$A$331,0),$BK$7)),"")</f>
        <v>23</v>
      </c>
      <c r="BF16" s="49">
        <f>IFERROR(BE16-IFERROR(IF(INDEX(Daten_Motive!$A:$ZZ,MATCH($B16&amp;"|Umweltschutz",Daten_Motive!$A$1:$A$331,0),$BK$8)="",NA(),INDEX(Daten_Motive!$A:$ZZ,MATCH($B16&amp;"|Umweltschutz",Daten_Motive!$A$1:$A$331,0),$BK$8)),NA()),"")</f>
        <v>3</v>
      </c>
      <c r="BG16" s="49">
        <f>IFERROR(BE16-IFERROR(IF(INDEX(Daten_Motive!$A:$ZZ,MATCH($B16&amp;"|Umweltschutz",Daten_Motive!$A$1:$A$331,0),$BK$9)="",NA(),INDEX(Daten_Motive!$A:$ZZ,MATCH($B16&amp;"|Umweltschutz",Daten_Motive!$A$1:$A$331,0),$BK$9)),NA()),"")</f>
        <v>4</v>
      </c>
      <c r="BH16" s="50">
        <f>IFERROR(IF(INDEX(Daten_Motive!$A:$ZZ,MATCH($B16&amp;"|Kapazitätserweiterung",Daten_Motive!$A$1:$A$331,0),$BK$7)="","",INDEX(Daten_Motive!$A:$ZZ,MATCH($B16&amp;"|Kapazitätserweiterung",Daten_Motive!$A$1:$A$331,0),$BK$7)),"")</f>
        <v>17</v>
      </c>
      <c r="BI16" s="49">
        <f>IFERROR(BH16-IFERROR(IF(INDEX(Daten_Motive!$A:$ZZ,MATCH($B16&amp;"|Kapazitätserweiterung",Daten_Motive!$A$1:$A$331,0),$BK$8)="",NA(),INDEX(Daten_Motive!$A:$ZZ,MATCH($B16&amp;"|Kapazitätserweiterung",Daten_Motive!$A$1:$A$331,0),$BK$8)),NA()),"")</f>
        <v>-1</v>
      </c>
      <c r="BJ16" s="49">
        <f>IFERROR(BH16-IFERROR(IF(INDEX(Daten_Motive!$A:$ZZ,MATCH($B16&amp;"|Kapazitätserweiterung",Daten_Motive!$A$1:$A$331,0),$BK$9)="",NA(),INDEX(Daten_Motive!$A:$ZZ,MATCH($B16&amp;"|Kapazitätserweiterung",Daten_Motive!$A$1:$A$331,0),$BK$9)),NA()),"")</f>
        <v>-4</v>
      </c>
    </row>
    <row r="17" spans="1:62" x14ac:dyDescent="0.25">
      <c r="A17" s="42">
        <v>9</v>
      </c>
      <c r="B17" s="52" t="str">
        <f>Listen!A10</f>
        <v>Papiergewerbe</v>
      </c>
      <c r="C17" s="44" t="s">
        <v>4503</v>
      </c>
      <c r="D17" s="44" t="str">
        <f>Listen!B10</f>
        <v>Industrie</v>
      </c>
      <c r="E17" s="45">
        <f>IFERROR(IF(INDEX(Daten_Anteile!$A:$ZZ,MATCH($B17&amp;"|Lage|"&amp;$C$3,Daten_Anteile!$A$1:$A$2971,0),5)="","",INDEX(Daten_Anteile!$A:$ZZ,MATCH($B17&amp;"|Lage|"&amp;$C$3,Daten_Anteile!$A$1:$A$2971,0),5)),"")</f>
        <v>135</v>
      </c>
      <c r="F17" s="46">
        <f t="shared" si="0"/>
        <v>68.900000000000006</v>
      </c>
      <c r="G17" s="47">
        <f t="shared" si="1"/>
        <v>0.9</v>
      </c>
      <c r="H17" s="47">
        <f t="shared" si="2"/>
        <v>2</v>
      </c>
      <c r="I17" s="48">
        <f>IFERROR(IF(INDEX(Daten_Salden!$A:$ZZ,MATCH($B17&amp;"|Lage",Daten_Salden!$A$1:$A$331,0),$BK$1)="","",INDEX(Daten_Salden!$A:$ZZ,MATCH($B17&amp;"|Lage",Daten_Salden!$A$1:$A$331,0),$BK$1)),"")</f>
        <v>-34</v>
      </c>
      <c r="J17" s="49">
        <f>IFERROR(I17-IFERROR(IF(INDEX(Daten_Salden!$A:$ZZ,MATCH($B17&amp;"|Lage",Daten_Salden!$A$1:$A$331,0),$BK$2)="",NA(),INDEX(Daten_Salden!$A:$ZZ,MATCH($B17&amp;"|Lage",Daten_Salden!$A$1:$A$331,0),$BK$2)),NA()),"")</f>
        <v>-3</v>
      </c>
      <c r="K17" s="49">
        <f>IFERROR(I17-IFERROR(IF(INDEX(Daten_Salden!$A:$ZZ,MATCH($B17&amp;"|Lage",Daten_Salden!$A$1:$A$331,0),$BK$3)="",NA(),INDEX(Daten_Salden!$A:$ZZ,MATCH($B17&amp;"|Lage",Daten_Salden!$A$1:$A$331,0),$BK$3)),NA()),"")</f>
        <v>10</v>
      </c>
      <c r="L17" s="48">
        <f>IFERROR(IF(INDEX(Daten_Salden!$A:$ZZ,MATCH($B17&amp;"|Erwartungen",Daten_Salden!$A$1:$A$331,0),$BK$1)="","",INDEX(Daten_Salden!$A:$ZZ,MATCH($B17&amp;"|Erwartungen",Daten_Salden!$A$1:$A$331,0),$BK$1)),"")</f>
        <v>-28</v>
      </c>
      <c r="M17" s="49">
        <f>IFERROR(L17-IFERROR(IF(INDEX(Daten_Salden!$A:$ZZ,MATCH($B17&amp;"|Erwartungen",Daten_Salden!$A$1:$A$331,0),$BK$2)="",NA(),INDEX(Daten_Salden!$A:$ZZ,MATCH($B17&amp;"|Erwartungen",Daten_Salden!$A$1:$A$331,0),$BK$2)),NA()),"")</f>
        <v>5</v>
      </c>
      <c r="N17" s="49">
        <f>IFERROR(L17-IFERROR(IF(INDEX(Daten_Salden!$A:$ZZ,MATCH($B17&amp;"|Erwartungen",Daten_Salden!$A$1:$A$331,0),$BK$3)="",NA(),INDEX(Daten_Salden!$A:$ZZ,MATCH($B17&amp;"|Erwartungen",Daten_Salden!$A$1:$A$331,0),$BK$3)),NA()),"")</f>
        <v>-8</v>
      </c>
      <c r="O17" s="48">
        <f>IFERROR(IF(INDEX(Daten_Salden!$A:$ZZ,MATCH($B17&amp;"|Export",Daten_Salden!$A$1:$A$331,0),$BK$1)="","",INDEX(Daten_Salden!$A:$ZZ,MATCH($B17&amp;"|Export",Daten_Salden!$A$1:$A$331,0),$BK$1)),"")</f>
        <v>-10</v>
      </c>
      <c r="P17" s="49">
        <f>IFERROR(O17-IFERROR(IF(INDEX(Daten_Salden!$A:$ZZ,MATCH($B17&amp;"|Export",Daten_Salden!$A$1:$A$331,0),$BK$2)="",NA(),INDEX(Daten_Salden!$A:$ZZ,MATCH($B17&amp;"|Export",Daten_Salden!$A$1:$A$331,0),$BK$2)),NA()),"")</f>
        <v>12</v>
      </c>
      <c r="Q17" s="49">
        <f>IFERROR(O17-IFERROR(IF(INDEX(Daten_Salden!$A:$ZZ,MATCH($B17&amp;"|Export",Daten_Salden!$A$1:$A$331,0),$BK$3)="",NA(),INDEX(Daten_Salden!$A:$ZZ,MATCH($B17&amp;"|Export",Daten_Salden!$A$1:$A$331,0),$BK$3)),NA()),"")</f>
        <v>5</v>
      </c>
      <c r="R17" s="48">
        <f>IFERROR(IF(INDEX(Daten_Salden!$A:$ZZ,MATCH($B17&amp;"|Investitionen",Daten_Salden!$A$1:$A$331,0),$BK$1)="","",INDEX(Daten_Salden!$A:$ZZ,MATCH($B17&amp;"|Investitionen",Daten_Salden!$A$1:$A$331,0),$BK$1)),"")</f>
        <v>-14</v>
      </c>
      <c r="S17" s="49">
        <f>IFERROR(R17-IFERROR(IF(INDEX(Daten_Salden!$A:$ZZ,MATCH($B17&amp;"|Investitionen",Daten_Salden!$A$1:$A$331,0),$BK$2)="",NA(),INDEX(Daten_Salden!$A:$ZZ,MATCH($B17&amp;"|Investitionen",Daten_Salden!$A$1:$A$331,0),$BK$2)),NA()),"")</f>
        <v>3</v>
      </c>
      <c r="T17" s="49">
        <f>IFERROR(R17-IFERROR(IF(INDEX(Daten_Salden!$A:$ZZ,MATCH($B17&amp;"|Investitionen",Daten_Salden!$A$1:$A$331,0),$BK$3)="",NA(),INDEX(Daten_Salden!$A:$ZZ,MATCH($B17&amp;"|Investitionen",Daten_Salden!$A$1:$A$331,0),$BK$3)),NA()),"")</f>
        <v>9</v>
      </c>
      <c r="U17" s="48">
        <f>IFERROR(IF(INDEX(Daten_Salden!$A:$ZZ,MATCH($B17&amp;"|Beschäftigung",Daten_Salden!$A$1:$A$331,0),$BK$1)="","",INDEX(Daten_Salden!$A:$ZZ,MATCH($B17&amp;"|Beschäftigung",Daten_Salden!$A$1:$A$331,0),$BK$1)),"")</f>
        <v>-29</v>
      </c>
      <c r="V17" s="49">
        <f>IFERROR(U17-IFERROR(IF(INDEX(Daten_Salden!$A:$ZZ,MATCH($B17&amp;"|Beschäftigung",Daten_Salden!$A$1:$A$331,0),$BK$2)="",NA(),INDEX(Daten_Salden!$A:$ZZ,MATCH($B17&amp;"|Beschäftigung",Daten_Salden!$A$1:$A$331,0),$BK$2)),NA()),"")</f>
        <v>4</v>
      </c>
      <c r="W17" s="49">
        <f>IFERROR(U17-IFERROR(IF(INDEX(Daten_Salden!$A:$ZZ,MATCH($B17&amp;"|Beschäftigung",Daten_Salden!$A$1:$A$331,0),$BK$3)="",NA(),INDEX(Daten_Salden!$A:$ZZ,MATCH($B17&amp;"|Beschäftigung",Daten_Salden!$A$1:$A$331,0),$BK$3)),NA()),"")</f>
        <v>-2</v>
      </c>
      <c r="X17" s="50">
        <f>IFERROR(IF(INDEX(Daten_Risiken!$A:$ZZ,MATCH($B17&amp;"|Energie- und Rohstoffpreise",Daten_Risiken!$A$1:$A$529,0),$BK$4)="","",INDEX(Daten_Risiken!$A:$ZZ,MATCH($B17&amp;"|Energie- und Rohstoffpreise",Daten_Risiken!$A$1:$A$529,0),$BK$4)),"")</f>
        <v>87</v>
      </c>
      <c r="Y17" s="49">
        <f>IFERROR(X17-IFERROR(IF(INDEX(Daten_Risiken!$A:$ZZ,MATCH($B17&amp;"|Energie- und Rohstoffpreise",Daten_Risiken!$A$1:$A$529,0),$BK$5)="",NA(),INDEX(Daten_Risiken!$A:$ZZ,MATCH($B17&amp;"|Energie- und Rohstoffpreise",Daten_Risiken!$A$1:$A$529,0),$BK$5)),NA()),"")</f>
        <v>-1</v>
      </c>
      <c r="Z17" s="49">
        <f>IFERROR(X17-IFERROR(IF(INDEX(Daten_Risiken!$A:$ZZ,MATCH($B17&amp;"|Energie- und Rohstoffpreise",Daten_Risiken!$A$1:$A$529,0),$BK$6)="",NA(),INDEX(Daten_Risiken!$A:$ZZ,MATCH($B17&amp;"|Energie- und Rohstoffpreise",Daten_Risiken!$A$1:$A$529,0),$BK$6)),NA()),"")</f>
        <v>18</v>
      </c>
      <c r="AA17" s="50">
        <f>IFERROR(IF(INDEX(Daten_Risiken!$A:$ZZ,MATCH($B17&amp;"|Arbeitskosten",Daten_Risiken!$A$1:$A$529,0),$BK$4)="","",INDEX(Daten_Risiken!$A:$ZZ,MATCH($B17&amp;"|Arbeitskosten",Daten_Risiken!$A$1:$A$529,0),$BK$4)),"")</f>
        <v>65</v>
      </c>
      <c r="AB17" s="49">
        <f>IFERROR(AA17-IFERROR(IF(INDEX(Daten_Risiken!$A:$ZZ,MATCH($B17&amp;"|Arbeitskosten",Daten_Risiken!$A$1:$A$529,0),$BK$5)="",NA(),INDEX(Daten_Risiken!$A:$ZZ,MATCH($B17&amp;"|Arbeitskosten",Daten_Risiken!$A$1:$A$529,0),$BK$5)),NA()),"")</f>
        <v>0</v>
      </c>
      <c r="AC17" s="49">
        <f>IFERROR(AA17-IFERROR(IF(INDEX(Daten_Risiken!$A:$ZZ,MATCH($B17&amp;"|Arbeitskosten",Daten_Risiken!$A$1:$A$529,0),$BK$6)="",NA(),INDEX(Daten_Risiken!$A:$ZZ,MATCH($B17&amp;"|Arbeitskosten",Daten_Risiken!$A$1:$A$529,0),$BK$6)),NA()),"")</f>
        <v>-2</v>
      </c>
      <c r="AD17" s="50">
        <f>IFERROR(IF(INDEX(Daten_Risiken!$A:$ZZ,MATCH($B17&amp;"|Inlandsnachfrage",Daten_Risiken!$A$1:$A$529,0),$BK$4)="","",INDEX(Daten_Risiken!$A:$ZZ,MATCH($B17&amp;"|Inlandsnachfrage",Daten_Risiken!$A$1:$A$529,0),$BK$4)),"")</f>
        <v>76</v>
      </c>
      <c r="AE17" s="49">
        <f>IFERROR(AD17-IFERROR(IF(INDEX(Daten_Risiken!$A:$ZZ,MATCH($B17&amp;"|Inlandsnachfrage",Daten_Risiken!$A$1:$A$529,0),$BK$5)="",NA(),INDEX(Daten_Risiken!$A:$ZZ,MATCH($B17&amp;"|Inlandsnachfrage",Daten_Risiken!$A$1:$A$529,0),$BK$5)),NA()),"")</f>
        <v>3</v>
      </c>
      <c r="AF17" s="49">
        <f>IFERROR(AD17-IFERROR(IF(INDEX(Daten_Risiken!$A:$ZZ,MATCH($B17&amp;"|Inlandsnachfrage",Daten_Risiken!$A$1:$A$529,0),$BK$6)="",NA(),INDEX(Daten_Risiken!$A:$ZZ,MATCH($B17&amp;"|Inlandsnachfrage",Daten_Risiken!$A$1:$A$529,0),$BK$6)),NA()),"")</f>
        <v>1</v>
      </c>
      <c r="AG17" s="50">
        <f>IFERROR(IF(INDEX(Daten_Risiken!$A:$ZZ,MATCH($B17&amp;"|Wirtschaftspolitische Rahmenbedingungen",Daten_Risiken!$A$1:$A$529,0),$BK$4)="","",INDEX(Daten_Risiken!$A:$ZZ,MATCH($B17&amp;"|Wirtschaftspolitische Rahmenbedingungen",Daten_Risiken!$A$1:$A$529,0),$BK$4)),"")</f>
        <v>65</v>
      </c>
      <c r="AH17" s="49">
        <f>IFERROR(AG17-IFERROR(IF(INDEX(Daten_Risiken!$A:$ZZ,MATCH($B17&amp;"|Wirtschaftspolitische Rahmenbedingungen",Daten_Risiken!$A$1:$A$529,0),$BK$5)="",NA(),INDEX(Daten_Risiken!$A:$ZZ,MATCH($B17&amp;"|Wirtschaftspolitische Rahmenbedingungen",Daten_Risiken!$A$1:$A$529,0),$BK$5)),NA()),"")</f>
        <v>-3</v>
      </c>
      <c r="AI17" s="49">
        <f>IFERROR(AG17-IFERROR(IF(INDEX(Daten_Risiken!$A:$ZZ,MATCH($B17&amp;"|Wirtschaftspolitische Rahmenbedingungen",Daten_Risiken!$A$1:$A$529,0),$BK$6)="",NA(),INDEX(Daten_Risiken!$A:$ZZ,MATCH($B17&amp;"|Wirtschaftspolitische Rahmenbedingungen",Daten_Risiken!$A$1:$A$529,0),$BK$6)),NA()),"")</f>
        <v>7</v>
      </c>
      <c r="AJ17" s="50">
        <f>IFERROR(IF(INDEX(Daten_Risiken!$A:$ZZ,MATCH($B17&amp;"|Fachkräftemangel",Daten_Risiken!$A$1:$A$529,0),$BK$4)="","",INDEX(Daten_Risiken!$A:$ZZ,MATCH($B17&amp;"|Fachkräftemangel",Daten_Risiken!$A$1:$A$529,0),$BK$4)),"")</f>
        <v>31</v>
      </c>
      <c r="AK17" s="49">
        <f>IFERROR(AJ17-IFERROR(IF(INDEX(Daten_Risiken!$A:$ZZ,MATCH($B17&amp;"|Fachkräftemangel",Daten_Risiken!$A$1:$A$529,0),$BK$5)="",NA(),INDEX(Daten_Risiken!$A:$ZZ,MATCH($B17&amp;"|Fachkräftemangel",Daten_Risiken!$A$1:$A$529,0),$BK$5)),NA()),"")</f>
        <v>1</v>
      </c>
      <c r="AL17" s="49">
        <f>IFERROR(AJ17-IFERROR(IF(INDEX(Daten_Risiken!$A:$ZZ,MATCH($B17&amp;"|Fachkräftemangel",Daten_Risiken!$A$1:$A$529,0),$BK$6)="",NA(),INDEX(Daten_Risiken!$A:$ZZ,MATCH($B17&amp;"|Fachkräftemangel",Daten_Risiken!$A$1:$A$529,0),$BK$6)),NA()),"")</f>
        <v>-11</v>
      </c>
      <c r="AM17" s="50">
        <f>IFERROR(IF(INDEX(Daten_Risiken!$A:$ZZ,MATCH($B17&amp;"|Auslandsnachfrage",Daten_Risiken!$A$1:$A$529,0),$BK$4)="","",INDEX(Daten_Risiken!$A:$ZZ,MATCH($B17&amp;"|Auslandsnachfrage",Daten_Risiken!$A$1:$A$529,0),$BK$4)),"")</f>
        <v>30</v>
      </c>
      <c r="AN17" s="49">
        <f>IFERROR(AM17-IFERROR(IF(INDEX(Daten_Risiken!$A:$ZZ,MATCH($B17&amp;"|Auslandsnachfrage",Daten_Risiken!$A$1:$A$529,0),$BK$5)="",NA(),INDEX(Daten_Risiken!$A:$ZZ,MATCH($B17&amp;"|Auslandsnachfrage",Daten_Risiken!$A$1:$A$529,0),$BK$5)),NA()),"")</f>
        <v>-8</v>
      </c>
      <c r="AO17" s="49">
        <f>IFERROR(AM17-IFERROR(IF(INDEX(Daten_Risiken!$A:$ZZ,MATCH($B17&amp;"|Auslandsnachfrage",Daten_Risiken!$A$1:$A$529,0),$BK$6)="",NA(),INDEX(Daten_Risiken!$A:$ZZ,MATCH($B17&amp;"|Auslandsnachfrage",Daten_Risiken!$A$1:$A$529,0),$BK$6)),NA()),"")</f>
        <v>-2</v>
      </c>
      <c r="AP17" s="50">
        <f>IFERROR(IF(INDEX(Daten_Risiken!$A:$ZZ,MATCH($B17&amp;"|Finanzierung",Daten_Risiken!$A$1:$A$529,0),$BK$4)="","",INDEX(Daten_Risiken!$A:$ZZ,MATCH($B17&amp;"|Finanzierung",Daten_Risiken!$A$1:$A$529,0),$BK$4)),"")</f>
        <v>10</v>
      </c>
      <c r="AQ17" s="49">
        <f>IFERROR(AP17-IFERROR(IF(INDEX(Daten_Risiken!$A:$ZZ,MATCH($B17&amp;"|Finanzierung",Daten_Risiken!$A$1:$A$529,0),$BK$5)="",NA(),INDEX(Daten_Risiken!$A:$ZZ,MATCH($B17&amp;"|Finanzierung",Daten_Risiken!$A$1:$A$529,0),$BK$5)),NA()),"")</f>
        <v>4</v>
      </c>
      <c r="AR17" s="49">
        <f>IFERROR(AP17-IFERROR(IF(INDEX(Daten_Risiken!$A:$ZZ,MATCH($B17&amp;"|Finanzierung",Daten_Risiken!$A$1:$A$529,0),$BK$6)="",NA(),INDEX(Daten_Risiken!$A:$ZZ,MATCH($B17&amp;"|Finanzierung",Daten_Risiken!$A$1:$A$529,0),$BK$6)),NA()),"")</f>
        <v>4</v>
      </c>
      <c r="AS17" s="50">
        <f>IFERROR(IF(INDEX(Daten_Risiken!$A:$ZZ,MATCH($B17&amp;"|Wechselkurs",Daten_Risiken!$A$1:$A$529,0),$BK$4)="","",INDEX(Daten_Risiken!$A:$ZZ,MATCH($B17&amp;"|Wechselkurs",Daten_Risiken!$A$1:$A$529,0),$BK$4)),"")</f>
        <v>4</v>
      </c>
      <c r="AT17" s="49">
        <f>IFERROR(AS17-IFERROR(IF(INDEX(Daten_Risiken!$A:$ZZ,MATCH($B17&amp;"|Wechselkurs",Daten_Risiken!$A$1:$A$529,0),$BK$5)="",NA(),INDEX(Daten_Risiken!$A:$ZZ,MATCH($B17&amp;"|Wechselkurs",Daten_Risiken!$A$1:$A$529,0),$BK$5)),NA()),"")</f>
        <v>-2</v>
      </c>
      <c r="AU17" s="49">
        <f>IFERROR(AS17-IFERROR(IF(INDEX(Daten_Risiken!$A:$ZZ,MATCH($B17&amp;"|Wechselkurs",Daten_Risiken!$A$1:$A$529,0),$BK$6)="",NA(),INDEX(Daten_Risiken!$A:$ZZ,MATCH($B17&amp;"|Wechselkurs",Daten_Risiken!$A$1:$A$529,0),$BK$6)),NA()),"")</f>
        <v>0</v>
      </c>
      <c r="AV17" s="50">
        <f>IFERROR(IF(INDEX(Daten_Motive!$A:$ZZ,MATCH($B17&amp;"|Ersatzbedarf",Daten_Motive!$A$1:$A$331,0),$BK$7)="","",INDEX(Daten_Motive!$A:$ZZ,MATCH($B17&amp;"|Ersatzbedarf",Daten_Motive!$A$1:$A$331,0),$BK$7)),"")</f>
        <v>66</v>
      </c>
      <c r="AW17" s="49">
        <f>IFERROR(AV17-IFERROR(IF(INDEX(Daten_Motive!$A:$ZZ,MATCH($B17&amp;"|Ersatzbedarf",Daten_Motive!$A$1:$A$331,0),$BK$8)="",NA(),INDEX(Daten_Motive!$A:$ZZ,MATCH($B17&amp;"|Ersatzbedarf",Daten_Motive!$A$1:$A$331,0),$BK$8)),NA()),"")</f>
        <v>7</v>
      </c>
      <c r="AX17" s="49">
        <f>IFERROR(AV17-IFERROR(IF(INDEX(Daten_Motive!$A:$ZZ,MATCH($B17&amp;"|Ersatzbedarf",Daten_Motive!$A$1:$A$331,0),$BK$9)="",NA(),INDEX(Daten_Motive!$A:$ZZ,MATCH($B17&amp;"|Ersatzbedarf",Daten_Motive!$A$1:$A$331,0),$BK$9)),NA()),"")</f>
        <v>9</v>
      </c>
      <c r="AY17" s="50">
        <f>IFERROR(IF(INDEX(Daten_Motive!$A:$ZZ,MATCH($B17&amp;"|Rationalisierung",Daten_Motive!$A$1:$A$331,0),$BK$7)="","",INDEX(Daten_Motive!$A:$ZZ,MATCH($B17&amp;"|Rationalisierung",Daten_Motive!$A$1:$A$331,0),$BK$7)),"")</f>
        <v>58</v>
      </c>
      <c r="AZ17" s="49">
        <f>IFERROR(AY17-IFERROR(IF(INDEX(Daten_Motive!$A:$ZZ,MATCH($B17&amp;"|Rationalisierung",Daten_Motive!$A$1:$A$331,0),$BK$8)="",NA(),INDEX(Daten_Motive!$A:$ZZ,MATCH($B17&amp;"|Rationalisierung",Daten_Motive!$A$1:$A$331,0),$BK$8)),NA()),"")</f>
        <v>2</v>
      </c>
      <c r="BA17" s="49">
        <f>IFERROR(AY17-IFERROR(IF(INDEX(Daten_Motive!$A:$ZZ,MATCH($B17&amp;"|Rationalisierung",Daten_Motive!$A$1:$A$331,0),$BK$9)="",NA(),INDEX(Daten_Motive!$A:$ZZ,MATCH($B17&amp;"|Rationalisierung",Daten_Motive!$A$1:$A$331,0),$BK$9)),NA()),"")</f>
        <v>-2</v>
      </c>
      <c r="BB17" s="50">
        <f>IFERROR(IF(INDEX(Daten_Motive!$A:$ZZ,MATCH($B17&amp;"|Produktinnovation",Daten_Motive!$A$1:$A$331,0),$BK$7)="","",INDEX(Daten_Motive!$A:$ZZ,MATCH($B17&amp;"|Produktinnovation",Daten_Motive!$A$1:$A$331,0),$BK$7)),"")</f>
        <v>25</v>
      </c>
      <c r="BC17" s="49">
        <f>IFERROR(BB17-IFERROR(IF(INDEX(Daten_Motive!$A:$ZZ,MATCH($B17&amp;"|Produktinnovation",Daten_Motive!$A$1:$A$331,0),$BK$8)="",NA(),INDEX(Daten_Motive!$A:$ZZ,MATCH($B17&amp;"|Produktinnovation",Daten_Motive!$A$1:$A$331,0),$BK$8)),NA()),"")</f>
        <v>-4</v>
      </c>
      <c r="BD17" s="49">
        <f>IFERROR(BB17-IFERROR(IF(INDEX(Daten_Motive!$A:$ZZ,MATCH($B17&amp;"|Produktinnovation",Daten_Motive!$A$1:$A$331,0),$BK$9)="",NA(),INDEX(Daten_Motive!$A:$ZZ,MATCH($B17&amp;"|Produktinnovation",Daten_Motive!$A$1:$A$331,0),$BK$9)),NA()),"")</f>
        <v>0</v>
      </c>
      <c r="BE17" s="50">
        <f>IFERROR(IF(INDEX(Daten_Motive!$A:$ZZ,MATCH($B17&amp;"|Umweltschutz",Daten_Motive!$A$1:$A$331,0),$BK$7)="","",INDEX(Daten_Motive!$A:$ZZ,MATCH($B17&amp;"|Umweltschutz",Daten_Motive!$A$1:$A$331,0),$BK$7)),"")</f>
        <v>19</v>
      </c>
      <c r="BF17" s="49">
        <f>IFERROR(BE17-IFERROR(IF(INDEX(Daten_Motive!$A:$ZZ,MATCH($B17&amp;"|Umweltschutz",Daten_Motive!$A$1:$A$331,0),$BK$8)="",NA(),INDEX(Daten_Motive!$A:$ZZ,MATCH($B17&amp;"|Umweltschutz",Daten_Motive!$A$1:$A$331,0),$BK$8)),NA()),"")</f>
        <v>-4</v>
      </c>
      <c r="BG17" s="49">
        <f>IFERROR(BE17-IFERROR(IF(INDEX(Daten_Motive!$A:$ZZ,MATCH($B17&amp;"|Umweltschutz",Daten_Motive!$A$1:$A$331,0),$BK$9)="",NA(),INDEX(Daten_Motive!$A:$ZZ,MATCH($B17&amp;"|Umweltschutz",Daten_Motive!$A$1:$A$331,0),$BK$9)),NA()),"")</f>
        <v>-7</v>
      </c>
      <c r="BH17" s="50">
        <f>IFERROR(IF(INDEX(Daten_Motive!$A:$ZZ,MATCH($B17&amp;"|Kapazitätserweiterung",Daten_Motive!$A$1:$A$331,0),$BK$7)="","",INDEX(Daten_Motive!$A:$ZZ,MATCH($B17&amp;"|Kapazitätserweiterung",Daten_Motive!$A$1:$A$331,0),$BK$7)),"")</f>
        <v>16</v>
      </c>
      <c r="BI17" s="49">
        <f>IFERROR(BH17-IFERROR(IF(INDEX(Daten_Motive!$A:$ZZ,MATCH($B17&amp;"|Kapazitätserweiterung",Daten_Motive!$A$1:$A$331,0),$BK$8)="",NA(),INDEX(Daten_Motive!$A:$ZZ,MATCH($B17&amp;"|Kapazitätserweiterung",Daten_Motive!$A$1:$A$331,0),$BK$8)),NA()),"")</f>
        <v>1</v>
      </c>
      <c r="BJ17" s="49">
        <f>IFERROR(BH17-IFERROR(IF(INDEX(Daten_Motive!$A:$ZZ,MATCH($B17&amp;"|Kapazitätserweiterung",Daten_Motive!$A$1:$A$331,0),$BK$9)="",NA(),INDEX(Daten_Motive!$A:$ZZ,MATCH($B17&amp;"|Kapazitätserweiterung",Daten_Motive!$A$1:$A$331,0),$BK$9)),NA()),"")</f>
        <v>-3</v>
      </c>
    </row>
    <row r="18" spans="1:62" x14ac:dyDescent="0.25">
      <c r="A18" s="42">
        <v>10</v>
      </c>
      <c r="B18" s="52" t="str">
        <f>Listen!A11</f>
        <v>Druckgewerbe</v>
      </c>
      <c r="C18" s="44" t="s">
        <v>4504</v>
      </c>
      <c r="D18" s="44" t="str">
        <f>Listen!B11</f>
        <v>Industrie</v>
      </c>
      <c r="E18" s="45">
        <f>IFERROR(IF(INDEX(Daten_Anteile!$A:$ZZ,MATCH($B18&amp;"|Lage|"&amp;$C$3,Daten_Anteile!$A$1:$A$2971,0),5)="","",INDEX(Daten_Anteile!$A:$ZZ,MATCH($B18&amp;"|Lage|"&amp;$C$3,Daten_Anteile!$A$1:$A$2971,0),5)),"")</f>
        <v>153</v>
      </c>
      <c r="F18" s="46">
        <f t="shared" si="0"/>
        <v>87.5</v>
      </c>
      <c r="G18" s="47">
        <f t="shared" si="1"/>
        <v>14.3</v>
      </c>
      <c r="H18" s="47">
        <f t="shared" si="2"/>
        <v>10.5</v>
      </c>
      <c r="I18" s="48">
        <f>IFERROR(IF(INDEX(Daten_Salden!$A:$ZZ,MATCH($B18&amp;"|Lage",Daten_Salden!$A$1:$A$331,0),$BK$1)="","",INDEX(Daten_Salden!$A:$ZZ,MATCH($B18&amp;"|Lage",Daten_Salden!$A$1:$A$331,0),$BK$1)),"")</f>
        <v>-10</v>
      </c>
      <c r="J18" s="49">
        <f>IFERROR(I18-IFERROR(IF(INDEX(Daten_Salden!$A:$ZZ,MATCH($B18&amp;"|Lage",Daten_Salden!$A$1:$A$331,0),$BK$2)="",NA(),INDEX(Daten_Salden!$A:$ZZ,MATCH($B18&amp;"|Lage",Daten_Salden!$A$1:$A$331,0),$BK$2)),NA()),"")</f>
        <v>10</v>
      </c>
      <c r="K18" s="49">
        <f>IFERROR(I18-IFERROR(IF(INDEX(Daten_Salden!$A:$ZZ,MATCH($B18&amp;"|Lage",Daten_Salden!$A$1:$A$331,0),$BK$3)="",NA(),INDEX(Daten_Salden!$A:$ZZ,MATCH($B18&amp;"|Lage",Daten_Salden!$A$1:$A$331,0),$BK$3)),NA()),"")</f>
        <v>12</v>
      </c>
      <c r="L18" s="48">
        <f>IFERROR(IF(INDEX(Daten_Salden!$A:$ZZ,MATCH($B18&amp;"|Erwartungen",Daten_Salden!$A$1:$A$331,0),$BK$1)="","",INDEX(Daten_Salden!$A:$ZZ,MATCH($B18&amp;"|Erwartungen",Daten_Salden!$A$1:$A$331,0),$BK$1)),"")</f>
        <v>-15</v>
      </c>
      <c r="M18" s="49">
        <f>IFERROR(L18-IFERROR(IF(INDEX(Daten_Salden!$A:$ZZ,MATCH($B18&amp;"|Erwartungen",Daten_Salden!$A$1:$A$331,0),$BK$2)="",NA(),INDEX(Daten_Salden!$A:$ZZ,MATCH($B18&amp;"|Erwartungen",Daten_Salden!$A$1:$A$331,0),$BK$2)),NA()),"")</f>
        <v>18</v>
      </c>
      <c r="N18" s="49">
        <f>IFERROR(L18-IFERROR(IF(INDEX(Daten_Salden!$A:$ZZ,MATCH($B18&amp;"|Erwartungen",Daten_Salden!$A$1:$A$331,0),$BK$3)="",NA(),INDEX(Daten_Salden!$A:$ZZ,MATCH($B18&amp;"|Erwartungen",Daten_Salden!$A$1:$A$331,0),$BK$3)),NA()),"")</f>
        <v>9</v>
      </c>
      <c r="O18" s="48">
        <f>IFERROR(IF(INDEX(Daten_Salden!$A:$ZZ,MATCH($B18&amp;"|Export",Daten_Salden!$A$1:$A$331,0),$BK$1)="","",INDEX(Daten_Salden!$A:$ZZ,MATCH($B18&amp;"|Export",Daten_Salden!$A$1:$A$331,0),$BK$1)),"")</f>
        <v>-15</v>
      </c>
      <c r="P18" s="49">
        <f>IFERROR(O18-IFERROR(IF(INDEX(Daten_Salden!$A:$ZZ,MATCH($B18&amp;"|Export",Daten_Salden!$A$1:$A$331,0),$BK$2)="",NA(),INDEX(Daten_Salden!$A:$ZZ,MATCH($B18&amp;"|Export",Daten_Salden!$A$1:$A$331,0),$BK$2)),NA()),"")</f>
        <v>13</v>
      </c>
      <c r="Q18" s="49">
        <f>IFERROR(O18-IFERROR(IF(INDEX(Daten_Salden!$A:$ZZ,MATCH($B18&amp;"|Export",Daten_Salden!$A$1:$A$331,0),$BK$3)="",NA(),INDEX(Daten_Salden!$A:$ZZ,MATCH($B18&amp;"|Export",Daten_Salden!$A$1:$A$331,0),$BK$3)),NA()),"")</f>
        <v>6</v>
      </c>
      <c r="R18" s="48">
        <f>IFERROR(IF(INDEX(Daten_Salden!$A:$ZZ,MATCH($B18&amp;"|Investitionen",Daten_Salden!$A$1:$A$331,0),$BK$1)="","",INDEX(Daten_Salden!$A:$ZZ,MATCH($B18&amp;"|Investitionen",Daten_Salden!$A$1:$A$331,0),$BK$1)),"")</f>
        <v>-10</v>
      </c>
      <c r="S18" s="49">
        <f>IFERROR(R18-IFERROR(IF(INDEX(Daten_Salden!$A:$ZZ,MATCH($B18&amp;"|Investitionen",Daten_Salden!$A$1:$A$331,0),$BK$2)="",NA(),INDEX(Daten_Salden!$A:$ZZ,MATCH($B18&amp;"|Investitionen",Daten_Salden!$A$1:$A$331,0),$BK$2)),NA()),"")</f>
        <v>14</v>
      </c>
      <c r="T18" s="49">
        <f>IFERROR(R18-IFERROR(IF(INDEX(Daten_Salden!$A:$ZZ,MATCH($B18&amp;"|Investitionen",Daten_Salden!$A$1:$A$331,0),$BK$3)="",NA(),INDEX(Daten_Salden!$A:$ZZ,MATCH($B18&amp;"|Investitionen",Daten_Salden!$A$1:$A$331,0),$BK$3)),NA()),"")</f>
        <v>17</v>
      </c>
      <c r="U18" s="48">
        <f>IFERROR(IF(INDEX(Daten_Salden!$A:$ZZ,MATCH($B18&amp;"|Beschäftigung",Daten_Salden!$A$1:$A$331,0),$BK$1)="","",INDEX(Daten_Salden!$A:$ZZ,MATCH($B18&amp;"|Beschäftigung",Daten_Salden!$A$1:$A$331,0),$BK$1)),"")</f>
        <v>-25</v>
      </c>
      <c r="V18" s="49">
        <f>IFERROR(U18-IFERROR(IF(INDEX(Daten_Salden!$A:$ZZ,MATCH($B18&amp;"|Beschäftigung",Daten_Salden!$A$1:$A$331,0),$BK$2)="",NA(),INDEX(Daten_Salden!$A:$ZZ,MATCH($B18&amp;"|Beschäftigung",Daten_Salden!$A$1:$A$331,0),$BK$2)),NA()),"")</f>
        <v>9</v>
      </c>
      <c r="W18" s="49">
        <f>IFERROR(U18-IFERROR(IF(INDEX(Daten_Salden!$A:$ZZ,MATCH($B18&amp;"|Beschäftigung",Daten_Salden!$A$1:$A$331,0),$BK$3)="",NA(),INDEX(Daten_Salden!$A:$ZZ,MATCH($B18&amp;"|Beschäftigung",Daten_Salden!$A$1:$A$331,0),$BK$3)),NA()),"")</f>
        <v>9</v>
      </c>
      <c r="X18" s="50">
        <f>IFERROR(IF(INDEX(Daten_Risiken!$A:$ZZ,MATCH($B18&amp;"|Energie- und Rohstoffpreise",Daten_Risiken!$A$1:$A$529,0),$BK$4)="","",INDEX(Daten_Risiken!$A:$ZZ,MATCH($B18&amp;"|Energie- und Rohstoffpreise",Daten_Risiken!$A$1:$A$529,0),$BK$4)),"")</f>
        <v>77</v>
      </c>
      <c r="Y18" s="49">
        <f>IFERROR(X18-IFERROR(IF(INDEX(Daten_Risiken!$A:$ZZ,MATCH($B18&amp;"|Energie- und Rohstoffpreise",Daten_Risiken!$A$1:$A$529,0),$BK$5)="",NA(),INDEX(Daten_Risiken!$A:$ZZ,MATCH($B18&amp;"|Energie- und Rohstoffpreise",Daten_Risiken!$A$1:$A$529,0),$BK$5)),NA()),"")</f>
        <v>-2</v>
      </c>
      <c r="Z18" s="49">
        <f>IFERROR(X18-IFERROR(IF(INDEX(Daten_Risiken!$A:$ZZ,MATCH($B18&amp;"|Energie- und Rohstoffpreise",Daten_Risiken!$A$1:$A$529,0),$BK$6)="",NA(),INDEX(Daten_Risiken!$A:$ZZ,MATCH($B18&amp;"|Energie- und Rohstoffpreise",Daten_Risiken!$A$1:$A$529,0),$BK$6)),NA()),"")</f>
        <v>20</v>
      </c>
      <c r="AA18" s="50">
        <f>IFERROR(IF(INDEX(Daten_Risiken!$A:$ZZ,MATCH($B18&amp;"|Arbeitskosten",Daten_Risiken!$A$1:$A$529,0),$BK$4)="","",INDEX(Daten_Risiken!$A:$ZZ,MATCH($B18&amp;"|Arbeitskosten",Daten_Risiken!$A$1:$A$529,0),$BK$4)),"")</f>
        <v>66</v>
      </c>
      <c r="AB18" s="49">
        <f>IFERROR(AA18-IFERROR(IF(INDEX(Daten_Risiken!$A:$ZZ,MATCH($B18&amp;"|Arbeitskosten",Daten_Risiken!$A$1:$A$529,0),$BK$5)="",NA(),INDEX(Daten_Risiken!$A:$ZZ,MATCH($B18&amp;"|Arbeitskosten",Daten_Risiken!$A$1:$A$529,0),$BK$5)),NA()),"")</f>
        <v>-2</v>
      </c>
      <c r="AC18" s="49">
        <f>IFERROR(AA18-IFERROR(IF(INDEX(Daten_Risiken!$A:$ZZ,MATCH($B18&amp;"|Arbeitskosten",Daten_Risiken!$A$1:$A$529,0),$BK$6)="",NA(),INDEX(Daten_Risiken!$A:$ZZ,MATCH($B18&amp;"|Arbeitskosten",Daten_Risiken!$A$1:$A$529,0),$BK$6)),NA()),"")</f>
        <v>4</v>
      </c>
      <c r="AD18" s="50">
        <f>IFERROR(IF(INDEX(Daten_Risiken!$A:$ZZ,MATCH($B18&amp;"|Inlandsnachfrage",Daten_Risiken!$A$1:$A$529,0),$BK$4)="","",INDEX(Daten_Risiken!$A:$ZZ,MATCH($B18&amp;"|Inlandsnachfrage",Daten_Risiken!$A$1:$A$529,0),$BK$4)),"")</f>
        <v>69</v>
      </c>
      <c r="AE18" s="49">
        <f>IFERROR(AD18-IFERROR(IF(INDEX(Daten_Risiken!$A:$ZZ,MATCH($B18&amp;"|Inlandsnachfrage",Daten_Risiken!$A$1:$A$529,0),$BK$5)="",NA(),INDEX(Daten_Risiken!$A:$ZZ,MATCH($B18&amp;"|Inlandsnachfrage",Daten_Risiken!$A$1:$A$529,0),$BK$5)),NA()),"")</f>
        <v>-8</v>
      </c>
      <c r="AF18" s="49">
        <f>IFERROR(AD18-IFERROR(IF(INDEX(Daten_Risiken!$A:$ZZ,MATCH($B18&amp;"|Inlandsnachfrage",Daten_Risiken!$A$1:$A$529,0),$BK$6)="",NA(),INDEX(Daten_Risiken!$A:$ZZ,MATCH($B18&amp;"|Inlandsnachfrage",Daten_Risiken!$A$1:$A$529,0),$BK$6)),NA()),"")</f>
        <v>-11</v>
      </c>
      <c r="AG18" s="50">
        <f>IFERROR(IF(INDEX(Daten_Risiken!$A:$ZZ,MATCH($B18&amp;"|Wirtschaftspolitische Rahmenbedingungen",Daten_Risiken!$A$1:$A$529,0),$BK$4)="","",INDEX(Daten_Risiken!$A:$ZZ,MATCH($B18&amp;"|Wirtschaftspolitische Rahmenbedingungen",Daten_Risiken!$A$1:$A$529,0),$BK$4)),"")</f>
        <v>56</v>
      </c>
      <c r="AH18" s="49">
        <f>IFERROR(AG18-IFERROR(IF(INDEX(Daten_Risiken!$A:$ZZ,MATCH($B18&amp;"|Wirtschaftspolitische Rahmenbedingungen",Daten_Risiken!$A$1:$A$529,0),$BK$5)="",NA(),INDEX(Daten_Risiken!$A:$ZZ,MATCH($B18&amp;"|Wirtschaftspolitische Rahmenbedingungen",Daten_Risiken!$A$1:$A$529,0),$BK$5)),NA()),"")</f>
        <v>-1</v>
      </c>
      <c r="AI18" s="49">
        <f>IFERROR(AG18-IFERROR(IF(INDEX(Daten_Risiken!$A:$ZZ,MATCH($B18&amp;"|Wirtschaftspolitische Rahmenbedingungen",Daten_Risiken!$A$1:$A$529,0),$BK$6)="",NA(),INDEX(Daten_Risiken!$A:$ZZ,MATCH($B18&amp;"|Wirtschaftspolitische Rahmenbedingungen",Daten_Risiken!$A$1:$A$529,0),$BK$6)),NA()),"")</f>
        <v>2</v>
      </c>
      <c r="AJ18" s="50">
        <f>IFERROR(IF(INDEX(Daten_Risiken!$A:$ZZ,MATCH($B18&amp;"|Fachkräftemangel",Daten_Risiken!$A$1:$A$529,0),$BK$4)="","",INDEX(Daten_Risiken!$A:$ZZ,MATCH($B18&amp;"|Fachkräftemangel",Daten_Risiken!$A$1:$A$529,0),$BK$4)),"")</f>
        <v>29</v>
      </c>
      <c r="AK18" s="49">
        <f>IFERROR(AJ18-IFERROR(IF(INDEX(Daten_Risiken!$A:$ZZ,MATCH($B18&amp;"|Fachkräftemangel",Daten_Risiken!$A$1:$A$529,0),$BK$5)="",NA(),INDEX(Daten_Risiken!$A:$ZZ,MATCH($B18&amp;"|Fachkräftemangel",Daten_Risiken!$A$1:$A$529,0),$BK$5)),NA()),"")</f>
        <v>7</v>
      </c>
      <c r="AL18" s="49">
        <f>IFERROR(AJ18-IFERROR(IF(INDEX(Daten_Risiken!$A:$ZZ,MATCH($B18&amp;"|Fachkräftemangel",Daten_Risiken!$A$1:$A$529,0),$BK$6)="",NA(),INDEX(Daten_Risiken!$A:$ZZ,MATCH($B18&amp;"|Fachkräftemangel",Daten_Risiken!$A$1:$A$529,0),$BK$6)),NA()),"")</f>
        <v>-3</v>
      </c>
      <c r="AM18" s="50">
        <f>IFERROR(IF(INDEX(Daten_Risiken!$A:$ZZ,MATCH($B18&amp;"|Auslandsnachfrage",Daten_Risiken!$A$1:$A$529,0),$BK$4)="","",INDEX(Daten_Risiken!$A:$ZZ,MATCH($B18&amp;"|Auslandsnachfrage",Daten_Risiken!$A$1:$A$529,0),$BK$4)),"")</f>
        <v>10</v>
      </c>
      <c r="AN18" s="49">
        <f>IFERROR(AM18-IFERROR(IF(INDEX(Daten_Risiken!$A:$ZZ,MATCH($B18&amp;"|Auslandsnachfrage",Daten_Risiken!$A$1:$A$529,0),$BK$5)="",NA(),INDEX(Daten_Risiken!$A:$ZZ,MATCH($B18&amp;"|Auslandsnachfrage",Daten_Risiken!$A$1:$A$529,0),$BK$5)),NA()),"")</f>
        <v>-4</v>
      </c>
      <c r="AO18" s="49">
        <f>IFERROR(AM18-IFERROR(IF(INDEX(Daten_Risiken!$A:$ZZ,MATCH($B18&amp;"|Auslandsnachfrage",Daten_Risiken!$A$1:$A$529,0),$BK$6)="",NA(),INDEX(Daten_Risiken!$A:$ZZ,MATCH($B18&amp;"|Auslandsnachfrage",Daten_Risiken!$A$1:$A$529,0),$BK$6)),NA()),"")</f>
        <v>0</v>
      </c>
      <c r="AP18" s="50">
        <f>IFERROR(IF(INDEX(Daten_Risiken!$A:$ZZ,MATCH($B18&amp;"|Finanzierung",Daten_Risiken!$A$1:$A$529,0),$BK$4)="","",INDEX(Daten_Risiken!$A:$ZZ,MATCH($B18&amp;"|Finanzierung",Daten_Risiken!$A$1:$A$529,0),$BK$4)),"")</f>
        <v>14</v>
      </c>
      <c r="AQ18" s="49">
        <f>IFERROR(AP18-IFERROR(IF(INDEX(Daten_Risiken!$A:$ZZ,MATCH($B18&amp;"|Finanzierung",Daten_Risiken!$A$1:$A$529,0),$BK$5)="",NA(),INDEX(Daten_Risiken!$A:$ZZ,MATCH($B18&amp;"|Finanzierung",Daten_Risiken!$A$1:$A$529,0),$BK$5)),NA()),"")</f>
        <v>2</v>
      </c>
      <c r="AR18" s="49">
        <f>IFERROR(AP18-IFERROR(IF(INDEX(Daten_Risiken!$A:$ZZ,MATCH($B18&amp;"|Finanzierung",Daten_Risiken!$A$1:$A$529,0),$BK$6)="",NA(),INDEX(Daten_Risiken!$A:$ZZ,MATCH($B18&amp;"|Finanzierung",Daten_Risiken!$A$1:$A$529,0),$BK$6)),NA()),"")</f>
        <v>1</v>
      </c>
      <c r="AS18" s="50">
        <f>IFERROR(IF(INDEX(Daten_Risiken!$A:$ZZ,MATCH($B18&amp;"|Wechselkurs",Daten_Risiken!$A$1:$A$529,0),$BK$4)="","",INDEX(Daten_Risiken!$A:$ZZ,MATCH($B18&amp;"|Wechselkurs",Daten_Risiken!$A$1:$A$529,0),$BK$4)),"")</f>
        <v>2</v>
      </c>
      <c r="AT18" s="49">
        <f>IFERROR(AS18-IFERROR(IF(INDEX(Daten_Risiken!$A:$ZZ,MATCH($B18&amp;"|Wechselkurs",Daten_Risiken!$A$1:$A$529,0),$BK$5)="",NA(),INDEX(Daten_Risiken!$A:$ZZ,MATCH($B18&amp;"|Wechselkurs",Daten_Risiken!$A$1:$A$529,0),$BK$5)),NA()),"")</f>
        <v>1</v>
      </c>
      <c r="AU18" s="49">
        <f>IFERROR(AS18-IFERROR(IF(INDEX(Daten_Risiken!$A:$ZZ,MATCH($B18&amp;"|Wechselkurs",Daten_Risiken!$A$1:$A$529,0),$BK$6)="",NA(),INDEX(Daten_Risiken!$A:$ZZ,MATCH($B18&amp;"|Wechselkurs",Daten_Risiken!$A$1:$A$529,0),$BK$6)),NA()),"")</f>
        <v>1</v>
      </c>
      <c r="AV18" s="50">
        <f>IFERROR(IF(INDEX(Daten_Motive!$A:$ZZ,MATCH($B18&amp;"|Ersatzbedarf",Daten_Motive!$A$1:$A$331,0),$BK$7)="","",INDEX(Daten_Motive!$A:$ZZ,MATCH($B18&amp;"|Ersatzbedarf",Daten_Motive!$A$1:$A$331,0),$BK$7)),"")</f>
        <v>68</v>
      </c>
      <c r="AW18" s="49">
        <f>IFERROR(AV18-IFERROR(IF(INDEX(Daten_Motive!$A:$ZZ,MATCH($B18&amp;"|Ersatzbedarf",Daten_Motive!$A$1:$A$331,0),$BK$8)="",NA(),INDEX(Daten_Motive!$A:$ZZ,MATCH($B18&amp;"|Ersatzbedarf",Daten_Motive!$A$1:$A$331,0),$BK$8)),NA()),"")</f>
        <v>-6</v>
      </c>
      <c r="AX18" s="49">
        <f>IFERROR(AV18-IFERROR(IF(INDEX(Daten_Motive!$A:$ZZ,MATCH($B18&amp;"|Ersatzbedarf",Daten_Motive!$A$1:$A$331,0),$BK$9)="",NA(),INDEX(Daten_Motive!$A:$ZZ,MATCH($B18&amp;"|Ersatzbedarf",Daten_Motive!$A$1:$A$331,0),$BK$9)),NA()),"")</f>
        <v>-1</v>
      </c>
      <c r="AY18" s="50">
        <f>IFERROR(IF(INDEX(Daten_Motive!$A:$ZZ,MATCH($B18&amp;"|Rationalisierung",Daten_Motive!$A$1:$A$331,0),$BK$7)="","",INDEX(Daten_Motive!$A:$ZZ,MATCH($B18&amp;"|Rationalisierung",Daten_Motive!$A$1:$A$331,0),$BK$7)),"")</f>
        <v>46</v>
      </c>
      <c r="AZ18" s="49">
        <f>IFERROR(AY18-IFERROR(IF(INDEX(Daten_Motive!$A:$ZZ,MATCH($B18&amp;"|Rationalisierung",Daten_Motive!$A$1:$A$331,0),$BK$8)="",NA(),INDEX(Daten_Motive!$A:$ZZ,MATCH($B18&amp;"|Rationalisierung",Daten_Motive!$A$1:$A$331,0),$BK$8)),NA()),"")</f>
        <v>11</v>
      </c>
      <c r="BA18" s="49">
        <f>IFERROR(AY18-IFERROR(IF(INDEX(Daten_Motive!$A:$ZZ,MATCH($B18&amp;"|Rationalisierung",Daten_Motive!$A$1:$A$331,0),$BK$9)="",NA(),INDEX(Daten_Motive!$A:$ZZ,MATCH($B18&amp;"|Rationalisierung",Daten_Motive!$A$1:$A$331,0),$BK$9)),NA()),"")</f>
        <v>-1</v>
      </c>
      <c r="BB18" s="50">
        <f>IFERROR(IF(INDEX(Daten_Motive!$A:$ZZ,MATCH($B18&amp;"|Produktinnovation",Daten_Motive!$A$1:$A$331,0),$BK$7)="","",INDEX(Daten_Motive!$A:$ZZ,MATCH($B18&amp;"|Produktinnovation",Daten_Motive!$A$1:$A$331,0),$BK$7)),"")</f>
        <v>17</v>
      </c>
      <c r="BC18" s="49">
        <f>IFERROR(BB18-IFERROR(IF(INDEX(Daten_Motive!$A:$ZZ,MATCH($B18&amp;"|Produktinnovation",Daten_Motive!$A$1:$A$331,0),$BK$8)="",NA(),INDEX(Daten_Motive!$A:$ZZ,MATCH($B18&amp;"|Produktinnovation",Daten_Motive!$A$1:$A$331,0),$BK$8)),NA()),"")</f>
        <v>-10</v>
      </c>
      <c r="BD18" s="49">
        <f>IFERROR(BB18-IFERROR(IF(INDEX(Daten_Motive!$A:$ZZ,MATCH($B18&amp;"|Produktinnovation",Daten_Motive!$A$1:$A$331,0),$BK$9)="",NA(),INDEX(Daten_Motive!$A:$ZZ,MATCH($B18&amp;"|Produktinnovation",Daten_Motive!$A$1:$A$331,0),$BK$9)),NA()),"")</f>
        <v>-12</v>
      </c>
      <c r="BE18" s="50">
        <f>IFERROR(IF(INDEX(Daten_Motive!$A:$ZZ,MATCH($B18&amp;"|Umweltschutz",Daten_Motive!$A$1:$A$331,0),$BK$7)="","",INDEX(Daten_Motive!$A:$ZZ,MATCH($B18&amp;"|Umweltschutz",Daten_Motive!$A$1:$A$331,0),$BK$7)),"")</f>
        <v>9</v>
      </c>
      <c r="BF18" s="49">
        <f>IFERROR(BE18-IFERROR(IF(INDEX(Daten_Motive!$A:$ZZ,MATCH($B18&amp;"|Umweltschutz",Daten_Motive!$A$1:$A$331,0),$BK$8)="",NA(),INDEX(Daten_Motive!$A:$ZZ,MATCH($B18&amp;"|Umweltschutz",Daten_Motive!$A$1:$A$331,0),$BK$8)),NA()),"")</f>
        <v>3</v>
      </c>
      <c r="BG18" s="49">
        <f>IFERROR(BE18-IFERROR(IF(INDEX(Daten_Motive!$A:$ZZ,MATCH($B18&amp;"|Umweltschutz",Daten_Motive!$A$1:$A$331,0),$BK$9)="",NA(),INDEX(Daten_Motive!$A:$ZZ,MATCH($B18&amp;"|Umweltschutz",Daten_Motive!$A$1:$A$331,0),$BK$9)),NA()),"")</f>
        <v>-3</v>
      </c>
      <c r="BH18" s="50">
        <f>IFERROR(IF(INDEX(Daten_Motive!$A:$ZZ,MATCH($B18&amp;"|Kapazitätserweiterung",Daten_Motive!$A$1:$A$331,0),$BK$7)="","",INDEX(Daten_Motive!$A:$ZZ,MATCH($B18&amp;"|Kapazitätserweiterung",Daten_Motive!$A$1:$A$331,0),$BK$7)),"")</f>
        <v>16</v>
      </c>
      <c r="BI18" s="49">
        <f>IFERROR(BH18-IFERROR(IF(INDEX(Daten_Motive!$A:$ZZ,MATCH($B18&amp;"|Kapazitätserweiterung",Daten_Motive!$A$1:$A$331,0),$BK$8)="",NA(),INDEX(Daten_Motive!$A:$ZZ,MATCH($B18&amp;"|Kapazitätserweiterung",Daten_Motive!$A$1:$A$331,0),$BK$8)),NA()),"")</f>
        <v>6</v>
      </c>
      <c r="BJ18" s="49">
        <f>IFERROR(BH18-IFERROR(IF(INDEX(Daten_Motive!$A:$ZZ,MATCH($B18&amp;"|Kapazitätserweiterung",Daten_Motive!$A$1:$A$331,0),$BK$9)="",NA(),INDEX(Daten_Motive!$A:$ZZ,MATCH($B18&amp;"|Kapazitätserweiterung",Daten_Motive!$A$1:$A$331,0),$BK$9)),NA()),"")</f>
        <v>6</v>
      </c>
    </row>
    <row r="19" spans="1:62" x14ac:dyDescent="0.25">
      <c r="A19" s="42">
        <v>11</v>
      </c>
      <c r="B19" s="52" t="str">
        <f>Listen!A12</f>
        <v>Chemische Industrie</v>
      </c>
      <c r="C19" s="44" t="s">
        <v>4505</v>
      </c>
      <c r="D19" s="44" t="str">
        <f>Listen!B12</f>
        <v>Industrie</v>
      </c>
      <c r="E19" s="45">
        <f>IFERROR(IF(INDEX(Daten_Anteile!$A:$ZZ,MATCH($B19&amp;"|Lage|"&amp;$C$3,Daten_Anteile!$A$1:$A$2971,0),5)="","",INDEX(Daten_Anteile!$A:$ZZ,MATCH($B19&amp;"|Lage|"&amp;$C$3,Daten_Anteile!$A$1:$A$2971,0),5)),"")</f>
        <v>236</v>
      </c>
      <c r="F19" s="46">
        <f t="shared" si="0"/>
        <v>101</v>
      </c>
      <c r="G19" s="47">
        <f t="shared" si="1"/>
        <v>12.7</v>
      </c>
      <c r="H19" s="47">
        <f t="shared" si="2"/>
        <v>15.6</v>
      </c>
      <c r="I19" s="48">
        <f>IFERROR(IF(INDEX(Daten_Salden!$A:$ZZ,MATCH($B19&amp;"|Lage",Daten_Salden!$A$1:$A$331,0),$BK$1)="","",INDEX(Daten_Salden!$A:$ZZ,MATCH($B19&amp;"|Lage",Daten_Salden!$A$1:$A$331,0),$BK$1)),"")</f>
        <v>0</v>
      </c>
      <c r="J19" s="49">
        <f>IFERROR(I19-IFERROR(IF(INDEX(Daten_Salden!$A:$ZZ,MATCH($B19&amp;"|Lage",Daten_Salden!$A$1:$A$331,0),$BK$2)="",NA(),INDEX(Daten_Salden!$A:$ZZ,MATCH($B19&amp;"|Lage",Daten_Salden!$A$1:$A$331,0),$BK$2)),NA()),"")</f>
        <v>5</v>
      </c>
      <c r="K19" s="49">
        <f>IFERROR(I19-IFERROR(IF(INDEX(Daten_Salden!$A:$ZZ,MATCH($B19&amp;"|Lage",Daten_Salden!$A$1:$A$331,0),$BK$3)="",NA(),INDEX(Daten_Salden!$A:$ZZ,MATCH($B19&amp;"|Lage",Daten_Salden!$A$1:$A$331,0),$BK$3)),NA()),"")</f>
        <v>19</v>
      </c>
      <c r="L19" s="48">
        <f>IFERROR(IF(INDEX(Daten_Salden!$A:$ZZ,MATCH($B19&amp;"|Erwartungen",Daten_Salden!$A$1:$A$331,0),$BK$1)="","",INDEX(Daten_Salden!$A:$ZZ,MATCH($B19&amp;"|Erwartungen",Daten_Salden!$A$1:$A$331,0),$BK$1)),"")</f>
        <v>2</v>
      </c>
      <c r="M19" s="49">
        <f>IFERROR(L19-IFERROR(IF(INDEX(Daten_Salden!$A:$ZZ,MATCH($B19&amp;"|Erwartungen",Daten_Salden!$A$1:$A$331,0),$BK$2)="",NA(),INDEX(Daten_Salden!$A:$ZZ,MATCH($B19&amp;"|Erwartungen",Daten_Salden!$A$1:$A$331,0),$BK$2)),NA()),"")</f>
        <v>20</v>
      </c>
      <c r="N19" s="49">
        <f>IFERROR(L19-IFERROR(IF(INDEX(Daten_Salden!$A:$ZZ,MATCH($B19&amp;"|Erwartungen",Daten_Salden!$A$1:$A$331,0),$BK$3)="",NA(),INDEX(Daten_Salden!$A:$ZZ,MATCH($B19&amp;"|Erwartungen",Daten_Salden!$A$1:$A$331,0),$BK$3)),NA()),"")</f>
        <v>12</v>
      </c>
      <c r="O19" s="48">
        <f>IFERROR(IF(INDEX(Daten_Salden!$A:$ZZ,MATCH($B19&amp;"|Export",Daten_Salden!$A$1:$A$331,0),$BK$1)="","",INDEX(Daten_Salden!$A:$ZZ,MATCH($B19&amp;"|Export",Daten_Salden!$A$1:$A$331,0),$BK$1)),"")</f>
        <v>6</v>
      </c>
      <c r="P19" s="49">
        <f>IFERROR(O19-IFERROR(IF(INDEX(Daten_Salden!$A:$ZZ,MATCH($B19&amp;"|Export",Daten_Salden!$A$1:$A$331,0),$BK$2)="",NA(),INDEX(Daten_Salden!$A:$ZZ,MATCH($B19&amp;"|Export",Daten_Salden!$A$1:$A$331,0),$BK$2)),NA()),"")</f>
        <v>22</v>
      </c>
      <c r="Q19" s="49">
        <f>IFERROR(O19-IFERROR(IF(INDEX(Daten_Salden!$A:$ZZ,MATCH($B19&amp;"|Export",Daten_Salden!$A$1:$A$331,0),$BK$3)="",NA(),INDEX(Daten_Salden!$A:$ZZ,MATCH($B19&amp;"|Export",Daten_Salden!$A$1:$A$331,0),$BK$3)),NA()),"")</f>
        <v>22</v>
      </c>
      <c r="R19" s="48">
        <f>IFERROR(IF(INDEX(Daten_Salden!$A:$ZZ,MATCH($B19&amp;"|Investitionen",Daten_Salden!$A$1:$A$331,0),$BK$1)="","",INDEX(Daten_Salden!$A:$ZZ,MATCH($B19&amp;"|Investitionen",Daten_Salden!$A$1:$A$331,0),$BK$1)),"")</f>
        <v>-12</v>
      </c>
      <c r="S19" s="49">
        <f>IFERROR(R19-IFERROR(IF(INDEX(Daten_Salden!$A:$ZZ,MATCH($B19&amp;"|Investitionen",Daten_Salden!$A$1:$A$331,0),$BK$2)="",NA(),INDEX(Daten_Salden!$A:$ZZ,MATCH($B19&amp;"|Investitionen",Daten_Salden!$A$1:$A$331,0),$BK$2)),NA()),"")</f>
        <v>-5</v>
      </c>
      <c r="T19" s="49">
        <f>IFERROR(R19-IFERROR(IF(INDEX(Daten_Salden!$A:$ZZ,MATCH($B19&amp;"|Investitionen",Daten_Salden!$A$1:$A$331,0),$BK$3)="",NA(),INDEX(Daten_Salden!$A:$ZZ,MATCH($B19&amp;"|Investitionen",Daten_Salden!$A$1:$A$331,0),$BK$3)),NA()),"")</f>
        <v>-1</v>
      </c>
      <c r="U19" s="48">
        <f>IFERROR(IF(INDEX(Daten_Salden!$A:$ZZ,MATCH($B19&amp;"|Beschäftigung",Daten_Salden!$A$1:$A$331,0),$BK$1)="","",INDEX(Daten_Salden!$A:$ZZ,MATCH($B19&amp;"|Beschäftigung",Daten_Salden!$A$1:$A$331,0),$BK$1)),"")</f>
        <v>-14</v>
      </c>
      <c r="V19" s="49">
        <f>IFERROR(U19-IFERROR(IF(INDEX(Daten_Salden!$A:$ZZ,MATCH($B19&amp;"|Beschäftigung",Daten_Salden!$A$1:$A$331,0),$BK$2)="",NA(),INDEX(Daten_Salden!$A:$ZZ,MATCH($B19&amp;"|Beschäftigung",Daten_Salden!$A$1:$A$331,0),$BK$2)),NA()),"")</f>
        <v>-1</v>
      </c>
      <c r="W19" s="49">
        <f>IFERROR(U19-IFERROR(IF(INDEX(Daten_Salden!$A:$ZZ,MATCH($B19&amp;"|Beschäftigung",Daten_Salden!$A$1:$A$331,0),$BK$3)="",NA(),INDEX(Daten_Salden!$A:$ZZ,MATCH($B19&amp;"|Beschäftigung",Daten_Salden!$A$1:$A$331,0),$BK$3)),NA()),"")</f>
        <v>11</v>
      </c>
      <c r="X19" s="50">
        <f>IFERROR(IF(INDEX(Daten_Risiken!$A:$ZZ,MATCH($B19&amp;"|Energie- und Rohstoffpreise",Daten_Risiken!$A$1:$A$529,0),$BK$4)="","",INDEX(Daten_Risiken!$A:$ZZ,MATCH($B19&amp;"|Energie- und Rohstoffpreise",Daten_Risiken!$A$1:$A$529,0),$BK$4)),"")</f>
        <v>88</v>
      </c>
      <c r="Y19" s="49">
        <f>IFERROR(X19-IFERROR(IF(INDEX(Daten_Risiken!$A:$ZZ,MATCH($B19&amp;"|Energie- und Rohstoffpreise",Daten_Risiken!$A$1:$A$529,0),$BK$5)="",NA(),INDEX(Daten_Risiken!$A:$ZZ,MATCH($B19&amp;"|Energie- und Rohstoffpreise",Daten_Risiken!$A$1:$A$529,0),$BK$5)),NA()),"")</f>
        <v>-2</v>
      </c>
      <c r="Z19" s="49">
        <f>IFERROR(X19-IFERROR(IF(INDEX(Daten_Risiken!$A:$ZZ,MATCH($B19&amp;"|Energie- und Rohstoffpreise",Daten_Risiken!$A$1:$A$529,0),$BK$6)="",NA(),INDEX(Daten_Risiken!$A:$ZZ,MATCH($B19&amp;"|Energie- und Rohstoffpreise",Daten_Risiken!$A$1:$A$529,0),$BK$6)),NA()),"")</f>
        <v>23</v>
      </c>
      <c r="AA19" s="50">
        <f>IFERROR(IF(INDEX(Daten_Risiken!$A:$ZZ,MATCH($B19&amp;"|Arbeitskosten",Daten_Risiken!$A$1:$A$529,0),$BK$4)="","",INDEX(Daten_Risiken!$A:$ZZ,MATCH($B19&amp;"|Arbeitskosten",Daten_Risiken!$A$1:$A$529,0),$BK$4)),"")</f>
        <v>55</v>
      </c>
      <c r="AB19" s="49">
        <f>IFERROR(AA19-IFERROR(IF(INDEX(Daten_Risiken!$A:$ZZ,MATCH($B19&amp;"|Arbeitskosten",Daten_Risiken!$A$1:$A$529,0),$BK$5)="",NA(),INDEX(Daten_Risiken!$A:$ZZ,MATCH($B19&amp;"|Arbeitskosten",Daten_Risiken!$A$1:$A$529,0),$BK$5)),NA()),"")</f>
        <v>7</v>
      </c>
      <c r="AC19" s="49">
        <f>IFERROR(AA19-IFERROR(IF(INDEX(Daten_Risiken!$A:$ZZ,MATCH($B19&amp;"|Arbeitskosten",Daten_Risiken!$A$1:$A$529,0),$BK$6)="",NA(),INDEX(Daten_Risiken!$A:$ZZ,MATCH($B19&amp;"|Arbeitskosten",Daten_Risiken!$A$1:$A$529,0),$BK$6)),NA()),"")</f>
        <v>7</v>
      </c>
      <c r="AD19" s="50">
        <f>IFERROR(IF(INDEX(Daten_Risiken!$A:$ZZ,MATCH($B19&amp;"|Inlandsnachfrage",Daten_Risiken!$A$1:$A$529,0),$BK$4)="","",INDEX(Daten_Risiken!$A:$ZZ,MATCH($B19&amp;"|Inlandsnachfrage",Daten_Risiken!$A$1:$A$529,0),$BK$4)),"")</f>
        <v>57</v>
      </c>
      <c r="AE19" s="49">
        <f>IFERROR(AD19-IFERROR(IF(INDEX(Daten_Risiken!$A:$ZZ,MATCH($B19&amp;"|Inlandsnachfrage",Daten_Risiken!$A$1:$A$529,0),$BK$5)="",NA(),INDEX(Daten_Risiken!$A:$ZZ,MATCH($B19&amp;"|Inlandsnachfrage",Daten_Risiken!$A$1:$A$529,0),$BK$5)),NA()),"")</f>
        <v>-1</v>
      </c>
      <c r="AF19" s="49">
        <f>IFERROR(AD19-IFERROR(IF(INDEX(Daten_Risiken!$A:$ZZ,MATCH($B19&amp;"|Inlandsnachfrage",Daten_Risiken!$A$1:$A$529,0),$BK$6)="",NA(),INDEX(Daten_Risiken!$A:$ZZ,MATCH($B19&amp;"|Inlandsnachfrage",Daten_Risiken!$A$1:$A$529,0),$BK$6)),NA()),"")</f>
        <v>-11</v>
      </c>
      <c r="AG19" s="50">
        <f>IFERROR(IF(INDEX(Daten_Risiken!$A:$ZZ,MATCH($B19&amp;"|Wirtschaftspolitische Rahmenbedingungen",Daten_Risiken!$A$1:$A$529,0),$BK$4)="","",INDEX(Daten_Risiken!$A:$ZZ,MATCH($B19&amp;"|Wirtschaftspolitische Rahmenbedingungen",Daten_Risiken!$A$1:$A$529,0),$BK$4)),"")</f>
        <v>60</v>
      </c>
      <c r="AH19" s="49">
        <f>IFERROR(AG19-IFERROR(IF(INDEX(Daten_Risiken!$A:$ZZ,MATCH($B19&amp;"|Wirtschaftspolitische Rahmenbedingungen",Daten_Risiken!$A$1:$A$529,0),$BK$5)="",NA(),INDEX(Daten_Risiken!$A:$ZZ,MATCH($B19&amp;"|Wirtschaftspolitische Rahmenbedingungen",Daten_Risiken!$A$1:$A$529,0),$BK$5)),NA()),"")</f>
        <v>-4</v>
      </c>
      <c r="AI19" s="49">
        <f>IFERROR(AG19-IFERROR(IF(INDEX(Daten_Risiken!$A:$ZZ,MATCH($B19&amp;"|Wirtschaftspolitische Rahmenbedingungen",Daten_Risiken!$A$1:$A$529,0),$BK$6)="",NA(),INDEX(Daten_Risiken!$A:$ZZ,MATCH($B19&amp;"|Wirtschaftspolitische Rahmenbedingungen",Daten_Risiken!$A$1:$A$529,0),$BK$6)),NA()),"")</f>
        <v>-4</v>
      </c>
      <c r="AJ19" s="50">
        <f>IFERROR(IF(INDEX(Daten_Risiken!$A:$ZZ,MATCH($B19&amp;"|Fachkräftemangel",Daten_Risiken!$A$1:$A$529,0),$BK$4)="","",INDEX(Daten_Risiken!$A:$ZZ,MATCH($B19&amp;"|Fachkräftemangel",Daten_Risiken!$A$1:$A$529,0),$BK$4)),"")</f>
        <v>20</v>
      </c>
      <c r="AK19" s="49">
        <f>IFERROR(AJ19-IFERROR(IF(INDEX(Daten_Risiken!$A:$ZZ,MATCH($B19&amp;"|Fachkräftemangel",Daten_Risiken!$A$1:$A$529,0),$BK$5)="",NA(),INDEX(Daten_Risiken!$A:$ZZ,MATCH($B19&amp;"|Fachkräftemangel",Daten_Risiken!$A$1:$A$529,0),$BK$5)),NA()),"")</f>
        <v>-2</v>
      </c>
      <c r="AL19" s="49">
        <f>IFERROR(AJ19-IFERROR(IF(INDEX(Daten_Risiken!$A:$ZZ,MATCH($B19&amp;"|Fachkräftemangel",Daten_Risiken!$A$1:$A$529,0),$BK$6)="",NA(),INDEX(Daten_Risiken!$A:$ZZ,MATCH($B19&amp;"|Fachkräftemangel",Daten_Risiken!$A$1:$A$529,0),$BK$6)),NA()),"")</f>
        <v>-3</v>
      </c>
      <c r="AM19" s="50">
        <f>IFERROR(IF(INDEX(Daten_Risiken!$A:$ZZ,MATCH($B19&amp;"|Auslandsnachfrage",Daten_Risiken!$A$1:$A$529,0),$BK$4)="","",INDEX(Daten_Risiken!$A:$ZZ,MATCH($B19&amp;"|Auslandsnachfrage",Daten_Risiken!$A$1:$A$529,0),$BK$4)),"")</f>
        <v>32</v>
      </c>
      <c r="AN19" s="49">
        <f>IFERROR(AM19-IFERROR(IF(INDEX(Daten_Risiken!$A:$ZZ,MATCH($B19&amp;"|Auslandsnachfrage",Daten_Risiken!$A$1:$A$529,0),$BK$5)="",NA(),INDEX(Daten_Risiken!$A:$ZZ,MATCH($B19&amp;"|Auslandsnachfrage",Daten_Risiken!$A$1:$A$529,0),$BK$5)),NA()),"")</f>
        <v>-8</v>
      </c>
      <c r="AO19" s="49">
        <f>IFERROR(AM19-IFERROR(IF(INDEX(Daten_Risiken!$A:$ZZ,MATCH($B19&amp;"|Auslandsnachfrage",Daten_Risiken!$A$1:$A$529,0),$BK$6)="",NA(),INDEX(Daten_Risiken!$A:$ZZ,MATCH($B19&amp;"|Auslandsnachfrage",Daten_Risiken!$A$1:$A$529,0),$BK$6)),NA()),"")</f>
        <v>-9</v>
      </c>
      <c r="AP19" s="50">
        <f>IFERROR(IF(INDEX(Daten_Risiken!$A:$ZZ,MATCH($B19&amp;"|Finanzierung",Daten_Risiken!$A$1:$A$529,0),$BK$4)="","",INDEX(Daten_Risiken!$A:$ZZ,MATCH($B19&amp;"|Finanzierung",Daten_Risiken!$A$1:$A$529,0),$BK$4)),"")</f>
        <v>9</v>
      </c>
      <c r="AQ19" s="49">
        <f>IFERROR(AP19-IFERROR(IF(INDEX(Daten_Risiken!$A:$ZZ,MATCH($B19&amp;"|Finanzierung",Daten_Risiken!$A$1:$A$529,0),$BK$5)="",NA(),INDEX(Daten_Risiken!$A:$ZZ,MATCH($B19&amp;"|Finanzierung",Daten_Risiken!$A$1:$A$529,0),$BK$5)),NA()),"")</f>
        <v>3</v>
      </c>
      <c r="AR19" s="49">
        <f>IFERROR(AP19-IFERROR(IF(INDEX(Daten_Risiken!$A:$ZZ,MATCH($B19&amp;"|Finanzierung",Daten_Risiken!$A$1:$A$529,0),$BK$6)="",NA(),INDEX(Daten_Risiken!$A:$ZZ,MATCH($B19&amp;"|Finanzierung",Daten_Risiken!$A$1:$A$529,0),$BK$6)),NA()),"")</f>
        <v>4</v>
      </c>
      <c r="AS19" s="50">
        <f>IFERROR(IF(INDEX(Daten_Risiken!$A:$ZZ,MATCH($B19&amp;"|Wechselkurs",Daten_Risiken!$A$1:$A$529,0),$BK$4)="","",INDEX(Daten_Risiken!$A:$ZZ,MATCH($B19&amp;"|Wechselkurs",Daten_Risiken!$A$1:$A$529,0),$BK$4)),"")</f>
        <v>7</v>
      </c>
      <c r="AT19" s="49">
        <f>IFERROR(AS19-IFERROR(IF(INDEX(Daten_Risiken!$A:$ZZ,MATCH($B19&amp;"|Wechselkurs",Daten_Risiken!$A$1:$A$529,0),$BK$5)="",NA(),INDEX(Daten_Risiken!$A:$ZZ,MATCH($B19&amp;"|Wechselkurs",Daten_Risiken!$A$1:$A$529,0),$BK$5)),NA()),"")</f>
        <v>1</v>
      </c>
      <c r="AU19" s="49">
        <f>IFERROR(AS19-IFERROR(IF(INDEX(Daten_Risiken!$A:$ZZ,MATCH($B19&amp;"|Wechselkurs",Daten_Risiken!$A$1:$A$529,0),$BK$6)="",NA(),INDEX(Daten_Risiken!$A:$ZZ,MATCH($B19&amp;"|Wechselkurs",Daten_Risiken!$A$1:$A$529,0),$BK$6)),NA()),"")</f>
        <v>-6</v>
      </c>
      <c r="AV19" s="50">
        <f>IFERROR(IF(INDEX(Daten_Motive!$A:$ZZ,MATCH($B19&amp;"|Ersatzbedarf",Daten_Motive!$A$1:$A$331,0),$BK$7)="","",INDEX(Daten_Motive!$A:$ZZ,MATCH($B19&amp;"|Ersatzbedarf",Daten_Motive!$A$1:$A$331,0),$BK$7)),"")</f>
        <v>68</v>
      </c>
      <c r="AW19" s="49">
        <f>IFERROR(AV19-IFERROR(IF(INDEX(Daten_Motive!$A:$ZZ,MATCH($B19&amp;"|Ersatzbedarf",Daten_Motive!$A$1:$A$331,0),$BK$8)="",NA(),INDEX(Daten_Motive!$A:$ZZ,MATCH($B19&amp;"|Ersatzbedarf",Daten_Motive!$A$1:$A$331,0),$BK$8)),NA()),"")</f>
        <v>7</v>
      </c>
      <c r="AX19" s="49">
        <f>IFERROR(AV19-IFERROR(IF(INDEX(Daten_Motive!$A:$ZZ,MATCH($B19&amp;"|Ersatzbedarf",Daten_Motive!$A$1:$A$331,0),$BK$9)="",NA(),INDEX(Daten_Motive!$A:$ZZ,MATCH($B19&amp;"|Ersatzbedarf",Daten_Motive!$A$1:$A$331,0),$BK$9)),NA()),"")</f>
        <v>8</v>
      </c>
      <c r="AY19" s="50">
        <f>IFERROR(IF(INDEX(Daten_Motive!$A:$ZZ,MATCH($B19&amp;"|Rationalisierung",Daten_Motive!$A$1:$A$331,0),$BK$7)="","",INDEX(Daten_Motive!$A:$ZZ,MATCH($B19&amp;"|Rationalisierung",Daten_Motive!$A$1:$A$331,0),$BK$7)),"")</f>
        <v>47</v>
      </c>
      <c r="AZ19" s="49">
        <f>IFERROR(AY19-IFERROR(IF(INDEX(Daten_Motive!$A:$ZZ,MATCH($B19&amp;"|Rationalisierung",Daten_Motive!$A$1:$A$331,0),$BK$8)="",NA(),INDEX(Daten_Motive!$A:$ZZ,MATCH($B19&amp;"|Rationalisierung",Daten_Motive!$A$1:$A$331,0),$BK$8)),NA()),"")</f>
        <v>6</v>
      </c>
      <c r="BA19" s="49">
        <f>IFERROR(AY19-IFERROR(IF(INDEX(Daten_Motive!$A:$ZZ,MATCH($B19&amp;"|Rationalisierung",Daten_Motive!$A$1:$A$331,0),$BK$9)="",NA(),INDEX(Daten_Motive!$A:$ZZ,MATCH($B19&amp;"|Rationalisierung",Daten_Motive!$A$1:$A$331,0),$BK$9)),NA()),"")</f>
        <v>2</v>
      </c>
      <c r="BB19" s="50">
        <f>IFERROR(IF(INDEX(Daten_Motive!$A:$ZZ,MATCH($B19&amp;"|Produktinnovation",Daten_Motive!$A$1:$A$331,0),$BK$7)="","",INDEX(Daten_Motive!$A:$ZZ,MATCH($B19&amp;"|Produktinnovation",Daten_Motive!$A$1:$A$331,0),$BK$7)),"")</f>
        <v>26</v>
      </c>
      <c r="BC19" s="49">
        <f>IFERROR(BB19-IFERROR(IF(INDEX(Daten_Motive!$A:$ZZ,MATCH($B19&amp;"|Produktinnovation",Daten_Motive!$A$1:$A$331,0),$BK$8)="",NA(),INDEX(Daten_Motive!$A:$ZZ,MATCH($B19&amp;"|Produktinnovation",Daten_Motive!$A$1:$A$331,0),$BK$8)),NA()),"")</f>
        <v>-1</v>
      </c>
      <c r="BD19" s="49">
        <f>IFERROR(BB19-IFERROR(IF(INDEX(Daten_Motive!$A:$ZZ,MATCH($B19&amp;"|Produktinnovation",Daten_Motive!$A$1:$A$331,0),$BK$9)="",NA(),INDEX(Daten_Motive!$A:$ZZ,MATCH($B19&amp;"|Produktinnovation",Daten_Motive!$A$1:$A$331,0),$BK$9)),NA()),"")</f>
        <v>-1</v>
      </c>
      <c r="BE19" s="50">
        <f>IFERROR(IF(INDEX(Daten_Motive!$A:$ZZ,MATCH($B19&amp;"|Umweltschutz",Daten_Motive!$A$1:$A$331,0),$BK$7)="","",INDEX(Daten_Motive!$A:$ZZ,MATCH($B19&amp;"|Umweltschutz",Daten_Motive!$A$1:$A$331,0),$BK$7)),"")</f>
        <v>24</v>
      </c>
      <c r="BF19" s="49">
        <f>IFERROR(BE19-IFERROR(IF(INDEX(Daten_Motive!$A:$ZZ,MATCH($B19&amp;"|Umweltschutz",Daten_Motive!$A$1:$A$331,0),$BK$8)="",NA(),INDEX(Daten_Motive!$A:$ZZ,MATCH($B19&amp;"|Umweltschutz",Daten_Motive!$A$1:$A$331,0),$BK$8)),NA()),"")</f>
        <v>-2</v>
      </c>
      <c r="BG19" s="49">
        <f>IFERROR(BE19-IFERROR(IF(INDEX(Daten_Motive!$A:$ZZ,MATCH($B19&amp;"|Umweltschutz",Daten_Motive!$A$1:$A$331,0),$BK$9)="",NA(),INDEX(Daten_Motive!$A:$ZZ,MATCH($B19&amp;"|Umweltschutz",Daten_Motive!$A$1:$A$331,0),$BK$9)),NA()),"")</f>
        <v>-10</v>
      </c>
      <c r="BH19" s="50">
        <f>IFERROR(IF(INDEX(Daten_Motive!$A:$ZZ,MATCH($B19&amp;"|Kapazitätserweiterung",Daten_Motive!$A$1:$A$331,0),$BK$7)="","",INDEX(Daten_Motive!$A:$ZZ,MATCH($B19&amp;"|Kapazitätserweiterung",Daten_Motive!$A$1:$A$331,0),$BK$7)),"")</f>
        <v>23</v>
      </c>
      <c r="BI19" s="49">
        <f>IFERROR(BH19-IFERROR(IF(INDEX(Daten_Motive!$A:$ZZ,MATCH($B19&amp;"|Kapazitätserweiterung",Daten_Motive!$A$1:$A$331,0),$BK$8)="",NA(),INDEX(Daten_Motive!$A:$ZZ,MATCH($B19&amp;"|Kapazitätserweiterung",Daten_Motive!$A$1:$A$331,0),$BK$8)),NA()),"")</f>
        <v>0</v>
      </c>
      <c r="BJ19" s="49">
        <f>IFERROR(BH19-IFERROR(IF(INDEX(Daten_Motive!$A:$ZZ,MATCH($B19&amp;"|Kapazitätserweiterung",Daten_Motive!$A$1:$A$331,0),$BK$9)="",NA(),INDEX(Daten_Motive!$A:$ZZ,MATCH($B19&amp;"|Kapazitätserweiterung",Daten_Motive!$A$1:$A$331,0),$BK$9)),NA()),"")</f>
        <v>0</v>
      </c>
    </row>
    <row r="20" spans="1:62" x14ac:dyDescent="0.25">
      <c r="A20" s="42">
        <v>12</v>
      </c>
      <c r="B20" s="52" t="str">
        <f>Listen!A13</f>
        <v>Pharmazeutische Industrie</v>
      </c>
      <c r="C20" s="44" t="s">
        <v>4506</v>
      </c>
      <c r="D20" s="44" t="str">
        <f>Listen!B13</f>
        <v>Industrie</v>
      </c>
      <c r="E20" s="45">
        <f>IFERROR(IF(INDEX(Daten_Anteile!$A:$ZZ,MATCH($B20&amp;"|Lage|"&amp;$C$3,Daten_Anteile!$A$1:$A$2971,0),5)="","",INDEX(Daten_Anteile!$A:$ZZ,MATCH($B20&amp;"|Lage|"&amp;$C$3,Daten_Anteile!$A$1:$A$2971,0),5)),"")</f>
        <v>66</v>
      </c>
      <c r="F20" s="46">
        <f t="shared" si="0"/>
        <v>108.9</v>
      </c>
      <c r="G20" s="47">
        <f t="shared" si="1"/>
        <v>-5.7</v>
      </c>
      <c r="H20" s="47">
        <f t="shared" si="2"/>
        <v>3</v>
      </c>
      <c r="I20" s="48">
        <f>IFERROR(IF(INDEX(Daten_Salden!$A:$ZZ,MATCH($B20&amp;"|Lage",Daten_Salden!$A$1:$A$331,0),$BK$1)="","",INDEX(Daten_Salden!$A:$ZZ,MATCH($B20&amp;"|Lage",Daten_Salden!$A$1:$A$331,0),$BK$1)),"")</f>
        <v>21</v>
      </c>
      <c r="J20" s="49">
        <f>IFERROR(I20-IFERROR(IF(INDEX(Daten_Salden!$A:$ZZ,MATCH($B20&amp;"|Lage",Daten_Salden!$A$1:$A$331,0),$BK$2)="",NA(),INDEX(Daten_Salden!$A:$ZZ,MATCH($B20&amp;"|Lage",Daten_Salden!$A$1:$A$331,0),$BK$2)),NA()),"")</f>
        <v>-4</v>
      </c>
      <c r="K20" s="49">
        <f>IFERROR(I20-IFERROR(IF(INDEX(Daten_Salden!$A:$ZZ,MATCH($B20&amp;"|Lage",Daten_Salden!$A$1:$A$331,0),$BK$3)="",NA(),INDEX(Daten_Salden!$A:$ZZ,MATCH($B20&amp;"|Lage",Daten_Salden!$A$1:$A$331,0),$BK$3)),NA()),"")</f>
        <v>3</v>
      </c>
      <c r="L20" s="48">
        <f>IFERROR(IF(INDEX(Daten_Salden!$A:$ZZ,MATCH($B20&amp;"|Erwartungen",Daten_Salden!$A$1:$A$331,0),$BK$1)="","",INDEX(Daten_Salden!$A:$ZZ,MATCH($B20&amp;"|Erwartungen",Daten_Salden!$A$1:$A$331,0),$BK$1)),"")</f>
        <v>-2</v>
      </c>
      <c r="M20" s="49">
        <f>IFERROR(L20-IFERROR(IF(INDEX(Daten_Salden!$A:$ZZ,MATCH($B20&amp;"|Erwartungen",Daten_Salden!$A$1:$A$331,0),$BK$2)="",NA(),INDEX(Daten_Salden!$A:$ZZ,MATCH($B20&amp;"|Erwartungen",Daten_Salden!$A$1:$A$331,0),$BK$2)),NA()),"")</f>
        <v>-7</v>
      </c>
      <c r="N20" s="49">
        <f>IFERROR(L20-IFERROR(IF(INDEX(Daten_Salden!$A:$ZZ,MATCH($B20&amp;"|Erwartungen",Daten_Salden!$A$1:$A$331,0),$BK$3)="",NA(),INDEX(Daten_Salden!$A:$ZZ,MATCH($B20&amp;"|Erwartungen",Daten_Salden!$A$1:$A$331,0),$BK$3)),NA()),"")</f>
        <v>3</v>
      </c>
      <c r="O20" s="48">
        <f>IFERROR(IF(INDEX(Daten_Salden!$A:$ZZ,MATCH($B20&amp;"|Export",Daten_Salden!$A$1:$A$331,0),$BK$1)="","",INDEX(Daten_Salden!$A:$ZZ,MATCH($B20&amp;"|Export",Daten_Salden!$A$1:$A$331,0),$BK$1)),"")</f>
        <v>24</v>
      </c>
      <c r="P20" s="49">
        <f>IFERROR(O20-IFERROR(IF(INDEX(Daten_Salden!$A:$ZZ,MATCH($B20&amp;"|Export",Daten_Salden!$A$1:$A$331,0),$BK$2)="",NA(),INDEX(Daten_Salden!$A:$ZZ,MATCH($B20&amp;"|Export",Daten_Salden!$A$1:$A$331,0),$BK$2)),NA()),"")</f>
        <v>8</v>
      </c>
      <c r="Q20" s="49">
        <f>IFERROR(O20-IFERROR(IF(INDEX(Daten_Salden!$A:$ZZ,MATCH($B20&amp;"|Export",Daten_Salden!$A$1:$A$331,0),$BK$3)="",NA(),INDEX(Daten_Salden!$A:$ZZ,MATCH($B20&amp;"|Export",Daten_Salden!$A$1:$A$331,0),$BK$3)),NA()),"")</f>
        <v>26</v>
      </c>
      <c r="R20" s="48">
        <f>IFERROR(IF(INDEX(Daten_Salden!$A:$ZZ,MATCH($B20&amp;"|Investitionen",Daten_Salden!$A$1:$A$331,0),$BK$1)="","",INDEX(Daten_Salden!$A:$ZZ,MATCH($B20&amp;"|Investitionen",Daten_Salden!$A$1:$A$331,0),$BK$1)),"")</f>
        <v>7</v>
      </c>
      <c r="S20" s="49">
        <f>IFERROR(R20-IFERROR(IF(INDEX(Daten_Salden!$A:$ZZ,MATCH($B20&amp;"|Investitionen",Daten_Salden!$A$1:$A$331,0),$BK$2)="",NA(),INDEX(Daten_Salden!$A:$ZZ,MATCH($B20&amp;"|Investitionen",Daten_Salden!$A$1:$A$331,0),$BK$2)),NA()),"")</f>
        <v>2</v>
      </c>
      <c r="T20" s="49">
        <f>IFERROR(R20-IFERROR(IF(INDEX(Daten_Salden!$A:$ZZ,MATCH($B20&amp;"|Investitionen",Daten_Salden!$A$1:$A$331,0),$BK$3)="",NA(),INDEX(Daten_Salden!$A:$ZZ,MATCH($B20&amp;"|Investitionen",Daten_Salden!$A$1:$A$331,0),$BK$3)),NA()),"")</f>
        <v>7</v>
      </c>
      <c r="U20" s="48">
        <f>IFERROR(IF(INDEX(Daten_Salden!$A:$ZZ,MATCH($B20&amp;"|Beschäftigung",Daten_Salden!$A$1:$A$331,0),$BK$1)="","",INDEX(Daten_Salden!$A:$ZZ,MATCH($B20&amp;"|Beschäftigung",Daten_Salden!$A$1:$A$331,0),$BK$1)),"")</f>
        <v>-5</v>
      </c>
      <c r="V20" s="49">
        <f>IFERROR(U20-IFERROR(IF(INDEX(Daten_Salden!$A:$ZZ,MATCH($B20&amp;"|Beschäftigung",Daten_Salden!$A$1:$A$331,0),$BK$2)="",NA(),INDEX(Daten_Salden!$A:$ZZ,MATCH($B20&amp;"|Beschäftigung",Daten_Salden!$A$1:$A$331,0),$BK$2)),NA()),"")</f>
        <v>2</v>
      </c>
      <c r="W20" s="49">
        <f>IFERROR(U20-IFERROR(IF(INDEX(Daten_Salden!$A:$ZZ,MATCH($B20&amp;"|Beschäftigung",Daten_Salden!$A$1:$A$331,0),$BK$3)="",NA(),INDEX(Daten_Salden!$A:$ZZ,MATCH($B20&amp;"|Beschäftigung",Daten_Salden!$A$1:$A$331,0),$BK$3)),NA()),"")</f>
        <v>-9</v>
      </c>
      <c r="X20" s="50">
        <f>IFERROR(IF(INDEX(Daten_Risiken!$A:$ZZ,MATCH($B20&amp;"|Energie- und Rohstoffpreise",Daten_Risiken!$A$1:$A$529,0),$BK$4)="","",INDEX(Daten_Risiken!$A:$ZZ,MATCH($B20&amp;"|Energie- und Rohstoffpreise",Daten_Risiken!$A$1:$A$529,0),$BK$4)),"")</f>
        <v>71</v>
      </c>
      <c r="Y20" s="49">
        <f>IFERROR(X20-IFERROR(IF(INDEX(Daten_Risiken!$A:$ZZ,MATCH($B20&amp;"|Energie- und Rohstoffpreise",Daten_Risiken!$A$1:$A$529,0),$BK$5)="",NA(),INDEX(Daten_Risiken!$A:$ZZ,MATCH($B20&amp;"|Energie- und Rohstoffpreise",Daten_Risiken!$A$1:$A$529,0),$BK$5)),NA()),"")</f>
        <v>9</v>
      </c>
      <c r="Z20" s="49">
        <f>IFERROR(X20-IFERROR(IF(INDEX(Daten_Risiken!$A:$ZZ,MATCH($B20&amp;"|Energie- und Rohstoffpreise",Daten_Risiken!$A$1:$A$529,0),$BK$6)="",NA(),INDEX(Daten_Risiken!$A:$ZZ,MATCH($B20&amp;"|Energie- und Rohstoffpreise",Daten_Risiken!$A$1:$A$529,0),$BK$6)),NA()),"")</f>
        <v>12</v>
      </c>
      <c r="AA20" s="50">
        <f>IFERROR(IF(INDEX(Daten_Risiken!$A:$ZZ,MATCH($B20&amp;"|Arbeitskosten",Daten_Risiken!$A$1:$A$529,0),$BK$4)="","",INDEX(Daten_Risiken!$A:$ZZ,MATCH($B20&amp;"|Arbeitskosten",Daten_Risiken!$A$1:$A$529,0),$BK$4)),"")</f>
        <v>39</v>
      </c>
      <c r="AB20" s="49">
        <f>IFERROR(AA20-IFERROR(IF(INDEX(Daten_Risiken!$A:$ZZ,MATCH($B20&amp;"|Arbeitskosten",Daten_Risiken!$A$1:$A$529,0),$BK$5)="",NA(),INDEX(Daten_Risiken!$A:$ZZ,MATCH($B20&amp;"|Arbeitskosten",Daten_Risiken!$A$1:$A$529,0),$BK$5)),NA()),"")</f>
        <v>-9</v>
      </c>
      <c r="AC20" s="49">
        <f>IFERROR(AA20-IFERROR(IF(INDEX(Daten_Risiken!$A:$ZZ,MATCH($B20&amp;"|Arbeitskosten",Daten_Risiken!$A$1:$A$529,0),$BK$6)="",NA(),INDEX(Daten_Risiken!$A:$ZZ,MATCH($B20&amp;"|Arbeitskosten",Daten_Risiken!$A$1:$A$529,0),$BK$6)),NA()),"")</f>
        <v>-8</v>
      </c>
      <c r="AD20" s="50">
        <f>IFERROR(IF(INDEX(Daten_Risiken!$A:$ZZ,MATCH($B20&amp;"|Inlandsnachfrage",Daten_Risiken!$A$1:$A$529,0),$BK$4)="","",INDEX(Daten_Risiken!$A:$ZZ,MATCH($B20&amp;"|Inlandsnachfrage",Daten_Risiken!$A$1:$A$529,0),$BK$4)),"")</f>
        <v>41</v>
      </c>
      <c r="AE20" s="49">
        <f>IFERROR(AD20-IFERROR(IF(INDEX(Daten_Risiken!$A:$ZZ,MATCH($B20&amp;"|Inlandsnachfrage",Daten_Risiken!$A$1:$A$529,0),$BK$5)="",NA(),INDEX(Daten_Risiken!$A:$ZZ,MATCH($B20&amp;"|Inlandsnachfrage",Daten_Risiken!$A$1:$A$529,0),$BK$5)),NA()),"")</f>
        <v>-8</v>
      </c>
      <c r="AF20" s="49">
        <f>IFERROR(AD20-IFERROR(IF(INDEX(Daten_Risiken!$A:$ZZ,MATCH($B20&amp;"|Inlandsnachfrage",Daten_Risiken!$A$1:$A$529,0),$BK$6)="",NA(),INDEX(Daten_Risiken!$A:$ZZ,MATCH($B20&amp;"|Inlandsnachfrage",Daten_Risiken!$A$1:$A$529,0),$BK$6)),NA()),"")</f>
        <v>-15</v>
      </c>
      <c r="AG20" s="50">
        <f>IFERROR(IF(INDEX(Daten_Risiken!$A:$ZZ,MATCH($B20&amp;"|Wirtschaftspolitische Rahmenbedingungen",Daten_Risiken!$A$1:$A$529,0),$BK$4)="","",INDEX(Daten_Risiken!$A:$ZZ,MATCH($B20&amp;"|Wirtschaftspolitische Rahmenbedingungen",Daten_Risiken!$A$1:$A$529,0),$BK$4)),"")</f>
        <v>65</v>
      </c>
      <c r="AH20" s="49">
        <f>IFERROR(AG20-IFERROR(IF(INDEX(Daten_Risiken!$A:$ZZ,MATCH($B20&amp;"|Wirtschaftspolitische Rahmenbedingungen",Daten_Risiken!$A$1:$A$529,0),$BK$5)="",NA(),INDEX(Daten_Risiken!$A:$ZZ,MATCH($B20&amp;"|Wirtschaftspolitische Rahmenbedingungen",Daten_Risiken!$A$1:$A$529,0),$BK$5)),NA()),"")</f>
        <v>-6</v>
      </c>
      <c r="AI20" s="49">
        <f>IFERROR(AG20-IFERROR(IF(INDEX(Daten_Risiken!$A:$ZZ,MATCH($B20&amp;"|Wirtschaftspolitische Rahmenbedingungen",Daten_Risiken!$A$1:$A$529,0),$BK$6)="",NA(),INDEX(Daten_Risiken!$A:$ZZ,MATCH($B20&amp;"|Wirtschaftspolitische Rahmenbedingungen",Daten_Risiken!$A$1:$A$529,0),$BK$6)),NA()),"")</f>
        <v>9</v>
      </c>
      <c r="AJ20" s="50">
        <f>IFERROR(IF(INDEX(Daten_Risiken!$A:$ZZ,MATCH($B20&amp;"|Fachkräftemangel",Daten_Risiken!$A$1:$A$529,0),$BK$4)="","",INDEX(Daten_Risiken!$A:$ZZ,MATCH($B20&amp;"|Fachkräftemangel",Daten_Risiken!$A$1:$A$529,0),$BK$4)),"")</f>
        <v>38</v>
      </c>
      <c r="AK20" s="49">
        <f>IFERROR(AJ20-IFERROR(IF(INDEX(Daten_Risiken!$A:$ZZ,MATCH($B20&amp;"|Fachkräftemangel",Daten_Risiken!$A$1:$A$529,0),$BK$5)="",NA(),INDEX(Daten_Risiken!$A:$ZZ,MATCH($B20&amp;"|Fachkräftemangel",Daten_Risiken!$A$1:$A$529,0),$BK$5)),NA()),"")</f>
        <v>10</v>
      </c>
      <c r="AL20" s="49">
        <f>IFERROR(AJ20-IFERROR(IF(INDEX(Daten_Risiken!$A:$ZZ,MATCH($B20&amp;"|Fachkräftemangel",Daten_Risiken!$A$1:$A$529,0),$BK$6)="",NA(),INDEX(Daten_Risiken!$A:$ZZ,MATCH($B20&amp;"|Fachkräftemangel",Daten_Risiken!$A$1:$A$529,0),$BK$6)),NA()),"")</f>
        <v>-6</v>
      </c>
      <c r="AM20" s="50">
        <f>IFERROR(IF(INDEX(Daten_Risiken!$A:$ZZ,MATCH($B20&amp;"|Auslandsnachfrage",Daten_Risiken!$A$1:$A$529,0),$BK$4)="","",INDEX(Daten_Risiken!$A:$ZZ,MATCH($B20&amp;"|Auslandsnachfrage",Daten_Risiken!$A$1:$A$529,0),$BK$4)),"")</f>
        <v>37</v>
      </c>
      <c r="AN20" s="49">
        <f>IFERROR(AM20-IFERROR(IF(INDEX(Daten_Risiken!$A:$ZZ,MATCH($B20&amp;"|Auslandsnachfrage",Daten_Risiken!$A$1:$A$529,0),$BK$5)="",NA(),INDEX(Daten_Risiken!$A:$ZZ,MATCH($B20&amp;"|Auslandsnachfrage",Daten_Risiken!$A$1:$A$529,0),$BK$5)),NA()),"")</f>
        <v>4</v>
      </c>
      <c r="AO20" s="49">
        <f>IFERROR(AM20-IFERROR(IF(INDEX(Daten_Risiken!$A:$ZZ,MATCH($B20&amp;"|Auslandsnachfrage",Daten_Risiken!$A$1:$A$529,0),$BK$6)="",NA(),INDEX(Daten_Risiken!$A:$ZZ,MATCH($B20&amp;"|Auslandsnachfrage",Daten_Risiken!$A$1:$A$529,0),$BK$6)),NA()),"")</f>
        <v>-2</v>
      </c>
      <c r="AP20" s="50">
        <f>IFERROR(IF(INDEX(Daten_Risiken!$A:$ZZ,MATCH($B20&amp;"|Finanzierung",Daten_Risiken!$A$1:$A$529,0),$BK$4)="","",INDEX(Daten_Risiken!$A:$ZZ,MATCH($B20&amp;"|Finanzierung",Daten_Risiken!$A$1:$A$529,0),$BK$4)),"")</f>
        <v>4</v>
      </c>
      <c r="AQ20" s="49">
        <f>IFERROR(AP20-IFERROR(IF(INDEX(Daten_Risiken!$A:$ZZ,MATCH($B20&amp;"|Finanzierung",Daten_Risiken!$A$1:$A$529,0),$BK$5)="",NA(),INDEX(Daten_Risiken!$A:$ZZ,MATCH($B20&amp;"|Finanzierung",Daten_Risiken!$A$1:$A$529,0),$BK$5)),NA()),"")</f>
        <v>1</v>
      </c>
      <c r="AR20" s="49">
        <f>IFERROR(AP20-IFERROR(IF(INDEX(Daten_Risiken!$A:$ZZ,MATCH($B20&amp;"|Finanzierung",Daten_Risiken!$A$1:$A$529,0),$BK$6)="",NA(),INDEX(Daten_Risiken!$A:$ZZ,MATCH($B20&amp;"|Finanzierung",Daten_Risiken!$A$1:$A$529,0),$BK$6)),NA()),"")</f>
        <v>-9</v>
      </c>
      <c r="AS20" s="50">
        <f>IFERROR(IF(INDEX(Daten_Risiken!$A:$ZZ,MATCH($B20&amp;"|Wechselkurs",Daten_Risiken!$A$1:$A$529,0),$BK$4)="","",INDEX(Daten_Risiken!$A:$ZZ,MATCH($B20&amp;"|Wechselkurs",Daten_Risiken!$A$1:$A$529,0),$BK$4)),"")</f>
        <v>8</v>
      </c>
      <c r="AT20" s="49">
        <f>IFERROR(AS20-IFERROR(IF(INDEX(Daten_Risiken!$A:$ZZ,MATCH($B20&amp;"|Wechselkurs",Daten_Risiken!$A$1:$A$529,0),$BK$5)="",NA(),INDEX(Daten_Risiken!$A:$ZZ,MATCH($B20&amp;"|Wechselkurs",Daten_Risiken!$A$1:$A$529,0),$BK$5)),NA()),"")</f>
        <v>-6</v>
      </c>
      <c r="AU20" s="49">
        <f>IFERROR(AS20-IFERROR(IF(INDEX(Daten_Risiken!$A:$ZZ,MATCH($B20&amp;"|Wechselkurs",Daten_Risiken!$A$1:$A$529,0),$BK$6)="",NA(),INDEX(Daten_Risiken!$A:$ZZ,MATCH($B20&amp;"|Wechselkurs",Daten_Risiken!$A$1:$A$529,0),$BK$6)),NA()),"")</f>
        <v>-5</v>
      </c>
      <c r="AV20" s="50">
        <f>IFERROR(IF(INDEX(Daten_Motive!$A:$ZZ,MATCH($B20&amp;"|Ersatzbedarf",Daten_Motive!$A$1:$A$331,0),$BK$7)="","",INDEX(Daten_Motive!$A:$ZZ,MATCH($B20&amp;"|Ersatzbedarf",Daten_Motive!$A$1:$A$331,0),$BK$7)),"")</f>
        <v>69</v>
      </c>
      <c r="AW20" s="49">
        <f>IFERROR(AV20-IFERROR(IF(INDEX(Daten_Motive!$A:$ZZ,MATCH($B20&amp;"|Ersatzbedarf",Daten_Motive!$A$1:$A$331,0),$BK$8)="",NA(),INDEX(Daten_Motive!$A:$ZZ,MATCH($B20&amp;"|Ersatzbedarf",Daten_Motive!$A$1:$A$331,0),$BK$8)),NA()),"")</f>
        <v>-4</v>
      </c>
      <c r="AX20" s="49">
        <f>IFERROR(AV20-IFERROR(IF(INDEX(Daten_Motive!$A:$ZZ,MATCH($B20&amp;"|Ersatzbedarf",Daten_Motive!$A$1:$A$331,0),$BK$9)="",NA(),INDEX(Daten_Motive!$A:$ZZ,MATCH($B20&amp;"|Ersatzbedarf",Daten_Motive!$A$1:$A$331,0),$BK$9)),NA()),"")</f>
        <v>11</v>
      </c>
      <c r="AY20" s="50">
        <f>IFERROR(IF(INDEX(Daten_Motive!$A:$ZZ,MATCH($B20&amp;"|Rationalisierung",Daten_Motive!$A$1:$A$331,0),$BK$7)="","",INDEX(Daten_Motive!$A:$ZZ,MATCH($B20&amp;"|Rationalisierung",Daten_Motive!$A$1:$A$331,0),$BK$7)),"")</f>
        <v>36</v>
      </c>
      <c r="AZ20" s="49">
        <f>IFERROR(AY20-IFERROR(IF(INDEX(Daten_Motive!$A:$ZZ,MATCH($B20&amp;"|Rationalisierung",Daten_Motive!$A$1:$A$331,0),$BK$8)="",NA(),INDEX(Daten_Motive!$A:$ZZ,MATCH($B20&amp;"|Rationalisierung",Daten_Motive!$A$1:$A$331,0),$BK$8)),NA()),"")</f>
        <v>-15</v>
      </c>
      <c r="BA20" s="49">
        <f>IFERROR(AY20-IFERROR(IF(INDEX(Daten_Motive!$A:$ZZ,MATCH($B20&amp;"|Rationalisierung",Daten_Motive!$A$1:$A$331,0),$BK$9)="",NA(),INDEX(Daten_Motive!$A:$ZZ,MATCH($B20&amp;"|Rationalisierung",Daten_Motive!$A$1:$A$331,0),$BK$9)),NA()),"")</f>
        <v>3</v>
      </c>
      <c r="BB20" s="50">
        <f>IFERROR(IF(INDEX(Daten_Motive!$A:$ZZ,MATCH($B20&amp;"|Produktinnovation",Daten_Motive!$A$1:$A$331,0),$BK$7)="","",INDEX(Daten_Motive!$A:$ZZ,MATCH($B20&amp;"|Produktinnovation",Daten_Motive!$A$1:$A$331,0),$BK$7)),"")</f>
        <v>42</v>
      </c>
      <c r="BC20" s="49">
        <f>IFERROR(BB20-IFERROR(IF(INDEX(Daten_Motive!$A:$ZZ,MATCH($B20&amp;"|Produktinnovation",Daten_Motive!$A$1:$A$331,0),$BK$8)="",NA(),INDEX(Daten_Motive!$A:$ZZ,MATCH($B20&amp;"|Produktinnovation",Daten_Motive!$A$1:$A$331,0),$BK$8)),NA()),"")</f>
        <v>2</v>
      </c>
      <c r="BD20" s="49">
        <f>IFERROR(BB20-IFERROR(IF(INDEX(Daten_Motive!$A:$ZZ,MATCH($B20&amp;"|Produktinnovation",Daten_Motive!$A$1:$A$331,0),$BK$9)="",NA(),INDEX(Daten_Motive!$A:$ZZ,MATCH($B20&amp;"|Produktinnovation",Daten_Motive!$A$1:$A$331,0),$BK$9)),NA()),"")</f>
        <v>-3</v>
      </c>
      <c r="BE20" s="50">
        <f>IFERROR(IF(INDEX(Daten_Motive!$A:$ZZ,MATCH($B20&amp;"|Umweltschutz",Daten_Motive!$A$1:$A$331,0),$BK$7)="","",INDEX(Daten_Motive!$A:$ZZ,MATCH($B20&amp;"|Umweltschutz",Daten_Motive!$A$1:$A$331,0),$BK$7)),"")</f>
        <v>30</v>
      </c>
      <c r="BF20" s="49">
        <f>IFERROR(BE20-IFERROR(IF(INDEX(Daten_Motive!$A:$ZZ,MATCH($B20&amp;"|Umweltschutz",Daten_Motive!$A$1:$A$331,0),$BK$8)="",NA(),INDEX(Daten_Motive!$A:$ZZ,MATCH($B20&amp;"|Umweltschutz",Daten_Motive!$A$1:$A$331,0),$BK$8)),NA()),"")</f>
        <v>-14</v>
      </c>
      <c r="BG20" s="49">
        <f>IFERROR(BE20-IFERROR(IF(INDEX(Daten_Motive!$A:$ZZ,MATCH($B20&amp;"|Umweltschutz",Daten_Motive!$A$1:$A$331,0),$BK$9)="",NA(),INDEX(Daten_Motive!$A:$ZZ,MATCH($B20&amp;"|Umweltschutz",Daten_Motive!$A$1:$A$331,0),$BK$9)),NA()),"")</f>
        <v>-11</v>
      </c>
      <c r="BH20" s="50">
        <f>IFERROR(IF(INDEX(Daten_Motive!$A:$ZZ,MATCH($B20&amp;"|Kapazitätserweiterung",Daten_Motive!$A$1:$A$331,0),$BK$7)="","",INDEX(Daten_Motive!$A:$ZZ,MATCH($B20&amp;"|Kapazitätserweiterung",Daten_Motive!$A$1:$A$331,0),$BK$7)),"")</f>
        <v>41</v>
      </c>
      <c r="BI20" s="49">
        <f>IFERROR(BH20-IFERROR(IF(INDEX(Daten_Motive!$A:$ZZ,MATCH($B20&amp;"|Kapazitätserweiterung",Daten_Motive!$A$1:$A$331,0),$BK$8)="",NA(),INDEX(Daten_Motive!$A:$ZZ,MATCH($B20&amp;"|Kapazitätserweiterung",Daten_Motive!$A$1:$A$331,0),$BK$8)),NA()),"")</f>
        <v>3</v>
      </c>
      <c r="BJ20" s="49">
        <f>IFERROR(BH20-IFERROR(IF(INDEX(Daten_Motive!$A:$ZZ,MATCH($B20&amp;"|Kapazitätserweiterung",Daten_Motive!$A$1:$A$331,0),$BK$9)="",NA(),INDEX(Daten_Motive!$A:$ZZ,MATCH($B20&amp;"|Kapazitätserweiterung",Daten_Motive!$A$1:$A$331,0),$BK$9)),NA()),"")</f>
        <v>2</v>
      </c>
    </row>
    <row r="21" spans="1:62" x14ac:dyDescent="0.25">
      <c r="A21" s="42">
        <v>13</v>
      </c>
      <c r="B21" s="52" t="str">
        <f>Listen!A14</f>
        <v>Gummi- und Kunststoffindustrie</v>
      </c>
      <c r="C21" s="44" t="s">
        <v>4507</v>
      </c>
      <c r="D21" s="44" t="str">
        <f>Listen!B14</f>
        <v>Industrie</v>
      </c>
      <c r="E21" s="45">
        <f>IFERROR(IF(INDEX(Daten_Anteile!$A:$ZZ,MATCH($B21&amp;"|Lage|"&amp;$C$3,Daten_Anteile!$A$1:$A$2971,0),5)="","",INDEX(Daten_Anteile!$A:$ZZ,MATCH($B21&amp;"|Lage|"&amp;$C$3,Daten_Anteile!$A$1:$A$2971,0),5)),"")</f>
        <v>438</v>
      </c>
      <c r="F21" s="46">
        <f t="shared" si="0"/>
        <v>95.5</v>
      </c>
      <c r="G21" s="47">
        <f t="shared" si="1"/>
        <v>10.3</v>
      </c>
      <c r="H21" s="47">
        <f t="shared" si="2"/>
        <v>11.6</v>
      </c>
      <c r="I21" s="48">
        <f>IFERROR(IF(INDEX(Daten_Salden!$A:$ZZ,MATCH($B21&amp;"|Lage",Daten_Salden!$A$1:$A$331,0),$BK$1)="","",INDEX(Daten_Salden!$A:$ZZ,MATCH($B21&amp;"|Lage",Daten_Salden!$A$1:$A$331,0),$BK$1)),"")</f>
        <v>-3</v>
      </c>
      <c r="J21" s="49">
        <f>IFERROR(I21-IFERROR(IF(INDEX(Daten_Salden!$A:$ZZ,MATCH($B21&amp;"|Lage",Daten_Salden!$A$1:$A$331,0),$BK$2)="",NA(),INDEX(Daten_Salden!$A:$ZZ,MATCH($B21&amp;"|Lage",Daten_Salden!$A$1:$A$331,0),$BK$2)),NA()),"")</f>
        <v>4</v>
      </c>
      <c r="K21" s="49">
        <f>IFERROR(I21-IFERROR(IF(INDEX(Daten_Salden!$A:$ZZ,MATCH($B21&amp;"|Lage",Daten_Salden!$A$1:$A$331,0),$BK$3)="",NA(),INDEX(Daten_Salden!$A:$ZZ,MATCH($B21&amp;"|Lage",Daten_Salden!$A$1:$A$331,0),$BK$3)),NA()),"")</f>
        <v>18</v>
      </c>
      <c r="L21" s="48">
        <f>IFERROR(IF(INDEX(Daten_Salden!$A:$ZZ,MATCH($B21&amp;"|Erwartungen",Daten_Salden!$A$1:$A$331,0),$BK$1)="","",INDEX(Daten_Salden!$A:$ZZ,MATCH($B21&amp;"|Erwartungen",Daten_Salden!$A$1:$A$331,0),$BK$1)),"")</f>
        <v>-6</v>
      </c>
      <c r="M21" s="49">
        <f>IFERROR(L21-IFERROR(IF(INDEX(Daten_Salden!$A:$ZZ,MATCH($B21&amp;"|Erwartungen",Daten_Salden!$A$1:$A$331,0),$BK$2)="",NA(),INDEX(Daten_Salden!$A:$ZZ,MATCH($B21&amp;"|Erwartungen",Daten_Salden!$A$1:$A$331,0),$BK$2)),NA()),"")</f>
        <v>16</v>
      </c>
      <c r="N21" s="49">
        <f>IFERROR(L21-IFERROR(IF(INDEX(Daten_Salden!$A:$ZZ,MATCH($B21&amp;"|Erwartungen",Daten_Salden!$A$1:$A$331,0),$BK$3)="",NA(),INDEX(Daten_Salden!$A:$ZZ,MATCH($B21&amp;"|Erwartungen",Daten_Salden!$A$1:$A$331,0),$BK$3)),NA()),"")</f>
        <v>5</v>
      </c>
      <c r="O21" s="48">
        <f>IFERROR(IF(INDEX(Daten_Salden!$A:$ZZ,MATCH($B21&amp;"|Export",Daten_Salden!$A$1:$A$331,0),$BK$1)="","",INDEX(Daten_Salden!$A:$ZZ,MATCH($B21&amp;"|Export",Daten_Salden!$A$1:$A$331,0),$BK$1)),"")</f>
        <v>-3</v>
      </c>
      <c r="P21" s="49">
        <f>IFERROR(O21-IFERROR(IF(INDEX(Daten_Salden!$A:$ZZ,MATCH($B21&amp;"|Export",Daten_Salden!$A$1:$A$331,0),$BK$2)="",NA(),INDEX(Daten_Salden!$A:$ZZ,MATCH($B21&amp;"|Export",Daten_Salden!$A$1:$A$331,0),$BK$2)),NA()),"")</f>
        <v>12</v>
      </c>
      <c r="Q21" s="49">
        <f>IFERROR(O21-IFERROR(IF(INDEX(Daten_Salden!$A:$ZZ,MATCH($B21&amp;"|Export",Daten_Salden!$A$1:$A$331,0),$BK$3)="",NA(),INDEX(Daten_Salden!$A:$ZZ,MATCH($B21&amp;"|Export",Daten_Salden!$A$1:$A$331,0),$BK$3)),NA()),"")</f>
        <v>16</v>
      </c>
      <c r="R21" s="48">
        <f>IFERROR(IF(INDEX(Daten_Salden!$A:$ZZ,MATCH($B21&amp;"|Investitionen",Daten_Salden!$A$1:$A$331,0),$BK$1)="","",INDEX(Daten_Salden!$A:$ZZ,MATCH($B21&amp;"|Investitionen",Daten_Salden!$A$1:$A$331,0),$BK$1)),"")</f>
        <v>-9</v>
      </c>
      <c r="S21" s="49">
        <f>IFERROR(R21-IFERROR(IF(INDEX(Daten_Salden!$A:$ZZ,MATCH($B21&amp;"|Investitionen",Daten_Salden!$A$1:$A$331,0),$BK$2)="",NA(),INDEX(Daten_Salden!$A:$ZZ,MATCH($B21&amp;"|Investitionen",Daten_Salden!$A$1:$A$331,0),$BK$2)),NA()),"")</f>
        <v>7</v>
      </c>
      <c r="T21" s="49">
        <f>IFERROR(R21-IFERROR(IF(INDEX(Daten_Salden!$A:$ZZ,MATCH($B21&amp;"|Investitionen",Daten_Salden!$A$1:$A$331,0),$BK$3)="",NA(),INDEX(Daten_Salden!$A:$ZZ,MATCH($B21&amp;"|Investitionen",Daten_Salden!$A$1:$A$331,0),$BK$3)),NA()),"")</f>
        <v>15</v>
      </c>
      <c r="U21" s="48">
        <f>IFERROR(IF(INDEX(Daten_Salden!$A:$ZZ,MATCH($B21&amp;"|Beschäftigung",Daten_Salden!$A$1:$A$331,0),$BK$1)="","",INDEX(Daten_Salden!$A:$ZZ,MATCH($B21&amp;"|Beschäftigung",Daten_Salden!$A$1:$A$331,0),$BK$1)),"")</f>
        <v>-18</v>
      </c>
      <c r="V21" s="49">
        <f>IFERROR(U21-IFERROR(IF(INDEX(Daten_Salden!$A:$ZZ,MATCH($B21&amp;"|Beschäftigung",Daten_Salden!$A$1:$A$331,0),$BK$2)="",NA(),INDEX(Daten_Salden!$A:$ZZ,MATCH($B21&amp;"|Beschäftigung",Daten_Salden!$A$1:$A$331,0),$BK$2)),NA()),"")</f>
        <v>5</v>
      </c>
      <c r="W21" s="49">
        <f>IFERROR(U21-IFERROR(IF(INDEX(Daten_Salden!$A:$ZZ,MATCH($B21&amp;"|Beschäftigung",Daten_Salden!$A$1:$A$331,0),$BK$3)="",NA(),INDEX(Daten_Salden!$A:$ZZ,MATCH($B21&amp;"|Beschäftigung",Daten_Salden!$A$1:$A$331,0),$BK$3)),NA()),"")</f>
        <v>10</v>
      </c>
      <c r="X21" s="50">
        <f>IFERROR(IF(INDEX(Daten_Risiken!$A:$ZZ,MATCH($B21&amp;"|Energie- und Rohstoffpreise",Daten_Risiken!$A$1:$A$529,0),$BK$4)="","",INDEX(Daten_Risiken!$A:$ZZ,MATCH($B21&amp;"|Energie- und Rohstoffpreise",Daten_Risiken!$A$1:$A$529,0),$BK$4)),"")</f>
        <v>90</v>
      </c>
      <c r="Y21" s="49">
        <f>IFERROR(X21-IFERROR(IF(INDEX(Daten_Risiken!$A:$ZZ,MATCH($B21&amp;"|Energie- und Rohstoffpreise",Daten_Risiken!$A$1:$A$529,0),$BK$5)="",NA(),INDEX(Daten_Risiken!$A:$ZZ,MATCH($B21&amp;"|Energie- und Rohstoffpreise",Daten_Risiken!$A$1:$A$529,0),$BK$5)),NA()),"")</f>
        <v>-1</v>
      </c>
      <c r="Z21" s="49">
        <f>IFERROR(X21-IFERROR(IF(INDEX(Daten_Risiken!$A:$ZZ,MATCH($B21&amp;"|Energie- und Rohstoffpreise",Daten_Risiken!$A$1:$A$529,0),$BK$6)="",NA(),INDEX(Daten_Risiken!$A:$ZZ,MATCH($B21&amp;"|Energie- und Rohstoffpreise",Daten_Risiken!$A$1:$A$529,0),$BK$6)),NA()),"")</f>
        <v>21</v>
      </c>
      <c r="AA21" s="50">
        <f>IFERROR(IF(INDEX(Daten_Risiken!$A:$ZZ,MATCH($B21&amp;"|Arbeitskosten",Daten_Risiken!$A$1:$A$529,0),$BK$4)="","",INDEX(Daten_Risiken!$A:$ZZ,MATCH($B21&amp;"|Arbeitskosten",Daten_Risiken!$A$1:$A$529,0),$BK$4)),"")</f>
        <v>68</v>
      </c>
      <c r="AB21" s="49">
        <f>IFERROR(AA21-IFERROR(IF(INDEX(Daten_Risiken!$A:$ZZ,MATCH($B21&amp;"|Arbeitskosten",Daten_Risiken!$A$1:$A$529,0),$BK$5)="",NA(),INDEX(Daten_Risiken!$A:$ZZ,MATCH($B21&amp;"|Arbeitskosten",Daten_Risiken!$A$1:$A$529,0),$BK$5)),NA()),"")</f>
        <v>1</v>
      </c>
      <c r="AC21" s="49">
        <f>IFERROR(AA21-IFERROR(IF(INDEX(Daten_Risiken!$A:$ZZ,MATCH($B21&amp;"|Arbeitskosten",Daten_Risiken!$A$1:$A$529,0),$BK$6)="",NA(),INDEX(Daten_Risiken!$A:$ZZ,MATCH($B21&amp;"|Arbeitskosten",Daten_Risiken!$A$1:$A$529,0),$BK$6)),NA()),"")</f>
        <v>2</v>
      </c>
      <c r="AD21" s="50">
        <f>IFERROR(IF(INDEX(Daten_Risiken!$A:$ZZ,MATCH($B21&amp;"|Inlandsnachfrage",Daten_Risiken!$A$1:$A$529,0),$BK$4)="","",INDEX(Daten_Risiken!$A:$ZZ,MATCH($B21&amp;"|Inlandsnachfrage",Daten_Risiken!$A$1:$A$529,0),$BK$4)),"")</f>
        <v>61</v>
      </c>
      <c r="AE21" s="49">
        <f>IFERROR(AD21-IFERROR(IF(INDEX(Daten_Risiken!$A:$ZZ,MATCH($B21&amp;"|Inlandsnachfrage",Daten_Risiken!$A$1:$A$529,0),$BK$5)="",NA(),INDEX(Daten_Risiken!$A:$ZZ,MATCH($B21&amp;"|Inlandsnachfrage",Daten_Risiken!$A$1:$A$529,0),$BK$5)),NA()),"")</f>
        <v>0</v>
      </c>
      <c r="AF21" s="49">
        <f>IFERROR(AD21-IFERROR(IF(INDEX(Daten_Risiken!$A:$ZZ,MATCH($B21&amp;"|Inlandsnachfrage",Daten_Risiken!$A$1:$A$529,0),$BK$6)="",NA(),INDEX(Daten_Risiken!$A:$ZZ,MATCH($B21&amp;"|Inlandsnachfrage",Daten_Risiken!$A$1:$A$529,0),$BK$6)),NA()),"")</f>
        <v>-7</v>
      </c>
      <c r="AG21" s="50">
        <f>IFERROR(IF(INDEX(Daten_Risiken!$A:$ZZ,MATCH($B21&amp;"|Wirtschaftspolitische Rahmenbedingungen",Daten_Risiken!$A$1:$A$529,0),$BK$4)="","",INDEX(Daten_Risiken!$A:$ZZ,MATCH($B21&amp;"|Wirtschaftspolitische Rahmenbedingungen",Daten_Risiken!$A$1:$A$529,0),$BK$4)),"")</f>
        <v>56</v>
      </c>
      <c r="AH21" s="49">
        <f>IFERROR(AG21-IFERROR(IF(INDEX(Daten_Risiken!$A:$ZZ,MATCH($B21&amp;"|Wirtschaftspolitische Rahmenbedingungen",Daten_Risiken!$A$1:$A$529,0),$BK$5)="",NA(),INDEX(Daten_Risiken!$A:$ZZ,MATCH($B21&amp;"|Wirtschaftspolitische Rahmenbedingungen",Daten_Risiken!$A$1:$A$529,0),$BK$5)),NA()),"")</f>
        <v>-3</v>
      </c>
      <c r="AI21" s="49">
        <f>IFERROR(AG21-IFERROR(IF(INDEX(Daten_Risiken!$A:$ZZ,MATCH($B21&amp;"|Wirtschaftspolitische Rahmenbedingungen",Daten_Risiken!$A$1:$A$529,0),$BK$6)="",NA(),INDEX(Daten_Risiken!$A:$ZZ,MATCH($B21&amp;"|Wirtschaftspolitische Rahmenbedingungen",Daten_Risiken!$A$1:$A$529,0),$BK$6)),NA()),"")</f>
        <v>0</v>
      </c>
      <c r="AJ21" s="50">
        <f>IFERROR(IF(INDEX(Daten_Risiken!$A:$ZZ,MATCH($B21&amp;"|Fachkräftemangel",Daten_Risiken!$A$1:$A$529,0),$BK$4)="","",INDEX(Daten_Risiken!$A:$ZZ,MATCH($B21&amp;"|Fachkräftemangel",Daten_Risiken!$A$1:$A$529,0),$BK$4)),"")</f>
        <v>31</v>
      </c>
      <c r="AK21" s="49">
        <f>IFERROR(AJ21-IFERROR(IF(INDEX(Daten_Risiken!$A:$ZZ,MATCH($B21&amp;"|Fachkräftemangel",Daten_Risiken!$A$1:$A$529,0),$BK$5)="",NA(),INDEX(Daten_Risiken!$A:$ZZ,MATCH($B21&amp;"|Fachkräftemangel",Daten_Risiken!$A$1:$A$529,0),$BK$5)),NA()),"")</f>
        <v>3</v>
      </c>
      <c r="AL21" s="49">
        <f>IFERROR(AJ21-IFERROR(IF(INDEX(Daten_Risiken!$A:$ZZ,MATCH($B21&amp;"|Fachkräftemangel",Daten_Risiken!$A$1:$A$529,0),$BK$6)="",NA(),INDEX(Daten_Risiken!$A:$ZZ,MATCH($B21&amp;"|Fachkräftemangel",Daten_Risiken!$A$1:$A$529,0),$BK$6)),NA()),"")</f>
        <v>-6</v>
      </c>
      <c r="AM21" s="50">
        <f>IFERROR(IF(INDEX(Daten_Risiken!$A:$ZZ,MATCH($B21&amp;"|Auslandsnachfrage",Daten_Risiken!$A$1:$A$529,0),$BK$4)="","",INDEX(Daten_Risiken!$A:$ZZ,MATCH($B21&amp;"|Auslandsnachfrage",Daten_Risiken!$A$1:$A$529,0),$BK$4)),"")</f>
        <v>34</v>
      </c>
      <c r="AN21" s="49">
        <f>IFERROR(AM21-IFERROR(IF(INDEX(Daten_Risiken!$A:$ZZ,MATCH($B21&amp;"|Auslandsnachfrage",Daten_Risiken!$A$1:$A$529,0),$BK$5)="",NA(),INDEX(Daten_Risiken!$A:$ZZ,MATCH($B21&amp;"|Auslandsnachfrage",Daten_Risiken!$A$1:$A$529,0),$BK$5)),NA()),"")</f>
        <v>0</v>
      </c>
      <c r="AO21" s="49">
        <f>IFERROR(AM21-IFERROR(IF(INDEX(Daten_Risiken!$A:$ZZ,MATCH($B21&amp;"|Auslandsnachfrage",Daten_Risiken!$A$1:$A$529,0),$BK$6)="",NA(),INDEX(Daten_Risiken!$A:$ZZ,MATCH($B21&amp;"|Auslandsnachfrage",Daten_Risiken!$A$1:$A$529,0),$BK$6)),NA()),"")</f>
        <v>-7</v>
      </c>
      <c r="AP21" s="50">
        <f>IFERROR(IF(INDEX(Daten_Risiken!$A:$ZZ,MATCH($B21&amp;"|Finanzierung",Daten_Risiken!$A$1:$A$529,0),$BK$4)="","",INDEX(Daten_Risiken!$A:$ZZ,MATCH($B21&amp;"|Finanzierung",Daten_Risiken!$A$1:$A$529,0),$BK$4)),"")</f>
        <v>12</v>
      </c>
      <c r="AQ21" s="49">
        <f>IFERROR(AP21-IFERROR(IF(INDEX(Daten_Risiken!$A:$ZZ,MATCH($B21&amp;"|Finanzierung",Daten_Risiken!$A$1:$A$529,0),$BK$5)="",NA(),INDEX(Daten_Risiken!$A:$ZZ,MATCH($B21&amp;"|Finanzierung",Daten_Risiken!$A$1:$A$529,0),$BK$5)),NA()),"")</f>
        <v>-1</v>
      </c>
      <c r="AR21" s="49">
        <f>IFERROR(AP21-IFERROR(IF(INDEX(Daten_Risiken!$A:$ZZ,MATCH($B21&amp;"|Finanzierung",Daten_Risiken!$A$1:$A$529,0),$BK$6)="",NA(),INDEX(Daten_Risiken!$A:$ZZ,MATCH($B21&amp;"|Finanzierung",Daten_Risiken!$A$1:$A$529,0),$BK$6)),NA()),"")</f>
        <v>0</v>
      </c>
      <c r="AS21" s="50">
        <f>IFERROR(IF(INDEX(Daten_Risiken!$A:$ZZ,MATCH($B21&amp;"|Wechselkurs",Daten_Risiken!$A$1:$A$529,0),$BK$4)="","",INDEX(Daten_Risiken!$A:$ZZ,MATCH($B21&amp;"|Wechselkurs",Daten_Risiken!$A$1:$A$529,0),$BK$4)),"")</f>
        <v>3</v>
      </c>
      <c r="AT21" s="49">
        <f>IFERROR(AS21-IFERROR(IF(INDEX(Daten_Risiken!$A:$ZZ,MATCH($B21&amp;"|Wechselkurs",Daten_Risiken!$A$1:$A$529,0),$BK$5)="",NA(),INDEX(Daten_Risiken!$A:$ZZ,MATCH($B21&amp;"|Wechselkurs",Daten_Risiken!$A$1:$A$529,0),$BK$5)),NA()),"")</f>
        <v>-2</v>
      </c>
      <c r="AU21" s="49">
        <f>IFERROR(AS21-IFERROR(IF(INDEX(Daten_Risiken!$A:$ZZ,MATCH($B21&amp;"|Wechselkurs",Daten_Risiken!$A$1:$A$529,0),$BK$6)="",NA(),INDEX(Daten_Risiken!$A:$ZZ,MATCH($B21&amp;"|Wechselkurs",Daten_Risiken!$A$1:$A$529,0),$BK$6)),NA()),"")</f>
        <v>0</v>
      </c>
      <c r="AV21" s="50">
        <f>IFERROR(IF(INDEX(Daten_Motive!$A:$ZZ,MATCH($B21&amp;"|Ersatzbedarf",Daten_Motive!$A$1:$A$331,0),$BK$7)="","",INDEX(Daten_Motive!$A:$ZZ,MATCH($B21&amp;"|Ersatzbedarf",Daten_Motive!$A$1:$A$331,0),$BK$7)),"")</f>
        <v>61</v>
      </c>
      <c r="AW21" s="49">
        <f>IFERROR(AV21-IFERROR(IF(INDEX(Daten_Motive!$A:$ZZ,MATCH($B21&amp;"|Ersatzbedarf",Daten_Motive!$A$1:$A$331,0),$BK$8)="",NA(),INDEX(Daten_Motive!$A:$ZZ,MATCH($B21&amp;"|Ersatzbedarf",Daten_Motive!$A$1:$A$331,0),$BK$8)),NA()),"")</f>
        <v>-7</v>
      </c>
      <c r="AX21" s="49">
        <f>IFERROR(AV21-IFERROR(IF(INDEX(Daten_Motive!$A:$ZZ,MATCH($B21&amp;"|Ersatzbedarf",Daten_Motive!$A$1:$A$331,0),$BK$9)="",NA(),INDEX(Daten_Motive!$A:$ZZ,MATCH($B21&amp;"|Ersatzbedarf",Daten_Motive!$A$1:$A$331,0),$BK$9)),NA()),"")</f>
        <v>-4</v>
      </c>
      <c r="AY21" s="50">
        <f>IFERROR(IF(INDEX(Daten_Motive!$A:$ZZ,MATCH($B21&amp;"|Rationalisierung",Daten_Motive!$A$1:$A$331,0),$BK$7)="","",INDEX(Daten_Motive!$A:$ZZ,MATCH($B21&amp;"|Rationalisierung",Daten_Motive!$A$1:$A$331,0),$BK$7)),"")</f>
        <v>50</v>
      </c>
      <c r="AZ21" s="49">
        <f>IFERROR(AY21-IFERROR(IF(INDEX(Daten_Motive!$A:$ZZ,MATCH($B21&amp;"|Rationalisierung",Daten_Motive!$A$1:$A$331,0),$BK$8)="",NA(),INDEX(Daten_Motive!$A:$ZZ,MATCH($B21&amp;"|Rationalisierung",Daten_Motive!$A$1:$A$331,0),$BK$8)),NA()),"")</f>
        <v>-1</v>
      </c>
      <c r="BA21" s="49">
        <f>IFERROR(AY21-IFERROR(IF(INDEX(Daten_Motive!$A:$ZZ,MATCH($B21&amp;"|Rationalisierung",Daten_Motive!$A$1:$A$331,0),$BK$9)="",NA(),INDEX(Daten_Motive!$A:$ZZ,MATCH($B21&amp;"|Rationalisierung",Daten_Motive!$A$1:$A$331,0),$BK$9)),NA()),"")</f>
        <v>0</v>
      </c>
      <c r="BB21" s="50">
        <f>IFERROR(IF(INDEX(Daten_Motive!$A:$ZZ,MATCH($B21&amp;"|Produktinnovation",Daten_Motive!$A$1:$A$331,0),$BK$7)="","",INDEX(Daten_Motive!$A:$ZZ,MATCH($B21&amp;"|Produktinnovation",Daten_Motive!$A$1:$A$331,0),$BK$7)),"")</f>
        <v>33</v>
      </c>
      <c r="BC21" s="49">
        <f>IFERROR(BB21-IFERROR(IF(INDEX(Daten_Motive!$A:$ZZ,MATCH($B21&amp;"|Produktinnovation",Daten_Motive!$A$1:$A$331,0),$BK$8)="",NA(),INDEX(Daten_Motive!$A:$ZZ,MATCH($B21&amp;"|Produktinnovation",Daten_Motive!$A$1:$A$331,0),$BK$8)),NA()),"")</f>
        <v>4</v>
      </c>
      <c r="BD21" s="49">
        <f>IFERROR(BB21-IFERROR(IF(INDEX(Daten_Motive!$A:$ZZ,MATCH($B21&amp;"|Produktinnovation",Daten_Motive!$A$1:$A$331,0),$BK$9)="",NA(),INDEX(Daten_Motive!$A:$ZZ,MATCH($B21&amp;"|Produktinnovation",Daten_Motive!$A$1:$A$331,0),$BK$9)),NA()),"")</f>
        <v>5</v>
      </c>
      <c r="BE21" s="50">
        <f>IFERROR(IF(INDEX(Daten_Motive!$A:$ZZ,MATCH($B21&amp;"|Umweltschutz",Daten_Motive!$A$1:$A$331,0),$BK$7)="","",INDEX(Daten_Motive!$A:$ZZ,MATCH($B21&amp;"|Umweltschutz",Daten_Motive!$A$1:$A$331,0),$BK$7)),"")</f>
        <v>17</v>
      </c>
      <c r="BF21" s="49">
        <f>IFERROR(BE21-IFERROR(IF(INDEX(Daten_Motive!$A:$ZZ,MATCH($B21&amp;"|Umweltschutz",Daten_Motive!$A$1:$A$331,0),$BK$8)="",NA(),INDEX(Daten_Motive!$A:$ZZ,MATCH($B21&amp;"|Umweltschutz",Daten_Motive!$A$1:$A$331,0),$BK$8)),NA()),"")</f>
        <v>-3</v>
      </c>
      <c r="BG21" s="49">
        <f>IFERROR(BE21-IFERROR(IF(INDEX(Daten_Motive!$A:$ZZ,MATCH($B21&amp;"|Umweltschutz",Daten_Motive!$A$1:$A$331,0),$BK$9)="",NA(),INDEX(Daten_Motive!$A:$ZZ,MATCH($B21&amp;"|Umweltschutz",Daten_Motive!$A$1:$A$331,0),$BK$9)),NA()),"")</f>
        <v>0</v>
      </c>
      <c r="BH21" s="50">
        <f>IFERROR(IF(INDEX(Daten_Motive!$A:$ZZ,MATCH($B21&amp;"|Kapazitätserweiterung",Daten_Motive!$A$1:$A$331,0),$BK$7)="","",INDEX(Daten_Motive!$A:$ZZ,MATCH($B21&amp;"|Kapazitätserweiterung",Daten_Motive!$A$1:$A$331,0),$BK$7)),"")</f>
        <v>24</v>
      </c>
      <c r="BI21" s="49">
        <f>IFERROR(BH21-IFERROR(IF(INDEX(Daten_Motive!$A:$ZZ,MATCH($B21&amp;"|Kapazitätserweiterung",Daten_Motive!$A$1:$A$331,0),$BK$8)="",NA(),INDEX(Daten_Motive!$A:$ZZ,MATCH($B21&amp;"|Kapazitätserweiterung",Daten_Motive!$A$1:$A$331,0),$BK$8)),NA()),"")</f>
        <v>4</v>
      </c>
      <c r="BJ21" s="49">
        <f>IFERROR(BH21-IFERROR(IF(INDEX(Daten_Motive!$A:$ZZ,MATCH($B21&amp;"|Kapazitätserweiterung",Daten_Motive!$A$1:$A$331,0),$BK$9)="",NA(),INDEX(Daten_Motive!$A:$ZZ,MATCH($B21&amp;"|Kapazitätserweiterung",Daten_Motive!$A$1:$A$331,0),$BK$9)),NA()),"")</f>
        <v>5</v>
      </c>
    </row>
    <row r="22" spans="1:62" x14ac:dyDescent="0.25">
      <c r="A22" s="42">
        <v>14</v>
      </c>
      <c r="B22" s="52" t="str">
        <f>Listen!A15</f>
        <v>Glas, Keramik, Steineverarbeitung</v>
      </c>
      <c r="C22" s="44" t="s">
        <v>4508</v>
      </c>
      <c r="D22" s="44" t="str">
        <f>Listen!B15</f>
        <v>Industrie</v>
      </c>
      <c r="E22" s="45">
        <f>IFERROR(IF(INDEX(Daten_Anteile!$A:$ZZ,MATCH($B22&amp;"|Lage|"&amp;$C$3,Daten_Anteile!$A$1:$A$2971,0),5)="","",INDEX(Daten_Anteile!$A:$ZZ,MATCH($B22&amp;"|Lage|"&amp;$C$3,Daten_Anteile!$A$1:$A$2971,0),5)),"")</f>
        <v>248</v>
      </c>
      <c r="F22" s="46">
        <f t="shared" si="0"/>
        <v>89</v>
      </c>
      <c r="G22" s="47">
        <f t="shared" si="1"/>
        <v>11.5</v>
      </c>
      <c r="H22" s="47">
        <f t="shared" si="2"/>
        <v>14.6</v>
      </c>
      <c r="I22" s="48">
        <f>IFERROR(IF(INDEX(Daten_Salden!$A:$ZZ,MATCH($B22&amp;"|Lage",Daten_Salden!$A$1:$A$331,0),$BK$1)="","",INDEX(Daten_Salden!$A:$ZZ,MATCH($B22&amp;"|Lage",Daten_Salden!$A$1:$A$331,0),$BK$1)),"")</f>
        <v>-12</v>
      </c>
      <c r="J22" s="49">
        <f>IFERROR(I22-IFERROR(IF(INDEX(Daten_Salden!$A:$ZZ,MATCH($B22&amp;"|Lage",Daten_Salden!$A$1:$A$331,0),$BK$2)="",NA(),INDEX(Daten_Salden!$A:$ZZ,MATCH($B22&amp;"|Lage",Daten_Salden!$A$1:$A$331,0),$BK$2)),NA()),"")</f>
        <v>12</v>
      </c>
      <c r="K22" s="49">
        <f>IFERROR(I22-IFERROR(IF(INDEX(Daten_Salden!$A:$ZZ,MATCH($B22&amp;"|Lage",Daten_Salden!$A$1:$A$331,0),$BK$3)="",NA(),INDEX(Daten_Salden!$A:$ZZ,MATCH($B22&amp;"|Lage",Daten_Salden!$A$1:$A$331,0),$BK$3)),NA()),"")</f>
        <v>18</v>
      </c>
      <c r="L22" s="48">
        <f>IFERROR(IF(INDEX(Daten_Salden!$A:$ZZ,MATCH($B22&amp;"|Erwartungen",Daten_Salden!$A$1:$A$331,0),$BK$1)="","",INDEX(Daten_Salden!$A:$ZZ,MATCH($B22&amp;"|Erwartungen",Daten_Salden!$A$1:$A$331,0),$BK$1)),"")</f>
        <v>-10</v>
      </c>
      <c r="M22" s="49">
        <f>IFERROR(L22-IFERROR(IF(INDEX(Daten_Salden!$A:$ZZ,MATCH($B22&amp;"|Erwartungen",Daten_Salden!$A$1:$A$331,0),$BK$2)="",NA(),INDEX(Daten_Salden!$A:$ZZ,MATCH($B22&amp;"|Erwartungen",Daten_Salden!$A$1:$A$331,0),$BK$2)),NA()),"")</f>
        <v>11</v>
      </c>
      <c r="N22" s="49">
        <f>IFERROR(L22-IFERROR(IF(INDEX(Daten_Salden!$A:$ZZ,MATCH($B22&amp;"|Erwartungen",Daten_Salden!$A$1:$A$331,0),$BK$3)="",NA(),INDEX(Daten_Salden!$A:$ZZ,MATCH($B22&amp;"|Erwartungen",Daten_Salden!$A$1:$A$331,0),$BK$3)),NA()),"")</f>
        <v>11</v>
      </c>
      <c r="O22" s="48">
        <f>IFERROR(IF(INDEX(Daten_Salden!$A:$ZZ,MATCH($B22&amp;"|Export",Daten_Salden!$A$1:$A$331,0),$BK$1)="","",INDEX(Daten_Salden!$A:$ZZ,MATCH($B22&amp;"|Export",Daten_Salden!$A$1:$A$331,0),$BK$1)),"")</f>
        <v>-2</v>
      </c>
      <c r="P22" s="49">
        <f>IFERROR(O22-IFERROR(IF(INDEX(Daten_Salden!$A:$ZZ,MATCH($B22&amp;"|Export",Daten_Salden!$A$1:$A$331,0),$BK$2)="",NA(),INDEX(Daten_Salden!$A:$ZZ,MATCH($B22&amp;"|Export",Daten_Salden!$A$1:$A$331,0),$BK$2)),NA()),"")</f>
        <v>1</v>
      </c>
      <c r="Q22" s="49">
        <f>IFERROR(O22-IFERROR(IF(INDEX(Daten_Salden!$A:$ZZ,MATCH($B22&amp;"|Export",Daten_Salden!$A$1:$A$331,0),$BK$3)="",NA(),INDEX(Daten_Salden!$A:$ZZ,MATCH($B22&amp;"|Export",Daten_Salden!$A$1:$A$331,0),$BK$3)),NA()),"")</f>
        <v>18</v>
      </c>
      <c r="R22" s="48">
        <f>IFERROR(IF(INDEX(Daten_Salden!$A:$ZZ,MATCH($B22&amp;"|Investitionen",Daten_Salden!$A$1:$A$331,0),$BK$1)="","",INDEX(Daten_Salden!$A:$ZZ,MATCH($B22&amp;"|Investitionen",Daten_Salden!$A$1:$A$331,0),$BK$1)),"")</f>
        <v>-15</v>
      </c>
      <c r="S22" s="49">
        <f>IFERROR(R22-IFERROR(IF(INDEX(Daten_Salden!$A:$ZZ,MATCH($B22&amp;"|Investitionen",Daten_Salden!$A$1:$A$331,0),$BK$2)="",NA(),INDEX(Daten_Salden!$A:$ZZ,MATCH($B22&amp;"|Investitionen",Daten_Salden!$A$1:$A$331,0),$BK$2)),NA()),"")</f>
        <v>12</v>
      </c>
      <c r="T22" s="49">
        <f>IFERROR(R22-IFERROR(IF(INDEX(Daten_Salden!$A:$ZZ,MATCH($B22&amp;"|Investitionen",Daten_Salden!$A$1:$A$331,0),$BK$3)="",NA(),INDEX(Daten_Salden!$A:$ZZ,MATCH($B22&amp;"|Investitionen",Daten_Salden!$A$1:$A$331,0),$BK$3)),NA()),"")</f>
        <v>12</v>
      </c>
      <c r="U22" s="48">
        <f>IFERROR(IF(INDEX(Daten_Salden!$A:$ZZ,MATCH($B22&amp;"|Beschäftigung",Daten_Salden!$A$1:$A$331,0),$BK$1)="","",INDEX(Daten_Salden!$A:$ZZ,MATCH($B22&amp;"|Beschäftigung",Daten_Salden!$A$1:$A$331,0),$BK$1)),"")</f>
        <v>-16</v>
      </c>
      <c r="V22" s="49">
        <f>IFERROR(U22-IFERROR(IF(INDEX(Daten_Salden!$A:$ZZ,MATCH($B22&amp;"|Beschäftigung",Daten_Salden!$A$1:$A$331,0),$BK$2)="",NA(),INDEX(Daten_Salden!$A:$ZZ,MATCH($B22&amp;"|Beschäftigung",Daten_Salden!$A$1:$A$331,0),$BK$2)),NA()),"")</f>
        <v>7</v>
      </c>
      <c r="W22" s="49">
        <f>IFERROR(U22-IFERROR(IF(INDEX(Daten_Salden!$A:$ZZ,MATCH($B22&amp;"|Beschäftigung",Daten_Salden!$A$1:$A$331,0),$BK$3)="",NA(),INDEX(Daten_Salden!$A:$ZZ,MATCH($B22&amp;"|Beschäftigung",Daten_Salden!$A$1:$A$331,0),$BK$3)),NA()),"")</f>
        <v>17</v>
      </c>
      <c r="X22" s="50">
        <f>IFERROR(IF(INDEX(Daten_Risiken!$A:$ZZ,MATCH($B22&amp;"|Energie- und Rohstoffpreise",Daten_Risiken!$A$1:$A$529,0),$BK$4)="","",INDEX(Daten_Risiken!$A:$ZZ,MATCH($B22&amp;"|Energie- und Rohstoffpreise",Daten_Risiken!$A$1:$A$529,0),$BK$4)),"")</f>
        <v>87</v>
      </c>
      <c r="Y22" s="49">
        <f>IFERROR(X22-IFERROR(IF(INDEX(Daten_Risiken!$A:$ZZ,MATCH($B22&amp;"|Energie- und Rohstoffpreise",Daten_Risiken!$A$1:$A$529,0),$BK$5)="",NA(),INDEX(Daten_Risiken!$A:$ZZ,MATCH($B22&amp;"|Energie- und Rohstoffpreise",Daten_Risiken!$A$1:$A$529,0),$BK$5)),NA()),"")</f>
        <v>-4</v>
      </c>
      <c r="Z22" s="49">
        <f>IFERROR(X22-IFERROR(IF(INDEX(Daten_Risiken!$A:$ZZ,MATCH($B22&amp;"|Energie- und Rohstoffpreise",Daten_Risiken!$A$1:$A$529,0),$BK$6)="",NA(),INDEX(Daten_Risiken!$A:$ZZ,MATCH($B22&amp;"|Energie- und Rohstoffpreise",Daten_Risiken!$A$1:$A$529,0),$BK$6)),NA()),"")</f>
        <v>17</v>
      </c>
      <c r="AA22" s="50">
        <f>IFERROR(IF(INDEX(Daten_Risiken!$A:$ZZ,MATCH($B22&amp;"|Arbeitskosten",Daten_Risiken!$A$1:$A$529,0),$BK$4)="","",INDEX(Daten_Risiken!$A:$ZZ,MATCH($B22&amp;"|Arbeitskosten",Daten_Risiken!$A$1:$A$529,0),$BK$4)),"")</f>
        <v>57</v>
      </c>
      <c r="AB22" s="49">
        <f>IFERROR(AA22-IFERROR(IF(INDEX(Daten_Risiken!$A:$ZZ,MATCH($B22&amp;"|Arbeitskosten",Daten_Risiken!$A$1:$A$529,0),$BK$5)="",NA(),INDEX(Daten_Risiken!$A:$ZZ,MATCH($B22&amp;"|Arbeitskosten",Daten_Risiken!$A$1:$A$529,0),$BK$5)),NA()),"")</f>
        <v>1</v>
      </c>
      <c r="AC22" s="49">
        <f>IFERROR(AA22-IFERROR(IF(INDEX(Daten_Risiken!$A:$ZZ,MATCH($B22&amp;"|Arbeitskosten",Daten_Risiken!$A$1:$A$529,0),$BK$6)="",NA(),INDEX(Daten_Risiken!$A:$ZZ,MATCH($B22&amp;"|Arbeitskosten",Daten_Risiken!$A$1:$A$529,0),$BK$6)),NA()),"")</f>
        <v>2</v>
      </c>
      <c r="AD22" s="50">
        <f>IFERROR(IF(INDEX(Daten_Risiken!$A:$ZZ,MATCH($B22&amp;"|Inlandsnachfrage",Daten_Risiken!$A$1:$A$529,0),$BK$4)="","",INDEX(Daten_Risiken!$A:$ZZ,MATCH($B22&amp;"|Inlandsnachfrage",Daten_Risiken!$A$1:$A$529,0),$BK$4)),"")</f>
        <v>71</v>
      </c>
      <c r="AE22" s="49">
        <f>IFERROR(AD22-IFERROR(IF(INDEX(Daten_Risiken!$A:$ZZ,MATCH($B22&amp;"|Inlandsnachfrage",Daten_Risiken!$A$1:$A$529,0),$BK$5)="",NA(),INDEX(Daten_Risiken!$A:$ZZ,MATCH($B22&amp;"|Inlandsnachfrage",Daten_Risiken!$A$1:$A$529,0),$BK$5)),NA()),"")</f>
        <v>1</v>
      </c>
      <c r="AF22" s="49">
        <f>IFERROR(AD22-IFERROR(IF(INDEX(Daten_Risiken!$A:$ZZ,MATCH($B22&amp;"|Inlandsnachfrage",Daten_Risiken!$A$1:$A$529,0),$BK$6)="",NA(),INDEX(Daten_Risiken!$A:$ZZ,MATCH($B22&amp;"|Inlandsnachfrage",Daten_Risiken!$A$1:$A$529,0),$BK$6)),NA()),"")</f>
        <v>-5</v>
      </c>
      <c r="AG22" s="50">
        <f>IFERROR(IF(INDEX(Daten_Risiken!$A:$ZZ,MATCH($B22&amp;"|Wirtschaftspolitische Rahmenbedingungen",Daten_Risiken!$A$1:$A$529,0),$BK$4)="","",INDEX(Daten_Risiken!$A:$ZZ,MATCH($B22&amp;"|Wirtschaftspolitische Rahmenbedingungen",Daten_Risiken!$A$1:$A$529,0),$BK$4)),"")</f>
        <v>60</v>
      </c>
      <c r="AH22" s="49">
        <f>IFERROR(AG22-IFERROR(IF(INDEX(Daten_Risiken!$A:$ZZ,MATCH($B22&amp;"|Wirtschaftspolitische Rahmenbedingungen",Daten_Risiken!$A$1:$A$529,0),$BK$5)="",NA(),INDEX(Daten_Risiken!$A:$ZZ,MATCH($B22&amp;"|Wirtschaftspolitische Rahmenbedingungen",Daten_Risiken!$A$1:$A$529,0),$BK$5)),NA()),"")</f>
        <v>-1</v>
      </c>
      <c r="AI22" s="49">
        <f>IFERROR(AG22-IFERROR(IF(INDEX(Daten_Risiken!$A:$ZZ,MATCH($B22&amp;"|Wirtschaftspolitische Rahmenbedingungen",Daten_Risiken!$A$1:$A$529,0),$BK$6)="",NA(),INDEX(Daten_Risiken!$A:$ZZ,MATCH($B22&amp;"|Wirtschaftspolitische Rahmenbedingungen",Daten_Risiken!$A$1:$A$529,0),$BK$6)),NA()),"")</f>
        <v>-6</v>
      </c>
      <c r="AJ22" s="50">
        <f>IFERROR(IF(INDEX(Daten_Risiken!$A:$ZZ,MATCH($B22&amp;"|Fachkräftemangel",Daten_Risiken!$A$1:$A$529,0),$BK$4)="","",INDEX(Daten_Risiken!$A:$ZZ,MATCH($B22&amp;"|Fachkräftemangel",Daten_Risiken!$A$1:$A$529,0),$BK$4)),"")</f>
        <v>37</v>
      </c>
      <c r="AK22" s="49">
        <f>IFERROR(AJ22-IFERROR(IF(INDEX(Daten_Risiken!$A:$ZZ,MATCH($B22&amp;"|Fachkräftemangel",Daten_Risiken!$A$1:$A$529,0),$BK$5)="",NA(),INDEX(Daten_Risiken!$A:$ZZ,MATCH($B22&amp;"|Fachkräftemangel",Daten_Risiken!$A$1:$A$529,0),$BK$5)),NA()),"")</f>
        <v>3</v>
      </c>
      <c r="AL22" s="49">
        <f>IFERROR(AJ22-IFERROR(IF(INDEX(Daten_Risiken!$A:$ZZ,MATCH($B22&amp;"|Fachkräftemangel",Daten_Risiken!$A$1:$A$529,0),$BK$6)="",NA(),INDEX(Daten_Risiken!$A:$ZZ,MATCH($B22&amp;"|Fachkräftemangel",Daten_Risiken!$A$1:$A$529,0),$BK$6)),NA()),"")</f>
        <v>-4</v>
      </c>
      <c r="AM22" s="50">
        <f>IFERROR(IF(INDEX(Daten_Risiken!$A:$ZZ,MATCH($B22&amp;"|Auslandsnachfrage",Daten_Risiken!$A$1:$A$529,0),$BK$4)="","",INDEX(Daten_Risiken!$A:$ZZ,MATCH($B22&amp;"|Auslandsnachfrage",Daten_Risiken!$A$1:$A$529,0),$BK$4)),"")</f>
        <v>21</v>
      </c>
      <c r="AN22" s="49">
        <f>IFERROR(AM22-IFERROR(IF(INDEX(Daten_Risiken!$A:$ZZ,MATCH($B22&amp;"|Auslandsnachfrage",Daten_Risiken!$A$1:$A$529,0),$BK$5)="",NA(),INDEX(Daten_Risiken!$A:$ZZ,MATCH($B22&amp;"|Auslandsnachfrage",Daten_Risiken!$A$1:$A$529,0),$BK$5)),NA()),"")</f>
        <v>-2</v>
      </c>
      <c r="AO22" s="49">
        <f>IFERROR(AM22-IFERROR(IF(INDEX(Daten_Risiken!$A:$ZZ,MATCH($B22&amp;"|Auslandsnachfrage",Daten_Risiken!$A$1:$A$529,0),$BK$6)="",NA(),INDEX(Daten_Risiken!$A:$ZZ,MATCH($B22&amp;"|Auslandsnachfrage",Daten_Risiken!$A$1:$A$529,0),$BK$6)),NA()),"")</f>
        <v>-4</v>
      </c>
      <c r="AP22" s="50">
        <f>IFERROR(IF(INDEX(Daten_Risiken!$A:$ZZ,MATCH($B22&amp;"|Finanzierung",Daten_Risiken!$A$1:$A$529,0),$BK$4)="","",INDEX(Daten_Risiken!$A:$ZZ,MATCH($B22&amp;"|Finanzierung",Daten_Risiken!$A$1:$A$529,0),$BK$4)),"")</f>
        <v>14</v>
      </c>
      <c r="AQ22" s="49">
        <f>IFERROR(AP22-IFERROR(IF(INDEX(Daten_Risiken!$A:$ZZ,MATCH($B22&amp;"|Finanzierung",Daten_Risiken!$A$1:$A$529,0),$BK$5)="",NA(),INDEX(Daten_Risiken!$A:$ZZ,MATCH($B22&amp;"|Finanzierung",Daten_Risiken!$A$1:$A$529,0),$BK$5)),NA()),"")</f>
        <v>3</v>
      </c>
      <c r="AR22" s="49">
        <f>IFERROR(AP22-IFERROR(IF(INDEX(Daten_Risiken!$A:$ZZ,MATCH($B22&amp;"|Finanzierung",Daten_Risiken!$A$1:$A$529,0),$BK$6)="",NA(),INDEX(Daten_Risiken!$A:$ZZ,MATCH($B22&amp;"|Finanzierung",Daten_Risiken!$A$1:$A$529,0),$BK$6)),NA()),"")</f>
        <v>4</v>
      </c>
      <c r="AS22" s="50">
        <f>IFERROR(IF(INDEX(Daten_Risiken!$A:$ZZ,MATCH($B22&amp;"|Wechselkurs",Daten_Risiken!$A$1:$A$529,0),$BK$4)="","",INDEX(Daten_Risiken!$A:$ZZ,MATCH($B22&amp;"|Wechselkurs",Daten_Risiken!$A$1:$A$529,0),$BK$4)),"")</f>
        <v>2</v>
      </c>
      <c r="AT22" s="49">
        <f>IFERROR(AS22-IFERROR(IF(INDEX(Daten_Risiken!$A:$ZZ,MATCH($B22&amp;"|Wechselkurs",Daten_Risiken!$A$1:$A$529,0),$BK$5)="",NA(),INDEX(Daten_Risiken!$A:$ZZ,MATCH($B22&amp;"|Wechselkurs",Daten_Risiken!$A$1:$A$529,0),$BK$5)),NA()),"")</f>
        <v>-1</v>
      </c>
      <c r="AU22" s="49">
        <f>IFERROR(AS22-IFERROR(IF(INDEX(Daten_Risiken!$A:$ZZ,MATCH($B22&amp;"|Wechselkurs",Daten_Risiken!$A$1:$A$529,0),$BK$6)="",NA(),INDEX(Daten_Risiken!$A:$ZZ,MATCH($B22&amp;"|Wechselkurs",Daten_Risiken!$A$1:$A$529,0),$BK$6)),NA()),"")</f>
        <v>-2</v>
      </c>
      <c r="AV22" s="50">
        <f>IFERROR(IF(INDEX(Daten_Motive!$A:$ZZ,MATCH($B22&amp;"|Ersatzbedarf",Daten_Motive!$A$1:$A$331,0),$BK$7)="","",INDEX(Daten_Motive!$A:$ZZ,MATCH($B22&amp;"|Ersatzbedarf",Daten_Motive!$A$1:$A$331,0),$BK$7)),"")</f>
        <v>73</v>
      </c>
      <c r="AW22" s="49">
        <f>IFERROR(AV22-IFERROR(IF(INDEX(Daten_Motive!$A:$ZZ,MATCH($B22&amp;"|Ersatzbedarf",Daten_Motive!$A$1:$A$331,0),$BK$8)="",NA(),INDEX(Daten_Motive!$A:$ZZ,MATCH($B22&amp;"|Ersatzbedarf",Daten_Motive!$A$1:$A$331,0),$BK$8)),NA()),"")</f>
        <v>-6</v>
      </c>
      <c r="AX22" s="49">
        <f>IFERROR(AV22-IFERROR(IF(INDEX(Daten_Motive!$A:$ZZ,MATCH($B22&amp;"|Ersatzbedarf",Daten_Motive!$A$1:$A$331,0),$BK$9)="",NA(),INDEX(Daten_Motive!$A:$ZZ,MATCH($B22&amp;"|Ersatzbedarf",Daten_Motive!$A$1:$A$331,0),$BK$9)),NA()),"")</f>
        <v>-4</v>
      </c>
      <c r="AY22" s="50">
        <f>IFERROR(IF(INDEX(Daten_Motive!$A:$ZZ,MATCH($B22&amp;"|Rationalisierung",Daten_Motive!$A$1:$A$331,0),$BK$7)="","",INDEX(Daten_Motive!$A:$ZZ,MATCH($B22&amp;"|Rationalisierung",Daten_Motive!$A$1:$A$331,0),$BK$7)),"")</f>
        <v>45</v>
      </c>
      <c r="AZ22" s="49">
        <f>IFERROR(AY22-IFERROR(IF(INDEX(Daten_Motive!$A:$ZZ,MATCH($B22&amp;"|Rationalisierung",Daten_Motive!$A$1:$A$331,0),$BK$8)="",NA(),INDEX(Daten_Motive!$A:$ZZ,MATCH($B22&amp;"|Rationalisierung",Daten_Motive!$A$1:$A$331,0),$BK$8)),NA()),"")</f>
        <v>7</v>
      </c>
      <c r="BA22" s="49">
        <f>IFERROR(AY22-IFERROR(IF(INDEX(Daten_Motive!$A:$ZZ,MATCH($B22&amp;"|Rationalisierung",Daten_Motive!$A$1:$A$331,0),$BK$9)="",NA(),INDEX(Daten_Motive!$A:$ZZ,MATCH($B22&amp;"|Rationalisierung",Daten_Motive!$A$1:$A$331,0),$BK$9)),NA()),"")</f>
        <v>5</v>
      </c>
      <c r="BB22" s="50">
        <f>IFERROR(IF(INDEX(Daten_Motive!$A:$ZZ,MATCH($B22&amp;"|Produktinnovation",Daten_Motive!$A$1:$A$331,0),$BK$7)="","",INDEX(Daten_Motive!$A:$ZZ,MATCH($B22&amp;"|Produktinnovation",Daten_Motive!$A$1:$A$331,0),$BK$7)),"")</f>
        <v>24</v>
      </c>
      <c r="BC22" s="49">
        <f>IFERROR(BB22-IFERROR(IF(INDEX(Daten_Motive!$A:$ZZ,MATCH($B22&amp;"|Produktinnovation",Daten_Motive!$A$1:$A$331,0),$BK$8)="",NA(),INDEX(Daten_Motive!$A:$ZZ,MATCH($B22&amp;"|Produktinnovation",Daten_Motive!$A$1:$A$331,0),$BK$8)),NA()),"")</f>
        <v>4</v>
      </c>
      <c r="BD22" s="49">
        <f>IFERROR(BB22-IFERROR(IF(INDEX(Daten_Motive!$A:$ZZ,MATCH($B22&amp;"|Produktinnovation",Daten_Motive!$A$1:$A$331,0),$BK$9)="",NA(),INDEX(Daten_Motive!$A:$ZZ,MATCH($B22&amp;"|Produktinnovation",Daten_Motive!$A$1:$A$331,0),$BK$9)),NA()),"")</f>
        <v>0</v>
      </c>
      <c r="BE22" s="50">
        <f>IFERROR(IF(INDEX(Daten_Motive!$A:$ZZ,MATCH($B22&amp;"|Umweltschutz",Daten_Motive!$A$1:$A$331,0),$BK$7)="","",INDEX(Daten_Motive!$A:$ZZ,MATCH($B22&amp;"|Umweltschutz",Daten_Motive!$A$1:$A$331,0),$BK$7)),"")</f>
        <v>29</v>
      </c>
      <c r="BF22" s="49">
        <f>IFERROR(BE22-IFERROR(IF(INDEX(Daten_Motive!$A:$ZZ,MATCH($B22&amp;"|Umweltschutz",Daten_Motive!$A$1:$A$331,0),$BK$8)="",NA(),INDEX(Daten_Motive!$A:$ZZ,MATCH($B22&amp;"|Umweltschutz",Daten_Motive!$A$1:$A$331,0),$BK$8)),NA()),"")</f>
        <v>6</v>
      </c>
      <c r="BG22" s="49">
        <f>IFERROR(BE22-IFERROR(IF(INDEX(Daten_Motive!$A:$ZZ,MATCH($B22&amp;"|Umweltschutz",Daten_Motive!$A$1:$A$331,0),$BK$9)="",NA(),INDEX(Daten_Motive!$A:$ZZ,MATCH($B22&amp;"|Umweltschutz",Daten_Motive!$A$1:$A$331,0),$BK$9)),NA()),"")</f>
        <v>-1</v>
      </c>
      <c r="BH22" s="50">
        <f>IFERROR(IF(INDEX(Daten_Motive!$A:$ZZ,MATCH($B22&amp;"|Kapazitätserweiterung",Daten_Motive!$A$1:$A$331,0),$BK$7)="","",INDEX(Daten_Motive!$A:$ZZ,MATCH($B22&amp;"|Kapazitätserweiterung",Daten_Motive!$A$1:$A$331,0),$BK$7)),"")</f>
        <v>11</v>
      </c>
      <c r="BI22" s="49">
        <f>IFERROR(BH22-IFERROR(IF(INDEX(Daten_Motive!$A:$ZZ,MATCH($B22&amp;"|Kapazitätserweiterung",Daten_Motive!$A$1:$A$331,0),$BK$8)="",NA(),INDEX(Daten_Motive!$A:$ZZ,MATCH($B22&amp;"|Kapazitätserweiterung",Daten_Motive!$A$1:$A$331,0),$BK$8)),NA()),"")</f>
        <v>-1</v>
      </c>
      <c r="BJ22" s="49">
        <f>IFERROR(BH22-IFERROR(IF(INDEX(Daten_Motive!$A:$ZZ,MATCH($B22&amp;"|Kapazitätserweiterung",Daten_Motive!$A$1:$A$331,0),$BK$9)="",NA(),INDEX(Daten_Motive!$A:$ZZ,MATCH($B22&amp;"|Kapazitätserweiterung",Daten_Motive!$A$1:$A$331,0),$BK$9)),NA()),"")</f>
        <v>-2</v>
      </c>
    </row>
    <row r="23" spans="1:62" x14ac:dyDescent="0.25">
      <c r="A23" s="42">
        <v>15</v>
      </c>
      <c r="B23" s="52" t="str">
        <f>Listen!A16</f>
        <v>Metallerzeugung und -bearbeitung</v>
      </c>
      <c r="C23" s="44" t="s">
        <v>4509</v>
      </c>
      <c r="D23" s="44" t="str">
        <f>Listen!B16</f>
        <v>Industrie</v>
      </c>
      <c r="E23" s="45">
        <f>IFERROR(IF(INDEX(Daten_Anteile!$A:$ZZ,MATCH($B23&amp;"|Lage|"&amp;$C$3,Daten_Anteile!$A$1:$A$2971,0),5)="","",INDEX(Daten_Anteile!$A:$ZZ,MATCH($B23&amp;"|Lage|"&amp;$C$3,Daten_Anteile!$A$1:$A$2971,0),5)),"")</f>
        <v>223</v>
      </c>
      <c r="F23" s="46">
        <f t="shared" si="0"/>
        <v>95.9</v>
      </c>
      <c r="G23" s="47">
        <f t="shared" si="1"/>
        <v>7.4</v>
      </c>
      <c r="H23" s="47">
        <f t="shared" si="2"/>
        <v>14.5</v>
      </c>
      <c r="I23" s="48">
        <f>IFERROR(IF(INDEX(Daten_Salden!$A:$ZZ,MATCH($B23&amp;"|Lage",Daten_Salden!$A$1:$A$331,0),$BK$1)="","",INDEX(Daten_Salden!$A:$ZZ,MATCH($B23&amp;"|Lage",Daten_Salden!$A$1:$A$331,0),$BK$1)),"")</f>
        <v>-9</v>
      </c>
      <c r="J23" s="49">
        <f>IFERROR(I23-IFERROR(IF(INDEX(Daten_Salden!$A:$ZZ,MATCH($B23&amp;"|Lage",Daten_Salden!$A$1:$A$331,0),$BK$2)="",NA(),INDEX(Daten_Salden!$A:$ZZ,MATCH($B23&amp;"|Lage",Daten_Salden!$A$1:$A$331,0),$BK$2)),NA()),"")</f>
        <v>4</v>
      </c>
      <c r="K23" s="49">
        <f>IFERROR(I23-IFERROR(IF(INDEX(Daten_Salden!$A:$ZZ,MATCH($B23&amp;"|Lage",Daten_Salden!$A$1:$A$331,0),$BK$3)="",NA(),INDEX(Daten_Salden!$A:$ZZ,MATCH($B23&amp;"|Lage",Daten_Salden!$A$1:$A$331,0),$BK$3)),NA()),"")</f>
        <v>22</v>
      </c>
      <c r="L23" s="48">
        <f>IFERROR(IF(INDEX(Daten_Salden!$A:$ZZ,MATCH($B23&amp;"|Erwartungen",Daten_Salden!$A$1:$A$331,0),$BK$1)="","",INDEX(Daten_Salden!$A:$ZZ,MATCH($B23&amp;"|Erwartungen",Daten_Salden!$A$1:$A$331,0),$BK$1)),"")</f>
        <v>1</v>
      </c>
      <c r="M23" s="49">
        <f>IFERROR(L23-IFERROR(IF(INDEX(Daten_Salden!$A:$ZZ,MATCH($B23&amp;"|Erwartungen",Daten_Salden!$A$1:$A$331,0),$BK$2)="",NA(),INDEX(Daten_Salden!$A:$ZZ,MATCH($B23&amp;"|Erwartungen",Daten_Salden!$A$1:$A$331,0),$BK$2)),NA()),"")</f>
        <v>11</v>
      </c>
      <c r="N23" s="49">
        <f>IFERROR(L23-IFERROR(IF(INDEX(Daten_Salden!$A:$ZZ,MATCH($B23&amp;"|Erwartungen",Daten_Salden!$A$1:$A$331,0),$BK$3)="",NA(),INDEX(Daten_Salden!$A:$ZZ,MATCH($B23&amp;"|Erwartungen",Daten_Salden!$A$1:$A$331,0),$BK$3)),NA()),"")</f>
        <v>5</v>
      </c>
      <c r="O23" s="48">
        <f>IFERROR(IF(INDEX(Daten_Salden!$A:$ZZ,MATCH($B23&amp;"|Export",Daten_Salden!$A$1:$A$331,0),$BK$1)="","",INDEX(Daten_Salden!$A:$ZZ,MATCH($B23&amp;"|Export",Daten_Salden!$A$1:$A$331,0),$BK$1)),"")</f>
        <v>2</v>
      </c>
      <c r="P23" s="49">
        <f>IFERROR(O23-IFERROR(IF(INDEX(Daten_Salden!$A:$ZZ,MATCH($B23&amp;"|Export",Daten_Salden!$A$1:$A$331,0),$BK$2)="",NA(),INDEX(Daten_Salden!$A:$ZZ,MATCH($B23&amp;"|Export",Daten_Salden!$A$1:$A$331,0),$BK$2)),NA()),"")</f>
        <v>21</v>
      </c>
      <c r="Q23" s="49">
        <f>IFERROR(O23-IFERROR(IF(INDEX(Daten_Salden!$A:$ZZ,MATCH($B23&amp;"|Export",Daten_Salden!$A$1:$A$331,0),$BK$3)="",NA(),INDEX(Daten_Salden!$A:$ZZ,MATCH($B23&amp;"|Export",Daten_Salden!$A$1:$A$331,0),$BK$3)),NA()),"")</f>
        <v>18</v>
      </c>
      <c r="R23" s="48">
        <f>IFERROR(IF(INDEX(Daten_Salden!$A:$ZZ,MATCH($B23&amp;"|Investitionen",Daten_Salden!$A$1:$A$331,0),$BK$1)="","",INDEX(Daten_Salden!$A:$ZZ,MATCH($B23&amp;"|Investitionen",Daten_Salden!$A$1:$A$331,0),$BK$1)),"")</f>
        <v>-10</v>
      </c>
      <c r="S23" s="49">
        <f>IFERROR(R23-IFERROR(IF(INDEX(Daten_Salden!$A:$ZZ,MATCH($B23&amp;"|Investitionen",Daten_Salden!$A$1:$A$331,0),$BK$2)="",NA(),INDEX(Daten_Salden!$A:$ZZ,MATCH($B23&amp;"|Investitionen",Daten_Salden!$A$1:$A$331,0),$BK$2)),NA()),"")</f>
        <v>9</v>
      </c>
      <c r="T23" s="49">
        <f>IFERROR(R23-IFERROR(IF(INDEX(Daten_Salden!$A:$ZZ,MATCH($B23&amp;"|Investitionen",Daten_Salden!$A$1:$A$331,0),$BK$3)="",NA(),INDEX(Daten_Salden!$A:$ZZ,MATCH($B23&amp;"|Investitionen",Daten_Salden!$A$1:$A$331,0),$BK$3)),NA()),"")</f>
        <v>13</v>
      </c>
      <c r="U23" s="48">
        <f>IFERROR(IF(INDEX(Daten_Salden!$A:$ZZ,MATCH($B23&amp;"|Beschäftigung",Daten_Salden!$A$1:$A$331,0),$BK$1)="","",INDEX(Daten_Salden!$A:$ZZ,MATCH($B23&amp;"|Beschäftigung",Daten_Salden!$A$1:$A$331,0),$BK$1)),"")</f>
        <v>-14</v>
      </c>
      <c r="V23" s="49">
        <f>IFERROR(U23-IFERROR(IF(INDEX(Daten_Salden!$A:$ZZ,MATCH($B23&amp;"|Beschäftigung",Daten_Salden!$A$1:$A$331,0),$BK$2)="",NA(),INDEX(Daten_Salden!$A:$ZZ,MATCH($B23&amp;"|Beschäftigung",Daten_Salden!$A$1:$A$331,0),$BK$2)),NA()),"")</f>
        <v>4</v>
      </c>
      <c r="W23" s="49">
        <f>IFERROR(U23-IFERROR(IF(INDEX(Daten_Salden!$A:$ZZ,MATCH($B23&amp;"|Beschäftigung",Daten_Salden!$A$1:$A$331,0),$BK$3)="",NA(),INDEX(Daten_Salden!$A:$ZZ,MATCH($B23&amp;"|Beschäftigung",Daten_Salden!$A$1:$A$331,0),$BK$3)),NA()),"")</f>
        <v>14</v>
      </c>
      <c r="X23" s="50">
        <f>IFERROR(IF(INDEX(Daten_Risiken!$A:$ZZ,MATCH($B23&amp;"|Energie- und Rohstoffpreise",Daten_Risiken!$A$1:$A$529,0),$BK$4)="","",INDEX(Daten_Risiken!$A:$ZZ,MATCH($B23&amp;"|Energie- und Rohstoffpreise",Daten_Risiken!$A$1:$A$529,0),$BK$4)),"")</f>
        <v>82</v>
      </c>
      <c r="Y23" s="49">
        <f>IFERROR(X23-IFERROR(IF(INDEX(Daten_Risiken!$A:$ZZ,MATCH($B23&amp;"|Energie- und Rohstoffpreise",Daten_Risiken!$A$1:$A$529,0),$BK$5)="",NA(),INDEX(Daten_Risiken!$A:$ZZ,MATCH($B23&amp;"|Energie- und Rohstoffpreise",Daten_Risiken!$A$1:$A$529,0),$BK$5)),NA()),"")</f>
        <v>-6</v>
      </c>
      <c r="Z23" s="49">
        <f>IFERROR(X23-IFERROR(IF(INDEX(Daten_Risiken!$A:$ZZ,MATCH($B23&amp;"|Energie- und Rohstoffpreise",Daten_Risiken!$A$1:$A$529,0),$BK$6)="",NA(),INDEX(Daten_Risiken!$A:$ZZ,MATCH($B23&amp;"|Energie- und Rohstoffpreise",Daten_Risiken!$A$1:$A$529,0),$BK$6)),NA()),"")</f>
        <v>15</v>
      </c>
      <c r="AA23" s="50">
        <f>IFERROR(IF(INDEX(Daten_Risiken!$A:$ZZ,MATCH($B23&amp;"|Arbeitskosten",Daten_Risiken!$A$1:$A$529,0),$BK$4)="","",INDEX(Daten_Risiken!$A:$ZZ,MATCH($B23&amp;"|Arbeitskosten",Daten_Risiken!$A$1:$A$529,0),$BK$4)),"")</f>
        <v>65</v>
      </c>
      <c r="AB23" s="49">
        <f>IFERROR(AA23-IFERROR(IF(INDEX(Daten_Risiken!$A:$ZZ,MATCH($B23&amp;"|Arbeitskosten",Daten_Risiken!$A$1:$A$529,0),$BK$5)="",NA(),INDEX(Daten_Risiken!$A:$ZZ,MATCH($B23&amp;"|Arbeitskosten",Daten_Risiken!$A$1:$A$529,0),$BK$5)),NA()),"")</f>
        <v>-3</v>
      </c>
      <c r="AC23" s="49">
        <f>IFERROR(AA23-IFERROR(IF(INDEX(Daten_Risiken!$A:$ZZ,MATCH($B23&amp;"|Arbeitskosten",Daten_Risiken!$A$1:$A$529,0),$BK$6)="",NA(),INDEX(Daten_Risiken!$A:$ZZ,MATCH($B23&amp;"|Arbeitskosten",Daten_Risiken!$A$1:$A$529,0),$BK$6)),NA()),"")</f>
        <v>3</v>
      </c>
      <c r="AD23" s="50">
        <f>IFERROR(IF(INDEX(Daten_Risiken!$A:$ZZ,MATCH($B23&amp;"|Inlandsnachfrage",Daten_Risiken!$A$1:$A$529,0),$BK$4)="","",INDEX(Daten_Risiken!$A:$ZZ,MATCH($B23&amp;"|Inlandsnachfrage",Daten_Risiken!$A$1:$A$529,0),$BK$4)),"")</f>
        <v>63</v>
      </c>
      <c r="AE23" s="49">
        <f>IFERROR(AD23-IFERROR(IF(INDEX(Daten_Risiken!$A:$ZZ,MATCH($B23&amp;"|Inlandsnachfrage",Daten_Risiken!$A$1:$A$529,0),$BK$5)="",NA(),INDEX(Daten_Risiken!$A:$ZZ,MATCH($B23&amp;"|Inlandsnachfrage",Daten_Risiken!$A$1:$A$529,0),$BK$5)),NA()),"")</f>
        <v>1</v>
      </c>
      <c r="AF23" s="49">
        <f>IFERROR(AD23-IFERROR(IF(INDEX(Daten_Risiken!$A:$ZZ,MATCH($B23&amp;"|Inlandsnachfrage",Daten_Risiken!$A$1:$A$529,0),$BK$6)="",NA(),INDEX(Daten_Risiken!$A:$ZZ,MATCH($B23&amp;"|Inlandsnachfrage",Daten_Risiken!$A$1:$A$529,0),$BK$6)),NA()),"")</f>
        <v>-12</v>
      </c>
      <c r="AG23" s="50">
        <f>IFERROR(IF(INDEX(Daten_Risiken!$A:$ZZ,MATCH($B23&amp;"|Wirtschaftspolitische Rahmenbedingungen",Daten_Risiken!$A$1:$A$529,0),$BK$4)="","",INDEX(Daten_Risiken!$A:$ZZ,MATCH($B23&amp;"|Wirtschaftspolitische Rahmenbedingungen",Daten_Risiken!$A$1:$A$529,0),$BK$4)),"")</f>
        <v>61</v>
      </c>
      <c r="AH23" s="49">
        <f>IFERROR(AG23-IFERROR(IF(INDEX(Daten_Risiken!$A:$ZZ,MATCH($B23&amp;"|Wirtschaftspolitische Rahmenbedingungen",Daten_Risiken!$A$1:$A$529,0),$BK$5)="",NA(),INDEX(Daten_Risiken!$A:$ZZ,MATCH($B23&amp;"|Wirtschaftspolitische Rahmenbedingungen",Daten_Risiken!$A$1:$A$529,0),$BK$5)),NA()),"")</f>
        <v>0</v>
      </c>
      <c r="AI23" s="49">
        <f>IFERROR(AG23-IFERROR(IF(INDEX(Daten_Risiken!$A:$ZZ,MATCH($B23&amp;"|Wirtschaftspolitische Rahmenbedingungen",Daten_Risiken!$A$1:$A$529,0),$BK$6)="",NA(),INDEX(Daten_Risiken!$A:$ZZ,MATCH($B23&amp;"|Wirtschaftspolitische Rahmenbedingungen",Daten_Risiken!$A$1:$A$529,0),$BK$6)),NA()),"")</f>
        <v>-2</v>
      </c>
      <c r="AJ23" s="50">
        <f>IFERROR(IF(INDEX(Daten_Risiken!$A:$ZZ,MATCH($B23&amp;"|Fachkräftemangel",Daten_Risiken!$A$1:$A$529,0),$BK$4)="","",INDEX(Daten_Risiken!$A:$ZZ,MATCH($B23&amp;"|Fachkräftemangel",Daten_Risiken!$A$1:$A$529,0),$BK$4)),"")</f>
        <v>36</v>
      </c>
      <c r="AK23" s="49">
        <f>IFERROR(AJ23-IFERROR(IF(INDEX(Daten_Risiken!$A:$ZZ,MATCH($B23&amp;"|Fachkräftemangel",Daten_Risiken!$A$1:$A$529,0),$BK$5)="",NA(),INDEX(Daten_Risiken!$A:$ZZ,MATCH($B23&amp;"|Fachkräftemangel",Daten_Risiken!$A$1:$A$529,0),$BK$5)),NA()),"")</f>
        <v>4</v>
      </c>
      <c r="AL23" s="49">
        <f>IFERROR(AJ23-IFERROR(IF(INDEX(Daten_Risiken!$A:$ZZ,MATCH($B23&amp;"|Fachkräftemangel",Daten_Risiken!$A$1:$A$529,0),$BK$6)="",NA(),INDEX(Daten_Risiken!$A:$ZZ,MATCH($B23&amp;"|Fachkräftemangel",Daten_Risiken!$A$1:$A$529,0),$BK$6)),NA()),"")</f>
        <v>-3</v>
      </c>
      <c r="AM23" s="50">
        <f>IFERROR(IF(INDEX(Daten_Risiken!$A:$ZZ,MATCH($B23&amp;"|Auslandsnachfrage",Daten_Risiken!$A$1:$A$529,0),$BK$4)="","",INDEX(Daten_Risiken!$A:$ZZ,MATCH($B23&amp;"|Auslandsnachfrage",Daten_Risiken!$A$1:$A$529,0),$BK$4)),"")</f>
        <v>29</v>
      </c>
      <c r="AN23" s="49">
        <f>IFERROR(AM23-IFERROR(IF(INDEX(Daten_Risiken!$A:$ZZ,MATCH($B23&amp;"|Auslandsnachfrage",Daten_Risiken!$A$1:$A$529,0),$BK$5)="",NA(),INDEX(Daten_Risiken!$A:$ZZ,MATCH($B23&amp;"|Auslandsnachfrage",Daten_Risiken!$A$1:$A$529,0),$BK$5)),NA()),"")</f>
        <v>-6</v>
      </c>
      <c r="AO23" s="49">
        <f>IFERROR(AM23-IFERROR(IF(INDEX(Daten_Risiken!$A:$ZZ,MATCH($B23&amp;"|Auslandsnachfrage",Daten_Risiken!$A$1:$A$529,0),$BK$6)="",NA(),INDEX(Daten_Risiken!$A:$ZZ,MATCH($B23&amp;"|Auslandsnachfrage",Daten_Risiken!$A$1:$A$529,0),$BK$6)),NA()),"")</f>
        <v>-13</v>
      </c>
      <c r="AP23" s="50">
        <f>IFERROR(IF(INDEX(Daten_Risiken!$A:$ZZ,MATCH($B23&amp;"|Finanzierung",Daten_Risiken!$A$1:$A$529,0),$BK$4)="","",INDEX(Daten_Risiken!$A:$ZZ,MATCH($B23&amp;"|Finanzierung",Daten_Risiken!$A$1:$A$529,0),$BK$4)),"")</f>
        <v>12</v>
      </c>
      <c r="AQ23" s="49">
        <f>IFERROR(AP23-IFERROR(IF(INDEX(Daten_Risiken!$A:$ZZ,MATCH($B23&amp;"|Finanzierung",Daten_Risiken!$A$1:$A$529,0),$BK$5)="",NA(),INDEX(Daten_Risiken!$A:$ZZ,MATCH($B23&amp;"|Finanzierung",Daten_Risiken!$A$1:$A$529,0),$BK$5)),NA()),"")</f>
        <v>0</v>
      </c>
      <c r="AR23" s="49">
        <f>IFERROR(AP23-IFERROR(IF(INDEX(Daten_Risiken!$A:$ZZ,MATCH($B23&amp;"|Finanzierung",Daten_Risiken!$A$1:$A$529,0),$BK$6)="",NA(),INDEX(Daten_Risiken!$A:$ZZ,MATCH($B23&amp;"|Finanzierung",Daten_Risiken!$A$1:$A$529,0),$BK$6)),NA()),"")</f>
        <v>4</v>
      </c>
      <c r="AS23" s="50">
        <f>IFERROR(IF(INDEX(Daten_Risiken!$A:$ZZ,MATCH($B23&amp;"|Wechselkurs",Daten_Risiken!$A$1:$A$529,0),$BK$4)="","",INDEX(Daten_Risiken!$A:$ZZ,MATCH($B23&amp;"|Wechselkurs",Daten_Risiken!$A$1:$A$529,0),$BK$4)),"")</f>
        <v>3</v>
      </c>
      <c r="AT23" s="49">
        <f>IFERROR(AS23-IFERROR(IF(INDEX(Daten_Risiken!$A:$ZZ,MATCH($B23&amp;"|Wechselkurs",Daten_Risiken!$A$1:$A$529,0),$BK$5)="",NA(),INDEX(Daten_Risiken!$A:$ZZ,MATCH($B23&amp;"|Wechselkurs",Daten_Risiken!$A$1:$A$529,0),$BK$5)),NA()),"")</f>
        <v>-4</v>
      </c>
      <c r="AU23" s="49">
        <f>IFERROR(AS23-IFERROR(IF(INDEX(Daten_Risiken!$A:$ZZ,MATCH($B23&amp;"|Wechselkurs",Daten_Risiken!$A$1:$A$529,0),$BK$6)="",NA(),INDEX(Daten_Risiken!$A:$ZZ,MATCH($B23&amp;"|Wechselkurs",Daten_Risiken!$A$1:$A$529,0),$BK$6)),NA()),"")</f>
        <v>1</v>
      </c>
      <c r="AV23" s="50">
        <f>IFERROR(IF(INDEX(Daten_Motive!$A:$ZZ,MATCH($B23&amp;"|Ersatzbedarf",Daten_Motive!$A$1:$A$331,0),$BK$7)="","",INDEX(Daten_Motive!$A:$ZZ,MATCH($B23&amp;"|Ersatzbedarf",Daten_Motive!$A$1:$A$331,0),$BK$7)),"")</f>
        <v>81</v>
      </c>
      <c r="AW23" s="49">
        <f>IFERROR(AV23-IFERROR(IF(INDEX(Daten_Motive!$A:$ZZ,MATCH($B23&amp;"|Ersatzbedarf",Daten_Motive!$A$1:$A$331,0),$BK$8)="",NA(),INDEX(Daten_Motive!$A:$ZZ,MATCH($B23&amp;"|Ersatzbedarf",Daten_Motive!$A$1:$A$331,0),$BK$8)),NA()),"")</f>
        <v>4</v>
      </c>
      <c r="AX23" s="49">
        <f>IFERROR(AV23-IFERROR(IF(INDEX(Daten_Motive!$A:$ZZ,MATCH($B23&amp;"|Ersatzbedarf",Daten_Motive!$A$1:$A$331,0),$BK$9)="",NA(),INDEX(Daten_Motive!$A:$ZZ,MATCH($B23&amp;"|Ersatzbedarf",Daten_Motive!$A$1:$A$331,0),$BK$9)),NA()),"")</f>
        <v>4</v>
      </c>
      <c r="AY23" s="50">
        <f>IFERROR(IF(INDEX(Daten_Motive!$A:$ZZ,MATCH($B23&amp;"|Rationalisierung",Daten_Motive!$A$1:$A$331,0),$BK$7)="","",INDEX(Daten_Motive!$A:$ZZ,MATCH($B23&amp;"|Rationalisierung",Daten_Motive!$A$1:$A$331,0),$BK$7)),"")</f>
        <v>45</v>
      </c>
      <c r="AZ23" s="49">
        <f>IFERROR(AY23-IFERROR(IF(INDEX(Daten_Motive!$A:$ZZ,MATCH($B23&amp;"|Rationalisierung",Daten_Motive!$A$1:$A$331,0),$BK$8)="",NA(),INDEX(Daten_Motive!$A:$ZZ,MATCH($B23&amp;"|Rationalisierung",Daten_Motive!$A$1:$A$331,0),$BK$8)),NA()),"")</f>
        <v>0</v>
      </c>
      <c r="BA23" s="49">
        <f>IFERROR(AY23-IFERROR(IF(INDEX(Daten_Motive!$A:$ZZ,MATCH($B23&amp;"|Rationalisierung",Daten_Motive!$A$1:$A$331,0),$BK$9)="",NA(),INDEX(Daten_Motive!$A:$ZZ,MATCH($B23&amp;"|Rationalisierung",Daten_Motive!$A$1:$A$331,0),$BK$9)),NA()),"")</f>
        <v>-5</v>
      </c>
      <c r="BB23" s="50">
        <f>IFERROR(IF(INDEX(Daten_Motive!$A:$ZZ,MATCH($B23&amp;"|Produktinnovation",Daten_Motive!$A$1:$A$331,0),$BK$7)="","",INDEX(Daten_Motive!$A:$ZZ,MATCH($B23&amp;"|Produktinnovation",Daten_Motive!$A$1:$A$331,0),$BK$7)),"")</f>
        <v>20</v>
      </c>
      <c r="BC23" s="49">
        <f>IFERROR(BB23-IFERROR(IF(INDEX(Daten_Motive!$A:$ZZ,MATCH($B23&amp;"|Produktinnovation",Daten_Motive!$A$1:$A$331,0),$BK$8)="",NA(),INDEX(Daten_Motive!$A:$ZZ,MATCH($B23&amp;"|Produktinnovation",Daten_Motive!$A$1:$A$331,0),$BK$8)),NA()),"")</f>
        <v>1</v>
      </c>
      <c r="BD23" s="49">
        <f>IFERROR(BB23-IFERROR(IF(INDEX(Daten_Motive!$A:$ZZ,MATCH($B23&amp;"|Produktinnovation",Daten_Motive!$A$1:$A$331,0),$BK$9)="",NA(),INDEX(Daten_Motive!$A:$ZZ,MATCH($B23&amp;"|Produktinnovation",Daten_Motive!$A$1:$A$331,0),$BK$9)),NA()),"")</f>
        <v>-2</v>
      </c>
      <c r="BE23" s="50">
        <f>IFERROR(IF(INDEX(Daten_Motive!$A:$ZZ,MATCH($B23&amp;"|Umweltschutz",Daten_Motive!$A$1:$A$331,0),$BK$7)="","",INDEX(Daten_Motive!$A:$ZZ,MATCH($B23&amp;"|Umweltschutz",Daten_Motive!$A$1:$A$331,0),$BK$7)),"")</f>
        <v>23</v>
      </c>
      <c r="BF23" s="49">
        <f>IFERROR(BE23-IFERROR(IF(INDEX(Daten_Motive!$A:$ZZ,MATCH($B23&amp;"|Umweltschutz",Daten_Motive!$A$1:$A$331,0),$BK$8)="",NA(),INDEX(Daten_Motive!$A:$ZZ,MATCH($B23&amp;"|Umweltschutz",Daten_Motive!$A$1:$A$331,0),$BK$8)),NA()),"")</f>
        <v>-2</v>
      </c>
      <c r="BG23" s="49">
        <f>IFERROR(BE23-IFERROR(IF(INDEX(Daten_Motive!$A:$ZZ,MATCH($B23&amp;"|Umweltschutz",Daten_Motive!$A$1:$A$331,0),$BK$9)="",NA(),INDEX(Daten_Motive!$A:$ZZ,MATCH($B23&amp;"|Umweltschutz",Daten_Motive!$A$1:$A$331,0),$BK$9)),NA()),"")</f>
        <v>-7</v>
      </c>
      <c r="BH23" s="50">
        <f>IFERROR(IF(INDEX(Daten_Motive!$A:$ZZ,MATCH($B23&amp;"|Kapazitätserweiterung",Daten_Motive!$A$1:$A$331,0),$BK$7)="","",INDEX(Daten_Motive!$A:$ZZ,MATCH($B23&amp;"|Kapazitätserweiterung",Daten_Motive!$A$1:$A$331,0),$BK$7)),"")</f>
        <v>16</v>
      </c>
      <c r="BI23" s="49">
        <f>IFERROR(BH23-IFERROR(IF(INDEX(Daten_Motive!$A:$ZZ,MATCH($B23&amp;"|Kapazitätserweiterung",Daten_Motive!$A$1:$A$331,0),$BK$8)="",NA(),INDEX(Daten_Motive!$A:$ZZ,MATCH($B23&amp;"|Kapazitätserweiterung",Daten_Motive!$A$1:$A$331,0),$BK$8)),NA()),"")</f>
        <v>0</v>
      </c>
      <c r="BJ23" s="49">
        <f>IFERROR(BH23-IFERROR(IF(INDEX(Daten_Motive!$A:$ZZ,MATCH($B23&amp;"|Kapazitätserweiterung",Daten_Motive!$A$1:$A$331,0),$BK$9)="",NA(),INDEX(Daten_Motive!$A:$ZZ,MATCH($B23&amp;"|Kapazitätserweiterung",Daten_Motive!$A$1:$A$331,0),$BK$9)),NA()),"")</f>
        <v>-2</v>
      </c>
    </row>
    <row r="24" spans="1:62" x14ac:dyDescent="0.25">
      <c r="A24" s="42">
        <v>16</v>
      </c>
      <c r="B24" s="52" t="str">
        <f>Listen!A17</f>
        <v>Metallerzeugnisse</v>
      </c>
      <c r="C24" s="44" t="s">
        <v>4510</v>
      </c>
      <c r="D24" s="44" t="str">
        <f>Listen!B17</f>
        <v>Industrie</v>
      </c>
      <c r="E24" s="45">
        <f>IFERROR(IF(INDEX(Daten_Anteile!$A:$ZZ,MATCH($B24&amp;"|Lage|"&amp;$C$3,Daten_Anteile!$A$1:$A$2971,0),5)="","",INDEX(Daten_Anteile!$A:$ZZ,MATCH($B24&amp;"|Lage|"&amp;$C$3,Daten_Anteile!$A$1:$A$2971,0),5)),"")</f>
        <v>997</v>
      </c>
      <c r="F24" s="46">
        <f t="shared" si="0"/>
        <v>91.5</v>
      </c>
      <c r="G24" s="47">
        <f t="shared" si="1"/>
        <v>9</v>
      </c>
      <c r="H24" s="47">
        <f t="shared" si="2"/>
        <v>8.8000000000000007</v>
      </c>
      <c r="I24" s="48">
        <f>IFERROR(IF(INDEX(Daten_Salden!$A:$ZZ,MATCH($B24&amp;"|Lage",Daten_Salden!$A$1:$A$331,0),$BK$1)="","",INDEX(Daten_Salden!$A:$ZZ,MATCH($B24&amp;"|Lage",Daten_Salden!$A$1:$A$331,0),$BK$1)),"")</f>
        <v>-10</v>
      </c>
      <c r="J24" s="49">
        <f>IFERROR(I24-IFERROR(IF(INDEX(Daten_Salden!$A:$ZZ,MATCH($B24&amp;"|Lage",Daten_Salden!$A$1:$A$331,0),$BK$2)="",NA(),INDEX(Daten_Salden!$A:$ZZ,MATCH($B24&amp;"|Lage",Daten_Salden!$A$1:$A$331,0),$BK$2)),NA()),"")</f>
        <v>7</v>
      </c>
      <c r="K24" s="49">
        <f>IFERROR(I24-IFERROR(IF(INDEX(Daten_Salden!$A:$ZZ,MATCH($B24&amp;"|Lage",Daten_Salden!$A$1:$A$331,0),$BK$3)="",NA(),INDEX(Daten_Salden!$A:$ZZ,MATCH($B24&amp;"|Lage",Daten_Salden!$A$1:$A$331,0),$BK$3)),NA()),"")</f>
        <v>14</v>
      </c>
      <c r="L24" s="48">
        <f>IFERROR(IF(INDEX(Daten_Salden!$A:$ZZ,MATCH($B24&amp;"|Erwartungen",Daten_Salden!$A$1:$A$331,0),$BK$1)="","",INDEX(Daten_Salden!$A:$ZZ,MATCH($B24&amp;"|Erwartungen",Daten_Salden!$A$1:$A$331,0),$BK$1)),"")</f>
        <v>-7</v>
      </c>
      <c r="M24" s="49">
        <f>IFERROR(L24-IFERROR(IF(INDEX(Daten_Salden!$A:$ZZ,MATCH($B24&amp;"|Erwartungen",Daten_Salden!$A$1:$A$331,0),$BK$2)="",NA(),INDEX(Daten_Salden!$A:$ZZ,MATCH($B24&amp;"|Erwartungen",Daten_Salden!$A$1:$A$331,0),$BK$2)),NA()),"")</f>
        <v>11</v>
      </c>
      <c r="N24" s="49">
        <f>IFERROR(L24-IFERROR(IF(INDEX(Daten_Salden!$A:$ZZ,MATCH($B24&amp;"|Erwartungen",Daten_Salden!$A$1:$A$331,0),$BK$3)="",NA(),INDEX(Daten_Salden!$A:$ZZ,MATCH($B24&amp;"|Erwartungen",Daten_Salden!$A$1:$A$331,0),$BK$3)),NA()),"")</f>
        <v>3</v>
      </c>
      <c r="O24" s="48">
        <f>IFERROR(IF(INDEX(Daten_Salden!$A:$ZZ,MATCH($B24&amp;"|Export",Daten_Salden!$A$1:$A$331,0),$BK$1)="","",INDEX(Daten_Salden!$A:$ZZ,MATCH($B24&amp;"|Export",Daten_Salden!$A$1:$A$331,0),$BK$1)),"")</f>
        <v>-5</v>
      </c>
      <c r="P24" s="49">
        <f>IFERROR(O24-IFERROR(IF(INDEX(Daten_Salden!$A:$ZZ,MATCH($B24&amp;"|Export",Daten_Salden!$A$1:$A$331,0),$BK$2)="",NA(),INDEX(Daten_Salden!$A:$ZZ,MATCH($B24&amp;"|Export",Daten_Salden!$A$1:$A$331,0),$BK$2)),NA()),"")</f>
        <v>15</v>
      </c>
      <c r="Q24" s="49">
        <f>IFERROR(O24-IFERROR(IF(INDEX(Daten_Salden!$A:$ZZ,MATCH($B24&amp;"|Export",Daten_Salden!$A$1:$A$331,0),$BK$3)="",NA(),INDEX(Daten_Salden!$A:$ZZ,MATCH($B24&amp;"|Export",Daten_Salden!$A$1:$A$331,0),$BK$3)),NA()),"")</f>
        <v>13</v>
      </c>
      <c r="R24" s="48">
        <f>IFERROR(IF(INDEX(Daten_Salden!$A:$ZZ,MATCH($B24&amp;"|Investitionen",Daten_Salden!$A$1:$A$331,0),$BK$1)="","",INDEX(Daten_Salden!$A:$ZZ,MATCH($B24&amp;"|Investitionen",Daten_Salden!$A$1:$A$331,0),$BK$1)),"")</f>
        <v>-14</v>
      </c>
      <c r="S24" s="49">
        <f>IFERROR(R24-IFERROR(IF(INDEX(Daten_Salden!$A:$ZZ,MATCH($B24&amp;"|Investitionen",Daten_Salden!$A$1:$A$331,0),$BK$2)="",NA(),INDEX(Daten_Salden!$A:$ZZ,MATCH($B24&amp;"|Investitionen",Daten_Salden!$A$1:$A$331,0),$BK$2)),NA()),"")</f>
        <v>12</v>
      </c>
      <c r="T24" s="49">
        <f>IFERROR(R24-IFERROR(IF(INDEX(Daten_Salden!$A:$ZZ,MATCH($B24&amp;"|Investitionen",Daten_Salden!$A$1:$A$331,0),$BK$3)="",NA(),INDEX(Daten_Salden!$A:$ZZ,MATCH($B24&amp;"|Investitionen",Daten_Salden!$A$1:$A$331,0),$BK$3)),NA()),"")</f>
        <v>12</v>
      </c>
      <c r="U24" s="48">
        <f>IFERROR(IF(INDEX(Daten_Salden!$A:$ZZ,MATCH($B24&amp;"|Beschäftigung",Daten_Salden!$A$1:$A$331,0),$BK$1)="","",INDEX(Daten_Salden!$A:$ZZ,MATCH($B24&amp;"|Beschäftigung",Daten_Salden!$A$1:$A$331,0),$BK$1)),"")</f>
        <v>-18</v>
      </c>
      <c r="V24" s="49">
        <f>IFERROR(U24-IFERROR(IF(INDEX(Daten_Salden!$A:$ZZ,MATCH($B24&amp;"|Beschäftigung",Daten_Salden!$A$1:$A$331,0),$BK$2)="",NA(),INDEX(Daten_Salden!$A:$ZZ,MATCH($B24&amp;"|Beschäftigung",Daten_Salden!$A$1:$A$331,0),$BK$2)),NA()),"")</f>
        <v>9</v>
      </c>
      <c r="W24" s="49">
        <f>IFERROR(U24-IFERROR(IF(INDEX(Daten_Salden!$A:$ZZ,MATCH($B24&amp;"|Beschäftigung",Daten_Salden!$A$1:$A$331,0),$BK$3)="",NA(),INDEX(Daten_Salden!$A:$ZZ,MATCH($B24&amp;"|Beschäftigung",Daten_Salden!$A$1:$A$331,0),$BK$3)),NA()),"")</f>
        <v>8</v>
      </c>
      <c r="X24" s="50">
        <f>IFERROR(IF(INDEX(Daten_Risiken!$A:$ZZ,MATCH($B24&amp;"|Energie- und Rohstoffpreise",Daten_Risiken!$A$1:$A$529,0),$BK$4)="","",INDEX(Daten_Risiken!$A:$ZZ,MATCH($B24&amp;"|Energie- und Rohstoffpreise",Daten_Risiken!$A$1:$A$529,0),$BK$4)),"")</f>
        <v>81</v>
      </c>
      <c r="Y24" s="49">
        <f>IFERROR(X24-IFERROR(IF(INDEX(Daten_Risiken!$A:$ZZ,MATCH($B24&amp;"|Energie- und Rohstoffpreise",Daten_Risiken!$A$1:$A$529,0),$BK$5)="",NA(),INDEX(Daten_Risiken!$A:$ZZ,MATCH($B24&amp;"|Energie- und Rohstoffpreise",Daten_Risiken!$A$1:$A$529,0),$BK$5)),NA()),"")</f>
        <v>-2</v>
      </c>
      <c r="Z24" s="49">
        <f>IFERROR(X24-IFERROR(IF(INDEX(Daten_Risiken!$A:$ZZ,MATCH($B24&amp;"|Energie- und Rohstoffpreise",Daten_Risiken!$A$1:$A$529,0),$BK$6)="",NA(),INDEX(Daten_Risiken!$A:$ZZ,MATCH($B24&amp;"|Energie- und Rohstoffpreise",Daten_Risiken!$A$1:$A$529,0),$BK$6)),NA()),"")</f>
        <v>22</v>
      </c>
      <c r="AA24" s="50">
        <f>IFERROR(IF(INDEX(Daten_Risiken!$A:$ZZ,MATCH($B24&amp;"|Arbeitskosten",Daten_Risiken!$A$1:$A$529,0),$BK$4)="","",INDEX(Daten_Risiken!$A:$ZZ,MATCH($B24&amp;"|Arbeitskosten",Daten_Risiken!$A$1:$A$529,0),$BK$4)),"")</f>
        <v>64</v>
      </c>
      <c r="AB24" s="49">
        <f>IFERROR(AA24-IFERROR(IF(INDEX(Daten_Risiken!$A:$ZZ,MATCH($B24&amp;"|Arbeitskosten",Daten_Risiken!$A$1:$A$529,0),$BK$5)="",NA(),INDEX(Daten_Risiken!$A:$ZZ,MATCH($B24&amp;"|Arbeitskosten",Daten_Risiken!$A$1:$A$529,0),$BK$5)),NA()),"")</f>
        <v>-3</v>
      </c>
      <c r="AC24" s="49">
        <f>IFERROR(AA24-IFERROR(IF(INDEX(Daten_Risiken!$A:$ZZ,MATCH($B24&amp;"|Arbeitskosten",Daten_Risiken!$A$1:$A$529,0),$BK$6)="",NA(),INDEX(Daten_Risiken!$A:$ZZ,MATCH($B24&amp;"|Arbeitskosten",Daten_Risiken!$A$1:$A$529,0),$BK$6)),NA()),"")</f>
        <v>0</v>
      </c>
      <c r="AD24" s="50">
        <f>IFERROR(IF(INDEX(Daten_Risiken!$A:$ZZ,MATCH($B24&amp;"|Inlandsnachfrage",Daten_Risiken!$A$1:$A$529,0),$BK$4)="","",INDEX(Daten_Risiken!$A:$ZZ,MATCH($B24&amp;"|Inlandsnachfrage",Daten_Risiken!$A$1:$A$529,0),$BK$4)),"")</f>
        <v>67</v>
      </c>
      <c r="AE24" s="49">
        <f>IFERROR(AD24-IFERROR(IF(INDEX(Daten_Risiken!$A:$ZZ,MATCH($B24&amp;"|Inlandsnachfrage",Daten_Risiken!$A$1:$A$529,0),$BK$5)="",NA(),INDEX(Daten_Risiken!$A:$ZZ,MATCH($B24&amp;"|Inlandsnachfrage",Daten_Risiken!$A$1:$A$529,0),$BK$5)),NA()),"")</f>
        <v>-1</v>
      </c>
      <c r="AF24" s="49">
        <f>IFERROR(AD24-IFERROR(IF(INDEX(Daten_Risiken!$A:$ZZ,MATCH($B24&amp;"|Inlandsnachfrage",Daten_Risiken!$A$1:$A$529,0),$BK$6)="",NA(),INDEX(Daten_Risiken!$A:$ZZ,MATCH($B24&amp;"|Inlandsnachfrage",Daten_Risiken!$A$1:$A$529,0),$BK$6)),NA()),"")</f>
        <v>-6</v>
      </c>
      <c r="AG24" s="50">
        <f>IFERROR(IF(INDEX(Daten_Risiken!$A:$ZZ,MATCH($B24&amp;"|Wirtschaftspolitische Rahmenbedingungen",Daten_Risiken!$A$1:$A$529,0),$BK$4)="","",INDEX(Daten_Risiken!$A:$ZZ,MATCH($B24&amp;"|Wirtschaftspolitische Rahmenbedingungen",Daten_Risiken!$A$1:$A$529,0),$BK$4)),"")</f>
        <v>57</v>
      </c>
      <c r="AH24" s="49">
        <f>IFERROR(AG24-IFERROR(IF(INDEX(Daten_Risiken!$A:$ZZ,MATCH($B24&amp;"|Wirtschaftspolitische Rahmenbedingungen",Daten_Risiken!$A$1:$A$529,0),$BK$5)="",NA(),INDEX(Daten_Risiken!$A:$ZZ,MATCH($B24&amp;"|Wirtschaftspolitische Rahmenbedingungen",Daten_Risiken!$A$1:$A$529,0),$BK$5)),NA()),"")</f>
        <v>-2</v>
      </c>
      <c r="AI24" s="49">
        <f>IFERROR(AG24-IFERROR(IF(INDEX(Daten_Risiken!$A:$ZZ,MATCH($B24&amp;"|Wirtschaftspolitische Rahmenbedingungen",Daten_Risiken!$A$1:$A$529,0),$BK$6)="",NA(),INDEX(Daten_Risiken!$A:$ZZ,MATCH($B24&amp;"|Wirtschaftspolitische Rahmenbedingungen",Daten_Risiken!$A$1:$A$529,0),$BK$6)),NA()),"")</f>
        <v>1</v>
      </c>
      <c r="AJ24" s="50">
        <f>IFERROR(IF(INDEX(Daten_Risiken!$A:$ZZ,MATCH($B24&amp;"|Fachkräftemangel",Daten_Risiken!$A$1:$A$529,0),$BK$4)="","",INDEX(Daten_Risiken!$A:$ZZ,MATCH($B24&amp;"|Fachkräftemangel",Daten_Risiken!$A$1:$A$529,0),$BK$4)),"")</f>
        <v>37</v>
      </c>
      <c r="AK24" s="49">
        <f>IFERROR(AJ24-IFERROR(IF(INDEX(Daten_Risiken!$A:$ZZ,MATCH($B24&amp;"|Fachkräftemangel",Daten_Risiken!$A$1:$A$529,0),$BK$5)="",NA(),INDEX(Daten_Risiken!$A:$ZZ,MATCH($B24&amp;"|Fachkräftemangel",Daten_Risiken!$A$1:$A$529,0),$BK$5)),NA()),"")</f>
        <v>2</v>
      </c>
      <c r="AL24" s="49">
        <f>IFERROR(AJ24-IFERROR(IF(INDEX(Daten_Risiken!$A:$ZZ,MATCH($B24&amp;"|Fachkräftemangel",Daten_Risiken!$A$1:$A$529,0),$BK$6)="",NA(),INDEX(Daten_Risiken!$A:$ZZ,MATCH($B24&amp;"|Fachkräftemangel",Daten_Risiken!$A$1:$A$529,0),$BK$6)),NA()),"")</f>
        <v>-5</v>
      </c>
      <c r="AM24" s="50">
        <f>IFERROR(IF(INDEX(Daten_Risiken!$A:$ZZ,MATCH($B24&amp;"|Auslandsnachfrage",Daten_Risiken!$A$1:$A$529,0),$BK$4)="","",INDEX(Daten_Risiken!$A:$ZZ,MATCH($B24&amp;"|Auslandsnachfrage",Daten_Risiken!$A$1:$A$529,0),$BK$4)),"")</f>
        <v>31</v>
      </c>
      <c r="AN24" s="49">
        <f>IFERROR(AM24-IFERROR(IF(INDEX(Daten_Risiken!$A:$ZZ,MATCH($B24&amp;"|Auslandsnachfrage",Daten_Risiken!$A$1:$A$529,0),$BK$5)="",NA(),INDEX(Daten_Risiken!$A:$ZZ,MATCH($B24&amp;"|Auslandsnachfrage",Daten_Risiken!$A$1:$A$529,0),$BK$5)),NA()),"")</f>
        <v>-8</v>
      </c>
      <c r="AO24" s="49">
        <f>IFERROR(AM24-IFERROR(IF(INDEX(Daten_Risiken!$A:$ZZ,MATCH($B24&amp;"|Auslandsnachfrage",Daten_Risiken!$A$1:$A$529,0),$BK$6)="",NA(),INDEX(Daten_Risiken!$A:$ZZ,MATCH($B24&amp;"|Auslandsnachfrage",Daten_Risiken!$A$1:$A$529,0),$BK$6)),NA()),"")</f>
        <v>-8</v>
      </c>
      <c r="AP24" s="50">
        <f>IFERROR(IF(INDEX(Daten_Risiken!$A:$ZZ,MATCH($B24&amp;"|Finanzierung",Daten_Risiken!$A$1:$A$529,0),$BK$4)="","",INDEX(Daten_Risiken!$A:$ZZ,MATCH($B24&amp;"|Finanzierung",Daten_Risiken!$A$1:$A$529,0),$BK$4)),"")</f>
        <v>13</v>
      </c>
      <c r="AQ24" s="49">
        <f>IFERROR(AP24-IFERROR(IF(INDEX(Daten_Risiken!$A:$ZZ,MATCH($B24&amp;"|Finanzierung",Daten_Risiken!$A$1:$A$529,0),$BK$5)="",NA(),INDEX(Daten_Risiken!$A:$ZZ,MATCH($B24&amp;"|Finanzierung",Daten_Risiken!$A$1:$A$529,0),$BK$5)),NA()),"")</f>
        <v>0</v>
      </c>
      <c r="AR24" s="49">
        <f>IFERROR(AP24-IFERROR(IF(INDEX(Daten_Risiken!$A:$ZZ,MATCH($B24&amp;"|Finanzierung",Daten_Risiken!$A$1:$A$529,0),$BK$6)="",NA(),INDEX(Daten_Risiken!$A:$ZZ,MATCH($B24&amp;"|Finanzierung",Daten_Risiken!$A$1:$A$529,0),$BK$6)),NA()),"")</f>
        <v>2</v>
      </c>
      <c r="AS24" s="50">
        <f>IFERROR(IF(INDEX(Daten_Risiken!$A:$ZZ,MATCH($B24&amp;"|Wechselkurs",Daten_Risiken!$A$1:$A$529,0),$BK$4)="","",INDEX(Daten_Risiken!$A:$ZZ,MATCH($B24&amp;"|Wechselkurs",Daten_Risiken!$A$1:$A$529,0),$BK$4)),"")</f>
        <v>3</v>
      </c>
      <c r="AT24" s="49">
        <f>IFERROR(AS24-IFERROR(IF(INDEX(Daten_Risiken!$A:$ZZ,MATCH($B24&amp;"|Wechselkurs",Daten_Risiken!$A$1:$A$529,0),$BK$5)="",NA(),INDEX(Daten_Risiken!$A:$ZZ,MATCH($B24&amp;"|Wechselkurs",Daten_Risiken!$A$1:$A$529,0),$BK$5)),NA()),"")</f>
        <v>0</v>
      </c>
      <c r="AU24" s="49">
        <f>IFERROR(AS24-IFERROR(IF(INDEX(Daten_Risiken!$A:$ZZ,MATCH($B24&amp;"|Wechselkurs",Daten_Risiken!$A$1:$A$529,0),$BK$6)="",NA(),INDEX(Daten_Risiken!$A:$ZZ,MATCH($B24&amp;"|Wechselkurs",Daten_Risiken!$A$1:$A$529,0),$BK$6)),NA()),"")</f>
        <v>0</v>
      </c>
      <c r="AV24" s="50">
        <f>IFERROR(IF(INDEX(Daten_Motive!$A:$ZZ,MATCH($B24&amp;"|Ersatzbedarf",Daten_Motive!$A$1:$A$331,0),$BK$7)="","",INDEX(Daten_Motive!$A:$ZZ,MATCH($B24&amp;"|Ersatzbedarf",Daten_Motive!$A$1:$A$331,0),$BK$7)),"")</f>
        <v>71</v>
      </c>
      <c r="AW24" s="49">
        <f>IFERROR(AV24-IFERROR(IF(INDEX(Daten_Motive!$A:$ZZ,MATCH($B24&amp;"|Ersatzbedarf",Daten_Motive!$A$1:$A$331,0),$BK$8)="",NA(),INDEX(Daten_Motive!$A:$ZZ,MATCH($B24&amp;"|Ersatzbedarf",Daten_Motive!$A$1:$A$331,0),$BK$8)),NA()),"")</f>
        <v>0</v>
      </c>
      <c r="AX24" s="49">
        <f>IFERROR(AV24-IFERROR(IF(INDEX(Daten_Motive!$A:$ZZ,MATCH($B24&amp;"|Ersatzbedarf",Daten_Motive!$A$1:$A$331,0),$BK$9)="",NA(),INDEX(Daten_Motive!$A:$ZZ,MATCH($B24&amp;"|Ersatzbedarf",Daten_Motive!$A$1:$A$331,0),$BK$9)),NA()),"")</f>
        <v>0</v>
      </c>
      <c r="AY24" s="50">
        <f>IFERROR(IF(INDEX(Daten_Motive!$A:$ZZ,MATCH($B24&amp;"|Rationalisierung",Daten_Motive!$A$1:$A$331,0),$BK$7)="","",INDEX(Daten_Motive!$A:$ZZ,MATCH($B24&amp;"|Rationalisierung",Daten_Motive!$A$1:$A$331,0),$BK$7)),"")</f>
        <v>50</v>
      </c>
      <c r="AZ24" s="49">
        <f>IFERROR(AY24-IFERROR(IF(INDEX(Daten_Motive!$A:$ZZ,MATCH($B24&amp;"|Rationalisierung",Daten_Motive!$A$1:$A$331,0),$BK$8)="",NA(),INDEX(Daten_Motive!$A:$ZZ,MATCH($B24&amp;"|Rationalisierung",Daten_Motive!$A$1:$A$331,0),$BK$8)),NA()),"")</f>
        <v>2</v>
      </c>
      <c r="BA24" s="49">
        <f>IFERROR(AY24-IFERROR(IF(INDEX(Daten_Motive!$A:$ZZ,MATCH($B24&amp;"|Rationalisierung",Daten_Motive!$A$1:$A$331,0),$BK$9)="",NA(),INDEX(Daten_Motive!$A:$ZZ,MATCH($B24&amp;"|Rationalisierung",Daten_Motive!$A$1:$A$331,0),$BK$9)),NA()),"")</f>
        <v>0</v>
      </c>
      <c r="BB24" s="50">
        <f>IFERROR(IF(INDEX(Daten_Motive!$A:$ZZ,MATCH($B24&amp;"|Produktinnovation",Daten_Motive!$A$1:$A$331,0),$BK$7)="","",INDEX(Daten_Motive!$A:$ZZ,MATCH($B24&amp;"|Produktinnovation",Daten_Motive!$A$1:$A$331,0),$BK$7)),"")</f>
        <v>26</v>
      </c>
      <c r="BC24" s="49">
        <f>IFERROR(BB24-IFERROR(IF(INDEX(Daten_Motive!$A:$ZZ,MATCH($B24&amp;"|Produktinnovation",Daten_Motive!$A$1:$A$331,0),$BK$8)="",NA(),INDEX(Daten_Motive!$A:$ZZ,MATCH($B24&amp;"|Produktinnovation",Daten_Motive!$A$1:$A$331,0),$BK$8)),NA()),"")</f>
        <v>2</v>
      </c>
      <c r="BD24" s="49">
        <f>IFERROR(BB24-IFERROR(IF(INDEX(Daten_Motive!$A:$ZZ,MATCH($B24&amp;"|Produktinnovation",Daten_Motive!$A$1:$A$331,0),$BK$9)="",NA(),INDEX(Daten_Motive!$A:$ZZ,MATCH($B24&amp;"|Produktinnovation",Daten_Motive!$A$1:$A$331,0),$BK$9)),NA()),"")</f>
        <v>1</v>
      </c>
      <c r="BE24" s="50">
        <f>IFERROR(IF(INDEX(Daten_Motive!$A:$ZZ,MATCH($B24&amp;"|Umweltschutz",Daten_Motive!$A$1:$A$331,0),$BK$7)="","",INDEX(Daten_Motive!$A:$ZZ,MATCH($B24&amp;"|Umweltschutz",Daten_Motive!$A$1:$A$331,0),$BK$7)),"")</f>
        <v>17</v>
      </c>
      <c r="BF24" s="49">
        <f>IFERROR(BE24-IFERROR(IF(INDEX(Daten_Motive!$A:$ZZ,MATCH($B24&amp;"|Umweltschutz",Daten_Motive!$A$1:$A$331,0),$BK$8)="",NA(),INDEX(Daten_Motive!$A:$ZZ,MATCH($B24&amp;"|Umweltschutz",Daten_Motive!$A$1:$A$331,0),$BK$8)),NA()),"")</f>
        <v>1</v>
      </c>
      <c r="BG24" s="49">
        <f>IFERROR(BE24-IFERROR(IF(INDEX(Daten_Motive!$A:$ZZ,MATCH($B24&amp;"|Umweltschutz",Daten_Motive!$A$1:$A$331,0),$BK$9)="",NA(),INDEX(Daten_Motive!$A:$ZZ,MATCH($B24&amp;"|Umweltschutz",Daten_Motive!$A$1:$A$331,0),$BK$9)),NA()),"")</f>
        <v>-2</v>
      </c>
      <c r="BH24" s="50">
        <f>IFERROR(IF(INDEX(Daten_Motive!$A:$ZZ,MATCH($B24&amp;"|Kapazitätserweiterung",Daten_Motive!$A$1:$A$331,0),$BK$7)="","",INDEX(Daten_Motive!$A:$ZZ,MATCH($B24&amp;"|Kapazitätserweiterung",Daten_Motive!$A$1:$A$331,0),$BK$7)),"")</f>
        <v>17</v>
      </c>
      <c r="BI24" s="49">
        <f>IFERROR(BH24-IFERROR(IF(INDEX(Daten_Motive!$A:$ZZ,MATCH($B24&amp;"|Kapazitätserweiterung",Daten_Motive!$A$1:$A$331,0),$BK$8)="",NA(),INDEX(Daten_Motive!$A:$ZZ,MATCH($B24&amp;"|Kapazitätserweiterung",Daten_Motive!$A$1:$A$331,0),$BK$8)),NA()),"")</f>
        <v>1</v>
      </c>
      <c r="BJ24" s="49">
        <f>IFERROR(BH24-IFERROR(IF(INDEX(Daten_Motive!$A:$ZZ,MATCH($B24&amp;"|Kapazitätserweiterung",Daten_Motive!$A$1:$A$331,0),$BK$9)="",NA(),INDEX(Daten_Motive!$A:$ZZ,MATCH($B24&amp;"|Kapazitätserweiterung",Daten_Motive!$A$1:$A$331,0),$BK$9)),NA()),"")</f>
        <v>1</v>
      </c>
    </row>
    <row r="25" spans="1:62" x14ac:dyDescent="0.25">
      <c r="A25" s="42">
        <v>17</v>
      </c>
      <c r="B25" s="51" t="str">
        <f>Listen!A18</f>
        <v>Elektrotechnik</v>
      </c>
      <c r="C25" s="44" t="s">
        <v>4511</v>
      </c>
      <c r="D25" s="44" t="str">
        <f>Listen!B18</f>
        <v>Industrie</v>
      </c>
      <c r="E25" s="45">
        <f>IFERROR(IF(INDEX(Daten_Anteile!$A:$ZZ,MATCH($B25&amp;"|Lage|"&amp;$C$3,Daten_Anteile!$A$1:$A$2971,0),5)="","",INDEX(Daten_Anteile!$A:$ZZ,MATCH($B25&amp;"|Lage|"&amp;$C$3,Daten_Anteile!$A$1:$A$2971,0),5)),"")</f>
        <v>695</v>
      </c>
      <c r="F25" s="46">
        <f t="shared" si="0"/>
        <v>112.5</v>
      </c>
      <c r="G25" s="47">
        <f t="shared" si="1"/>
        <v>11</v>
      </c>
      <c r="H25" s="47">
        <f t="shared" si="2"/>
        <v>15.1</v>
      </c>
      <c r="I25" s="48">
        <f>IFERROR(IF(INDEX(Daten_Salden!$A:$ZZ,MATCH($B25&amp;"|Lage",Daten_Salden!$A$1:$A$331,0),$BK$1)="","",INDEX(Daten_Salden!$A:$ZZ,MATCH($B25&amp;"|Lage",Daten_Salden!$A$1:$A$331,0),$BK$1)),"")</f>
        <v>15</v>
      </c>
      <c r="J25" s="49">
        <f>IFERROR(I25-IFERROR(IF(INDEX(Daten_Salden!$A:$ZZ,MATCH($B25&amp;"|Lage",Daten_Salden!$A$1:$A$331,0),$BK$2)="",NA(),INDEX(Daten_Salden!$A:$ZZ,MATCH($B25&amp;"|Lage",Daten_Salden!$A$1:$A$331,0),$BK$2)),NA()),"")</f>
        <v>11</v>
      </c>
      <c r="K25" s="49">
        <f>IFERROR(I25-IFERROR(IF(INDEX(Daten_Salden!$A:$ZZ,MATCH($B25&amp;"|Lage",Daten_Salden!$A$1:$A$331,0),$BK$3)="",NA(),INDEX(Daten_Salden!$A:$ZZ,MATCH($B25&amp;"|Lage",Daten_Salden!$A$1:$A$331,0),$BK$3)),NA()),"")</f>
        <v>21</v>
      </c>
      <c r="L25" s="48">
        <f>IFERROR(IF(INDEX(Daten_Salden!$A:$ZZ,MATCH($B25&amp;"|Erwartungen",Daten_Salden!$A$1:$A$331,0),$BK$1)="","",INDEX(Daten_Salden!$A:$ZZ,MATCH($B25&amp;"|Erwartungen",Daten_Salden!$A$1:$A$331,0),$BK$1)),"")</f>
        <v>10</v>
      </c>
      <c r="M25" s="49">
        <f>IFERROR(L25-IFERROR(IF(INDEX(Daten_Salden!$A:$ZZ,MATCH($B25&amp;"|Erwartungen",Daten_Salden!$A$1:$A$331,0),$BK$2)="",NA(),INDEX(Daten_Salden!$A:$ZZ,MATCH($B25&amp;"|Erwartungen",Daten_Salden!$A$1:$A$331,0),$BK$2)),NA()),"")</f>
        <v>11</v>
      </c>
      <c r="N25" s="49">
        <f>IFERROR(L25-IFERROR(IF(INDEX(Daten_Salden!$A:$ZZ,MATCH($B25&amp;"|Erwartungen",Daten_Salden!$A$1:$A$331,0),$BK$3)="",NA(),INDEX(Daten_Salden!$A:$ZZ,MATCH($B25&amp;"|Erwartungen",Daten_Salden!$A$1:$A$331,0),$BK$3)),NA()),"")</f>
        <v>9</v>
      </c>
      <c r="O25" s="48">
        <f>IFERROR(IF(INDEX(Daten_Salden!$A:$ZZ,MATCH($B25&amp;"|Export",Daten_Salden!$A$1:$A$331,0),$BK$1)="","",INDEX(Daten_Salden!$A:$ZZ,MATCH($B25&amp;"|Export",Daten_Salden!$A$1:$A$331,0),$BK$1)),"")</f>
        <v>17</v>
      </c>
      <c r="P25" s="49">
        <f>IFERROR(O25-IFERROR(IF(INDEX(Daten_Salden!$A:$ZZ,MATCH($B25&amp;"|Export",Daten_Salden!$A$1:$A$331,0),$BK$2)="",NA(),INDEX(Daten_Salden!$A:$ZZ,MATCH($B25&amp;"|Export",Daten_Salden!$A$1:$A$331,0),$BK$2)),NA()),"")</f>
        <v>12</v>
      </c>
      <c r="Q25" s="49">
        <f>IFERROR(O25-IFERROR(IF(INDEX(Daten_Salden!$A:$ZZ,MATCH($B25&amp;"|Export",Daten_Salden!$A$1:$A$331,0),$BK$3)="",NA(),INDEX(Daten_Salden!$A:$ZZ,MATCH($B25&amp;"|Export",Daten_Salden!$A$1:$A$331,0),$BK$3)),NA()),"")</f>
        <v>16</v>
      </c>
      <c r="R25" s="48">
        <f>IFERROR(IF(INDEX(Daten_Salden!$A:$ZZ,MATCH($B25&amp;"|Investitionen",Daten_Salden!$A$1:$A$331,0),$BK$1)="","",INDEX(Daten_Salden!$A:$ZZ,MATCH($B25&amp;"|Investitionen",Daten_Salden!$A$1:$A$331,0),$BK$1)),"")</f>
        <v>-6</v>
      </c>
      <c r="S25" s="49">
        <f>IFERROR(R25-IFERROR(IF(INDEX(Daten_Salden!$A:$ZZ,MATCH($B25&amp;"|Investitionen",Daten_Salden!$A$1:$A$331,0),$BK$2)="",NA(),INDEX(Daten_Salden!$A:$ZZ,MATCH($B25&amp;"|Investitionen",Daten_Salden!$A$1:$A$331,0),$BK$2)),NA()),"")</f>
        <v>-2</v>
      </c>
      <c r="T25" s="49">
        <f>IFERROR(R25-IFERROR(IF(INDEX(Daten_Salden!$A:$ZZ,MATCH($B25&amp;"|Investitionen",Daten_Salden!$A$1:$A$331,0),$BK$3)="",NA(),INDEX(Daten_Salden!$A:$ZZ,MATCH($B25&amp;"|Investitionen",Daten_Salden!$A$1:$A$331,0),$BK$3)),NA()),"")</f>
        <v>3</v>
      </c>
      <c r="U25" s="48">
        <f>IFERROR(IF(INDEX(Daten_Salden!$A:$ZZ,MATCH($B25&amp;"|Beschäftigung",Daten_Salden!$A$1:$A$331,0),$BK$1)="","",INDEX(Daten_Salden!$A:$ZZ,MATCH($B25&amp;"|Beschäftigung",Daten_Salden!$A$1:$A$331,0),$BK$1)),"")</f>
        <v>-8</v>
      </c>
      <c r="V25" s="49">
        <f>IFERROR(U25-IFERROR(IF(INDEX(Daten_Salden!$A:$ZZ,MATCH($B25&amp;"|Beschäftigung",Daten_Salden!$A$1:$A$331,0),$BK$2)="",NA(),INDEX(Daten_Salden!$A:$ZZ,MATCH($B25&amp;"|Beschäftigung",Daten_Salden!$A$1:$A$331,0),$BK$2)),NA()),"")</f>
        <v>5</v>
      </c>
      <c r="W25" s="49">
        <f>IFERROR(U25-IFERROR(IF(INDEX(Daten_Salden!$A:$ZZ,MATCH($B25&amp;"|Beschäftigung",Daten_Salden!$A$1:$A$331,0),$BK$3)="",NA(),INDEX(Daten_Salden!$A:$ZZ,MATCH($B25&amp;"|Beschäftigung",Daten_Salden!$A$1:$A$331,0),$BK$3)),NA()),"")</f>
        <v>7</v>
      </c>
      <c r="X25" s="50">
        <f>IFERROR(IF(INDEX(Daten_Risiken!$A:$ZZ,MATCH($B25&amp;"|Energie- und Rohstoffpreise",Daten_Risiken!$A$1:$A$529,0),$BK$4)="","",INDEX(Daten_Risiken!$A:$ZZ,MATCH($B25&amp;"|Energie- und Rohstoffpreise",Daten_Risiken!$A$1:$A$529,0),$BK$4)),"")</f>
        <v>65</v>
      </c>
      <c r="Y25" s="49">
        <f>IFERROR(X25-IFERROR(IF(INDEX(Daten_Risiken!$A:$ZZ,MATCH($B25&amp;"|Energie- und Rohstoffpreise",Daten_Risiken!$A$1:$A$529,0),$BK$5)="",NA(),INDEX(Daten_Risiken!$A:$ZZ,MATCH($B25&amp;"|Energie- und Rohstoffpreise",Daten_Risiken!$A$1:$A$529,0),$BK$5)),NA()),"")</f>
        <v>-5</v>
      </c>
      <c r="Z25" s="49">
        <f>IFERROR(X25-IFERROR(IF(INDEX(Daten_Risiken!$A:$ZZ,MATCH($B25&amp;"|Energie- und Rohstoffpreise",Daten_Risiken!$A$1:$A$529,0),$BK$6)="",NA(),INDEX(Daten_Risiken!$A:$ZZ,MATCH($B25&amp;"|Energie- und Rohstoffpreise",Daten_Risiken!$A$1:$A$529,0),$BK$6)),NA()),"")</f>
        <v>24</v>
      </c>
      <c r="AA25" s="50">
        <f>IFERROR(IF(INDEX(Daten_Risiken!$A:$ZZ,MATCH($B25&amp;"|Arbeitskosten",Daten_Risiken!$A$1:$A$529,0),$BK$4)="","",INDEX(Daten_Risiken!$A:$ZZ,MATCH($B25&amp;"|Arbeitskosten",Daten_Risiken!$A$1:$A$529,0),$BK$4)),"")</f>
        <v>59</v>
      </c>
      <c r="AB25" s="49">
        <f>IFERROR(AA25-IFERROR(IF(INDEX(Daten_Risiken!$A:$ZZ,MATCH($B25&amp;"|Arbeitskosten",Daten_Risiken!$A$1:$A$529,0),$BK$5)="",NA(),INDEX(Daten_Risiken!$A:$ZZ,MATCH($B25&amp;"|Arbeitskosten",Daten_Risiken!$A$1:$A$529,0),$BK$5)),NA()),"")</f>
        <v>1</v>
      </c>
      <c r="AC25" s="49">
        <f>IFERROR(AA25-IFERROR(IF(INDEX(Daten_Risiken!$A:$ZZ,MATCH($B25&amp;"|Arbeitskosten",Daten_Risiken!$A$1:$A$529,0),$BK$6)="",NA(),INDEX(Daten_Risiken!$A:$ZZ,MATCH($B25&amp;"|Arbeitskosten",Daten_Risiken!$A$1:$A$529,0),$BK$6)),NA()),"")</f>
        <v>0</v>
      </c>
      <c r="AD25" s="50">
        <f>IFERROR(IF(INDEX(Daten_Risiken!$A:$ZZ,MATCH($B25&amp;"|Inlandsnachfrage",Daten_Risiken!$A$1:$A$529,0),$BK$4)="","",INDEX(Daten_Risiken!$A:$ZZ,MATCH($B25&amp;"|Inlandsnachfrage",Daten_Risiken!$A$1:$A$529,0),$BK$4)),"")</f>
        <v>58</v>
      </c>
      <c r="AE25" s="49">
        <f>IFERROR(AD25-IFERROR(IF(INDEX(Daten_Risiken!$A:$ZZ,MATCH($B25&amp;"|Inlandsnachfrage",Daten_Risiken!$A$1:$A$529,0),$BK$5)="",NA(),INDEX(Daten_Risiken!$A:$ZZ,MATCH($B25&amp;"|Inlandsnachfrage",Daten_Risiken!$A$1:$A$529,0),$BK$5)),NA()),"")</f>
        <v>-4</v>
      </c>
      <c r="AF25" s="49">
        <f>IFERROR(AD25-IFERROR(IF(INDEX(Daten_Risiken!$A:$ZZ,MATCH($B25&amp;"|Inlandsnachfrage",Daten_Risiken!$A$1:$A$529,0),$BK$6)="",NA(),INDEX(Daten_Risiken!$A:$ZZ,MATCH($B25&amp;"|Inlandsnachfrage",Daten_Risiken!$A$1:$A$529,0),$BK$6)),NA()),"")</f>
        <v>-11</v>
      </c>
      <c r="AG25" s="50">
        <f>IFERROR(IF(INDEX(Daten_Risiken!$A:$ZZ,MATCH($B25&amp;"|Wirtschaftspolitische Rahmenbedingungen",Daten_Risiken!$A$1:$A$529,0),$BK$4)="","",INDEX(Daten_Risiken!$A:$ZZ,MATCH($B25&amp;"|Wirtschaftspolitische Rahmenbedingungen",Daten_Risiken!$A$1:$A$529,0),$BK$4)),"")</f>
        <v>57</v>
      </c>
      <c r="AH25" s="49">
        <f>IFERROR(AG25-IFERROR(IF(INDEX(Daten_Risiken!$A:$ZZ,MATCH($B25&amp;"|Wirtschaftspolitische Rahmenbedingungen",Daten_Risiken!$A$1:$A$529,0),$BK$5)="",NA(),INDEX(Daten_Risiken!$A:$ZZ,MATCH($B25&amp;"|Wirtschaftspolitische Rahmenbedingungen",Daten_Risiken!$A$1:$A$529,0),$BK$5)),NA()),"")</f>
        <v>-2</v>
      </c>
      <c r="AI25" s="49">
        <f>IFERROR(AG25-IFERROR(IF(INDEX(Daten_Risiken!$A:$ZZ,MATCH($B25&amp;"|Wirtschaftspolitische Rahmenbedingungen",Daten_Risiken!$A$1:$A$529,0),$BK$6)="",NA(),INDEX(Daten_Risiken!$A:$ZZ,MATCH($B25&amp;"|Wirtschaftspolitische Rahmenbedingungen",Daten_Risiken!$A$1:$A$529,0),$BK$6)),NA()),"")</f>
        <v>-4</v>
      </c>
      <c r="AJ25" s="50">
        <f>IFERROR(IF(INDEX(Daten_Risiken!$A:$ZZ,MATCH($B25&amp;"|Fachkräftemangel",Daten_Risiken!$A$1:$A$529,0),$BK$4)="","",INDEX(Daten_Risiken!$A:$ZZ,MATCH($B25&amp;"|Fachkräftemangel",Daten_Risiken!$A$1:$A$529,0),$BK$4)),"")</f>
        <v>32</v>
      </c>
      <c r="AK25" s="49">
        <f>IFERROR(AJ25-IFERROR(IF(INDEX(Daten_Risiken!$A:$ZZ,MATCH($B25&amp;"|Fachkräftemangel",Daten_Risiken!$A$1:$A$529,0),$BK$5)="",NA(),INDEX(Daten_Risiken!$A:$ZZ,MATCH($B25&amp;"|Fachkräftemangel",Daten_Risiken!$A$1:$A$529,0),$BK$5)),NA()),"")</f>
        <v>2</v>
      </c>
      <c r="AL25" s="49">
        <f>IFERROR(AJ25-IFERROR(IF(INDEX(Daten_Risiken!$A:$ZZ,MATCH($B25&amp;"|Fachkräftemangel",Daten_Risiken!$A$1:$A$529,0),$BK$6)="",NA(),INDEX(Daten_Risiken!$A:$ZZ,MATCH($B25&amp;"|Fachkräftemangel",Daten_Risiken!$A$1:$A$529,0),$BK$6)),NA()),"")</f>
        <v>-5</v>
      </c>
      <c r="AM25" s="50">
        <f>IFERROR(IF(INDEX(Daten_Risiken!$A:$ZZ,MATCH($B25&amp;"|Auslandsnachfrage",Daten_Risiken!$A$1:$A$529,0),$BK$4)="","",INDEX(Daten_Risiken!$A:$ZZ,MATCH($B25&amp;"|Auslandsnachfrage",Daten_Risiken!$A$1:$A$529,0),$BK$4)),"")</f>
        <v>37</v>
      </c>
      <c r="AN25" s="49">
        <f>IFERROR(AM25-IFERROR(IF(INDEX(Daten_Risiken!$A:$ZZ,MATCH($B25&amp;"|Auslandsnachfrage",Daten_Risiken!$A$1:$A$529,0),$BK$5)="",NA(),INDEX(Daten_Risiken!$A:$ZZ,MATCH($B25&amp;"|Auslandsnachfrage",Daten_Risiken!$A$1:$A$529,0),$BK$5)),NA()),"")</f>
        <v>-6</v>
      </c>
      <c r="AO25" s="49">
        <f>IFERROR(AM25-IFERROR(IF(INDEX(Daten_Risiken!$A:$ZZ,MATCH($B25&amp;"|Auslandsnachfrage",Daten_Risiken!$A$1:$A$529,0),$BK$6)="",NA(),INDEX(Daten_Risiken!$A:$ZZ,MATCH($B25&amp;"|Auslandsnachfrage",Daten_Risiken!$A$1:$A$529,0),$BK$6)),NA()),"")</f>
        <v>-11</v>
      </c>
      <c r="AP25" s="50">
        <f>IFERROR(IF(INDEX(Daten_Risiken!$A:$ZZ,MATCH($B25&amp;"|Finanzierung",Daten_Risiken!$A$1:$A$529,0),$BK$4)="","",INDEX(Daten_Risiken!$A:$ZZ,MATCH($B25&amp;"|Finanzierung",Daten_Risiken!$A$1:$A$529,0),$BK$4)),"")</f>
        <v>8</v>
      </c>
      <c r="AQ25" s="49">
        <f>IFERROR(AP25-IFERROR(IF(INDEX(Daten_Risiken!$A:$ZZ,MATCH($B25&amp;"|Finanzierung",Daten_Risiken!$A$1:$A$529,0),$BK$5)="",NA(),INDEX(Daten_Risiken!$A:$ZZ,MATCH($B25&amp;"|Finanzierung",Daten_Risiken!$A$1:$A$529,0),$BK$5)),NA()),"")</f>
        <v>-1</v>
      </c>
      <c r="AR25" s="49">
        <f>IFERROR(AP25-IFERROR(IF(INDEX(Daten_Risiken!$A:$ZZ,MATCH($B25&amp;"|Finanzierung",Daten_Risiken!$A$1:$A$529,0),$BK$6)="",NA(),INDEX(Daten_Risiken!$A:$ZZ,MATCH($B25&amp;"|Finanzierung",Daten_Risiken!$A$1:$A$529,0),$BK$6)),NA()),"")</f>
        <v>0</v>
      </c>
      <c r="AS25" s="50">
        <f>IFERROR(IF(INDEX(Daten_Risiken!$A:$ZZ,MATCH($B25&amp;"|Wechselkurs",Daten_Risiken!$A$1:$A$529,0),$BK$4)="","",INDEX(Daten_Risiken!$A:$ZZ,MATCH($B25&amp;"|Wechselkurs",Daten_Risiken!$A$1:$A$529,0),$BK$4)),"")</f>
        <v>7</v>
      </c>
      <c r="AT25" s="49">
        <f>IFERROR(AS25-IFERROR(IF(INDEX(Daten_Risiken!$A:$ZZ,MATCH($B25&amp;"|Wechselkurs",Daten_Risiken!$A$1:$A$529,0),$BK$5)="",NA(),INDEX(Daten_Risiken!$A:$ZZ,MATCH($B25&amp;"|Wechselkurs",Daten_Risiken!$A$1:$A$529,0),$BK$5)),NA()),"")</f>
        <v>-2</v>
      </c>
      <c r="AU25" s="49">
        <f>IFERROR(AS25-IFERROR(IF(INDEX(Daten_Risiken!$A:$ZZ,MATCH($B25&amp;"|Wechselkurs",Daten_Risiken!$A$1:$A$529,0),$BK$6)="",NA(),INDEX(Daten_Risiken!$A:$ZZ,MATCH($B25&amp;"|Wechselkurs",Daten_Risiken!$A$1:$A$529,0),$BK$6)),NA()),"")</f>
        <v>-3</v>
      </c>
      <c r="AV25" s="50">
        <f>IFERROR(IF(INDEX(Daten_Motive!$A:$ZZ,MATCH($B25&amp;"|Ersatzbedarf",Daten_Motive!$A$1:$A$331,0),$BK$7)="","",INDEX(Daten_Motive!$A:$ZZ,MATCH($B25&amp;"|Ersatzbedarf",Daten_Motive!$A$1:$A$331,0),$BK$7)),"")</f>
        <v>56</v>
      </c>
      <c r="AW25" s="49">
        <f>IFERROR(AV25-IFERROR(IF(INDEX(Daten_Motive!$A:$ZZ,MATCH($B25&amp;"|Ersatzbedarf",Daten_Motive!$A$1:$A$331,0),$BK$8)="",NA(),INDEX(Daten_Motive!$A:$ZZ,MATCH($B25&amp;"|Ersatzbedarf",Daten_Motive!$A$1:$A$331,0),$BK$8)),NA()),"")</f>
        <v>0</v>
      </c>
      <c r="AX25" s="49">
        <f>IFERROR(AV25-IFERROR(IF(INDEX(Daten_Motive!$A:$ZZ,MATCH($B25&amp;"|Ersatzbedarf",Daten_Motive!$A$1:$A$331,0),$BK$9)="",NA(),INDEX(Daten_Motive!$A:$ZZ,MATCH($B25&amp;"|Ersatzbedarf",Daten_Motive!$A$1:$A$331,0),$BK$9)),NA()),"")</f>
        <v>0</v>
      </c>
      <c r="AY25" s="50">
        <f>IFERROR(IF(INDEX(Daten_Motive!$A:$ZZ,MATCH($B25&amp;"|Rationalisierung",Daten_Motive!$A$1:$A$331,0),$BK$7)="","",INDEX(Daten_Motive!$A:$ZZ,MATCH($B25&amp;"|Rationalisierung",Daten_Motive!$A$1:$A$331,0),$BK$7)),"")</f>
        <v>44</v>
      </c>
      <c r="AZ25" s="49">
        <f>IFERROR(AY25-IFERROR(IF(INDEX(Daten_Motive!$A:$ZZ,MATCH($B25&amp;"|Rationalisierung",Daten_Motive!$A$1:$A$331,0),$BK$8)="",NA(),INDEX(Daten_Motive!$A:$ZZ,MATCH($B25&amp;"|Rationalisierung",Daten_Motive!$A$1:$A$331,0),$BK$8)),NA()),"")</f>
        <v>-3</v>
      </c>
      <c r="BA25" s="49">
        <f>IFERROR(AY25-IFERROR(IF(INDEX(Daten_Motive!$A:$ZZ,MATCH($B25&amp;"|Rationalisierung",Daten_Motive!$A$1:$A$331,0),$BK$9)="",NA(),INDEX(Daten_Motive!$A:$ZZ,MATCH($B25&amp;"|Rationalisierung",Daten_Motive!$A$1:$A$331,0),$BK$9)),NA()),"")</f>
        <v>0</v>
      </c>
      <c r="BB25" s="50">
        <f>IFERROR(IF(INDEX(Daten_Motive!$A:$ZZ,MATCH($B25&amp;"|Produktinnovation",Daten_Motive!$A$1:$A$331,0),$BK$7)="","",INDEX(Daten_Motive!$A:$ZZ,MATCH($B25&amp;"|Produktinnovation",Daten_Motive!$A$1:$A$331,0),$BK$7)),"")</f>
        <v>47</v>
      </c>
      <c r="BC25" s="49">
        <f>IFERROR(BB25-IFERROR(IF(INDEX(Daten_Motive!$A:$ZZ,MATCH($B25&amp;"|Produktinnovation",Daten_Motive!$A$1:$A$331,0),$BK$8)="",NA(),INDEX(Daten_Motive!$A:$ZZ,MATCH($B25&amp;"|Produktinnovation",Daten_Motive!$A$1:$A$331,0),$BK$8)),NA()),"")</f>
        <v>-2</v>
      </c>
      <c r="BD25" s="49">
        <f>IFERROR(BB25-IFERROR(IF(INDEX(Daten_Motive!$A:$ZZ,MATCH($B25&amp;"|Produktinnovation",Daten_Motive!$A$1:$A$331,0),$BK$9)="",NA(),INDEX(Daten_Motive!$A:$ZZ,MATCH($B25&amp;"|Produktinnovation",Daten_Motive!$A$1:$A$331,0),$BK$9)),NA()),"")</f>
        <v>0</v>
      </c>
      <c r="BE25" s="50">
        <f>IFERROR(IF(INDEX(Daten_Motive!$A:$ZZ,MATCH($B25&amp;"|Umweltschutz",Daten_Motive!$A$1:$A$331,0),$BK$7)="","",INDEX(Daten_Motive!$A:$ZZ,MATCH($B25&amp;"|Umweltschutz",Daten_Motive!$A$1:$A$331,0),$BK$7)),"")</f>
        <v>18</v>
      </c>
      <c r="BF25" s="49">
        <f>IFERROR(BE25-IFERROR(IF(INDEX(Daten_Motive!$A:$ZZ,MATCH($B25&amp;"|Umweltschutz",Daten_Motive!$A$1:$A$331,0),$BK$8)="",NA(),INDEX(Daten_Motive!$A:$ZZ,MATCH($B25&amp;"|Umweltschutz",Daten_Motive!$A$1:$A$331,0),$BK$8)),NA()),"")</f>
        <v>2</v>
      </c>
      <c r="BG25" s="49">
        <f>IFERROR(BE25-IFERROR(IF(INDEX(Daten_Motive!$A:$ZZ,MATCH($B25&amp;"|Umweltschutz",Daten_Motive!$A$1:$A$331,0),$BK$9)="",NA(),INDEX(Daten_Motive!$A:$ZZ,MATCH($B25&amp;"|Umweltschutz",Daten_Motive!$A$1:$A$331,0),$BK$9)),NA()),"")</f>
        <v>-1</v>
      </c>
      <c r="BH25" s="50">
        <f>IFERROR(IF(INDEX(Daten_Motive!$A:$ZZ,MATCH($B25&amp;"|Kapazitätserweiterung",Daten_Motive!$A$1:$A$331,0),$BK$7)="","",INDEX(Daten_Motive!$A:$ZZ,MATCH($B25&amp;"|Kapazitätserweiterung",Daten_Motive!$A$1:$A$331,0),$BK$7)),"")</f>
        <v>27</v>
      </c>
      <c r="BI25" s="49">
        <f>IFERROR(BH25-IFERROR(IF(INDEX(Daten_Motive!$A:$ZZ,MATCH($B25&amp;"|Kapazitätserweiterung",Daten_Motive!$A$1:$A$331,0),$BK$8)="",NA(),INDEX(Daten_Motive!$A:$ZZ,MATCH($B25&amp;"|Kapazitätserweiterung",Daten_Motive!$A$1:$A$331,0),$BK$8)),NA()),"")</f>
        <v>1</v>
      </c>
      <c r="BJ25" s="49">
        <f>IFERROR(BH25-IFERROR(IF(INDEX(Daten_Motive!$A:$ZZ,MATCH($B25&amp;"|Kapazitätserweiterung",Daten_Motive!$A$1:$A$331,0),$BK$9)="",NA(),INDEX(Daten_Motive!$A:$ZZ,MATCH($B25&amp;"|Kapazitätserweiterung",Daten_Motive!$A$1:$A$331,0),$BK$9)),NA()),"")</f>
        <v>5</v>
      </c>
    </row>
    <row r="26" spans="1:62" x14ac:dyDescent="0.25">
      <c r="A26" s="42">
        <v>18</v>
      </c>
      <c r="B26" s="52" t="str">
        <f>Listen!A19</f>
        <v>Datenverarbeitungsgeräte, elektrische und optische Erzeugnisse</v>
      </c>
      <c r="C26" s="44" t="s">
        <v>4512</v>
      </c>
      <c r="D26" s="44" t="str">
        <f>Listen!B19</f>
        <v>Industrie</v>
      </c>
      <c r="E26" s="45">
        <f>IFERROR(IF(INDEX(Daten_Anteile!$A:$ZZ,MATCH($B26&amp;"|Lage|"&amp;$C$3,Daten_Anteile!$A$1:$A$2971,0),5)="","",INDEX(Daten_Anteile!$A:$ZZ,MATCH($B26&amp;"|Lage|"&amp;$C$3,Daten_Anteile!$A$1:$A$2971,0),5)),"")</f>
        <v>431</v>
      </c>
      <c r="F26" s="46">
        <f t="shared" si="0"/>
        <v>115.5</v>
      </c>
      <c r="G26" s="47">
        <f t="shared" si="1"/>
        <v>9.5</v>
      </c>
      <c r="H26" s="47">
        <f t="shared" si="2"/>
        <v>15.6</v>
      </c>
      <c r="I26" s="48">
        <f>IFERROR(IF(INDEX(Daten_Salden!$A:$ZZ,MATCH($B26&amp;"|Lage",Daten_Salden!$A$1:$A$331,0),$BK$1)="","",INDEX(Daten_Salden!$A:$ZZ,MATCH($B26&amp;"|Lage",Daten_Salden!$A$1:$A$331,0),$BK$1)),"")</f>
        <v>17</v>
      </c>
      <c r="J26" s="49">
        <f>IFERROR(I26-IFERROR(IF(INDEX(Daten_Salden!$A:$ZZ,MATCH($B26&amp;"|Lage",Daten_Salden!$A$1:$A$331,0),$BK$2)="",NA(),INDEX(Daten_Salden!$A:$ZZ,MATCH($B26&amp;"|Lage",Daten_Salden!$A$1:$A$331,0),$BK$2)),NA()),"")</f>
        <v>9</v>
      </c>
      <c r="K26" s="49">
        <f>IFERROR(I26-IFERROR(IF(INDEX(Daten_Salden!$A:$ZZ,MATCH($B26&amp;"|Lage",Daten_Salden!$A$1:$A$331,0),$BK$3)="",NA(),INDEX(Daten_Salden!$A:$ZZ,MATCH($B26&amp;"|Lage",Daten_Salden!$A$1:$A$331,0),$BK$3)),NA()),"")</f>
        <v>22</v>
      </c>
      <c r="L26" s="48">
        <f>IFERROR(IF(INDEX(Daten_Salden!$A:$ZZ,MATCH($B26&amp;"|Erwartungen",Daten_Salden!$A$1:$A$331,0),$BK$1)="","",INDEX(Daten_Salden!$A:$ZZ,MATCH($B26&amp;"|Erwartungen",Daten_Salden!$A$1:$A$331,0),$BK$1)),"")</f>
        <v>14</v>
      </c>
      <c r="M26" s="49">
        <f>IFERROR(L26-IFERROR(IF(INDEX(Daten_Salden!$A:$ZZ,MATCH($B26&amp;"|Erwartungen",Daten_Salden!$A$1:$A$331,0),$BK$2)="",NA(),INDEX(Daten_Salden!$A:$ZZ,MATCH($B26&amp;"|Erwartungen",Daten_Salden!$A$1:$A$331,0),$BK$2)),NA()),"")</f>
        <v>10</v>
      </c>
      <c r="N26" s="49">
        <f>IFERROR(L26-IFERROR(IF(INDEX(Daten_Salden!$A:$ZZ,MATCH($B26&amp;"|Erwartungen",Daten_Salden!$A$1:$A$331,0),$BK$3)="",NA(),INDEX(Daten_Salden!$A:$ZZ,MATCH($B26&amp;"|Erwartungen",Daten_Salden!$A$1:$A$331,0),$BK$3)),NA()),"")</f>
        <v>9</v>
      </c>
      <c r="O26" s="48">
        <f>IFERROR(IF(INDEX(Daten_Salden!$A:$ZZ,MATCH($B26&amp;"|Export",Daten_Salden!$A$1:$A$331,0),$BK$1)="","",INDEX(Daten_Salden!$A:$ZZ,MATCH($B26&amp;"|Export",Daten_Salden!$A$1:$A$331,0),$BK$1)),"")</f>
        <v>21</v>
      </c>
      <c r="P26" s="49">
        <f>IFERROR(O26-IFERROR(IF(INDEX(Daten_Salden!$A:$ZZ,MATCH($B26&amp;"|Export",Daten_Salden!$A$1:$A$331,0),$BK$2)="",NA(),INDEX(Daten_Salden!$A:$ZZ,MATCH($B26&amp;"|Export",Daten_Salden!$A$1:$A$331,0),$BK$2)),NA()),"")</f>
        <v>11</v>
      </c>
      <c r="Q26" s="49">
        <f>IFERROR(O26-IFERROR(IF(INDEX(Daten_Salden!$A:$ZZ,MATCH($B26&amp;"|Export",Daten_Salden!$A$1:$A$331,0),$BK$3)="",NA(),INDEX(Daten_Salden!$A:$ZZ,MATCH($B26&amp;"|Export",Daten_Salden!$A$1:$A$331,0),$BK$3)),NA()),"")</f>
        <v>17</v>
      </c>
      <c r="R26" s="48">
        <f>IFERROR(IF(INDEX(Daten_Salden!$A:$ZZ,MATCH($B26&amp;"|Investitionen",Daten_Salden!$A$1:$A$331,0),$BK$1)="","",INDEX(Daten_Salden!$A:$ZZ,MATCH($B26&amp;"|Investitionen",Daten_Salden!$A$1:$A$331,0),$BK$1)),"")</f>
        <v>-7</v>
      </c>
      <c r="S26" s="49">
        <f>IFERROR(R26-IFERROR(IF(INDEX(Daten_Salden!$A:$ZZ,MATCH($B26&amp;"|Investitionen",Daten_Salden!$A$1:$A$331,0),$BK$2)="",NA(),INDEX(Daten_Salden!$A:$ZZ,MATCH($B26&amp;"|Investitionen",Daten_Salden!$A$1:$A$331,0),$BK$2)),NA()),"")</f>
        <v>-6</v>
      </c>
      <c r="T26" s="49">
        <f>IFERROR(R26-IFERROR(IF(INDEX(Daten_Salden!$A:$ZZ,MATCH($B26&amp;"|Investitionen",Daten_Salden!$A$1:$A$331,0),$BK$3)="",NA(),INDEX(Daten_Salden!$A:$ZZ,MATCH($B26&amp;"|Investitionen",Daten_Salden!$A$1:$A$331,0),$BK$3)),NA()),"")</f>
        <v>-1</v>
      </c>
      <c r="U26" s="48">
        <f>IFERROR(IF(INDEX(Daten_Salden!$A:$ZZ,MATCH($B26&amp;"|Beschäftigung",Daten_Salden!$A$1:$A$331,0),$BK$1)="","",INDEX(Daten_Salden!$A:$ZZ,MATCH($B26&amp;"|Beschäftigung",Daten_Salden!$A$1:$A$331,0),$BK$1)),"")</f>
        <v>-7</v>
      </c>
      <c r="V26" s="49">
        <f>IFERROR(U26-IFERROR(IF(INDEX(Daten_Salden!$A:$ZZ,MATCH($B26&amp;"|Beschäftigung",Daten_Salden!$A$1:$A$331,0),$BK$2)="",NA(),INDEX(Daten_Salden!$A:$ZZ,MATCH($B26&amp;"|Beschäftigung",Daten_Salden!$A$1:$A$331,0),$BK$2)),NA()),"")</f>
        <v>2</v>
      </c>
      <c r="W26" s="49">
        <f>IFERROR(U26-IFERROR(IF(INDEX(Daten_Salden!$A:$ZZ,MATCH($B26&amp;"|Beschäftigung",Daten_Salden!$A$1:$A$331,0),$BK$3)="",NA(),INDEX(Daten_Salden!$A:$ZZ,MATCH($B26&amp;"|Beschäftigung",Daten_Salden!$A$1:$A$331,0),$BK$3)),NA()),"")</f>
        <v>7</v>
      </c>
      <c r="X26" s="50">
        <f>IFERROR(IF(INDEX(Daten_Risiken!$A:$ZZ,MATCH($B26&amp;"|Energie- und Rohstoffpreise",Daten_Risiken!$A$1:$A$529,0),$BK$4)="","",INDEX(Daten_Risiken!$A:$ZZ,MATCH($B26&amp;"|Energie- und Rohstoffpreise",Daten_Risiken!$A$1:$A$529,0),$BK$4)),"")</f>
        <v>61</v>
      </c>
      <c r="Y26" s="49">
        <f>IFERROR(X26-IFERROR(IF(INDEX(Daten_Risiken!$A:$ZZ,MATCH($B26&amp;"|Energie- und Rohstoffpreise",Daten_Risiken!$A$1:$A$529,0),$BK$5)="",NA(),INDEX(Daten_Risiken!$A:$ZZ,MATCH($B26&amp;"|Energie- und Rohstoffpreise",Daten_Risiken!$A$1:$A$529,0),$BK$5)),NA()),"")</f>
        <v>-8</v>
      </c>
      <c r="Z26" s="49">
        <f>IFERROR(X26-IFERROR(IF(INDEX(Daten_Risiken!$A:$ZZ,MATCH($B26&amp;"|Energie- und Rohstoffpreise",Daten_Risiken!$A$1:$A$529,0),$BK$6)="",NA(),INDEX(Daten_Risiken!$A:$ZZ,MATCH($B26&amp;"|Energie- und Rohstoffpreise",Daten_Risiken!$A$1:$A$529,0),$BK$6)),NA()),"")</f>
        <v>22</v>
      </c>
      <c r="AA26" s="50">
        <f>IFERROR(IF(INDEX(Daten_Risiken!$A:$ZZ,MATCH($B26&amp;"|Arbeitskosten",Daten_Risiken!$A$1:$A$529,0),$BK$4)="","",INDEX(Daten_Risiken!$A:$ZZ,MATCH($B26&amp;"|Arbeitskosten",Daten_Risiken!$A$1:$A$529,0),$BK$4)),"")</f>
        <v>54</v>
      </c>
      <c r="AB26" s="49">
        <f>IFERROR(AA26-IFERROR(IF(INDEX(Daten_Risiken!$A:$ZZ,MATCH($B26&amp;"|Arbeitskosten",Daten_Risiken!$A$1:$A$529,0),$BK$5)="",NA(),INDEX(Daten_Risiken!$A:$ZZ,MATCH($B26&amp;"|Arbeitskosten",Daten_Risiken!$A$1:$A$529,0),$BK$5)),NA()),"")</f>
        <v>0</v>
      </c>
      <c r="AC26" s="49">
        <f>IFERROR(AA26-IFERROR(IF(INDEX(Daten_Risiken!$A:$ZZ,MATCH($B26&amp;"|Arbeitskosten",Daten_Risiken!$A$1:$A$529,0),$BK$6)="",NA(),INDEX(Daten_Risiken!$A:$ZZ,MATCH($B26&amp;"|Arbeitskosten",Daten_Risiken!$A$1:$A$529,0),$BK$6)),NA()),"")</f>
        <v>-2</v>
      </c>
      <c r="AD26" s="50">
        <f>IFERROR(IF(INDEX(Daten_Risiken!$A:$ZZ,MATCH($B26&amp;"|Inlandsnachfrage",Daten_Risiken!$A$1:$A$529,0),$BK$4)="","",INDEX(Daten_Risiken!$A:$ZZ,MATCH($B26&amp;"|Inlandsnachfrage",Daten_Risiken!$A$1:$A$529,0),$BK$4)),"")</f>
        <v>57</v>
      </c>
      <c r="AE26" s="49">
        <f>IFERROR(AD26-IFERROR(IF(INDEX(Daten_Risiken!$A:$ZZ,MATCH($B26&amp;"|Inlandsnachfrage",Daten_Risiken!$A$1:$A$529,0),$BK$5)="",NA(),INDEX(Daten_Risiken!$A:$ZZ,MATCH($B26&amp;"|Inlandsnachfrage",Daten_Risiken!$A$1:$A$529,0),$BK$5)),NA()),"")</f>
        <v>-4</v>
      </c>
      <c r="AF26" s="49">
        <f>IFERROR(AD26-IFERROR(IF(INDEX(Daten_Risiken!$A:$ZZ,MATCH($B26&amp;"|Inlandsnachfrage",Daten_Risiken!$A$1:$A$529,0),$BK$6)="",NA(),INDEX(Daten_Risiken!$A:$ZZ,MATCH($B26&amp;"|Inlandsnachfrage",Daten_Risiken!$A$1:$A$529,0),$BK$6)),NA()),"")</f>
        <v>-12</v>
      </c>
      <c r="AG26" s="50">
        <f>IFERROR(IF(INDEX(Daten_Risiken!$A:$ZZ,MATCH($B26&amp;"|Wirtschaftspolitische Rahmenbedingungen",Daten_Risiken!$A$1:$A$529,0),$BK$4)="","",INDEX(Daten_Risiken!$A:$ZZ,MATCH($B26&amp;"|Wirtschaftspolitische Rahmenbedingungen",Daten_Risiken!$A$1:$A$529,0),$BK$4)),"")</f>
        <v>56</v>
      </c>
      <c r="AH26" s="49">
        <f>IFERROR(AG26-IFERROR(IF(INDEX(Daten_Risiken!$A:$ZZ,MATCH($B26&amp;"|Wirtschaftspolitische Rahmenbedingungen",Daten_Risiken!$A$1:$A$529,0),$BK$5)="",NA(),INDEX(Daten_Risiken!$A:$ZZ,MATCH($B26&amp;"|Wirtschaftspolitische Rahmenbedingungen",Daten_Risiken!$A$1:$A$529,0),$BK$5)),NA()),"")</f>
        <v>-2</v>
      </c>
      <c r="AI26" s="49">
        <f>IFERROR(AG26-IFERROR(IF(INDEX(Daten_Risiken!$A:$ZZ,MATCH($B26&amp;"|Wirtschaftspolitische Rahmenbedingungen",Daten_Risiken!$A$1:$A$529,0),$BK$6)="",NA(),INDEX(Daten_Risiken!$A:$ZZ,MATCH($B26&amp;"|Wirtschaftspolitische Rahmenbedingungen",Daten_Risiken!$A$1:$A$529,0),$BK$6)),NA()),"")</f>
        <v>-5</v>
      </c>
      <c r="AJ26" s="50">
        <f>IFERROR(IF(INDEX(Daten_Risiken!$A:$ZZ,MATCH($B26&amp;"|Fachkräftemangel",Daten_Risiken!$A$1:$A$529,0),$BK$4)="","",INDEX(Daten_Risiken!$A:$ZZ,MATCH($B26&amp;"|Fachkräftemangel",Daten_Risiken!$A$1:$A$529,0),$BK$4)),"")</f>
        <v>30</v>
      </c>
      <c r="AK26" s="49">
        <f>IFERROR(AJ26-IFERROR(IF(INDEX(Daten_Risiken!$A:$ZZ,MATCH($B26&amp;"|Fachkräftemangel",Daten_Risiken!$A$1:$A$529,0),$BK$5)="",NA(),INDEX(Daten_Risiken!$A:$ZZ,MATCH($B26&amp;"|Fachkräftemangel",Daten_Risiken!$A$1:$A$529,0),$BK$5)),NA()),"")</f>
        <v>1</v>
      </c>
      <c r="AL26" s="49">
        <f>IFERROR(AJ26-IFERROR(IF(INDEX(Daten_Risiken!$A:$ZZ,MATCH($B26&amp;"|Fachkräftemangel",Daten_Risiken!$A$1:$A$529,0),$BK$6)="",NA(),INDEX(Daten_Risiken!$A:$ZZ,MATCH($B26&amp;"|Fachkräftemangel",Daten_Risiken!$A$1:$A$529,0),$BK$6)),NA()),"")</f>
        <v>-6</v>
      </c>
      <c r="AM26" s="50">
        <f>IFERROR(IF(INDEX(Daten_Risiken!$A:$ZZ,MATCH($B26&amp;"|Auslandsnachfrage",Daten_Risiken!$A$1:$A$529,0),$BK$4)="","",INDEX(Daten_Risiken!$A:$ZZ,MATCH($B26&amp;"|Auslandsnachfrage",Daten_Risiken!$A$1:$A$529,0),$BK$4)),"")</f>
        <v>38</v>
      </c>
      <c r="AN26" s="49">
        <f>IFERROR(AM26-IFERROR(IF(INDEX(Daten_Risiken!$A:$ZZ,MATCH($B26&amp;"|Auslandsnachfrage",Daten_Risiken!$A$1:$A$529,0),$BK$5)="",NA(),INDEX(Daten_Risiken!$A:$ZZ,MATCH($B26&amp;"|Auslandsnachfrage",Daten_Risiken!$A$1:$A$529,0),$BK$5)),NA()),"")</f>
        <v>-6</v>
      </c>
      <c r="AO26" s="49">
        <f>IFERROR(AM26-IFERROR(IF(INDEX(Daten_Risiken!$A:$ZZ,MATCH($B26&amp;"|Auslandsnachfrage",Daten_Risiken!$A$1:$A$529,0),$BK$6)="",NA(),INDEX(Daten_Risiken!$A:$ZZ,MATCH($B26&amp;"|Auslandsnachfrage",Daten_Risiken!$A$1:$A$529,0),$BK$6)),NA()),"")</f>
        <v>-11</v>
      </c>
      <c r="AP26" s="50">
        <f>IFERROR(IF(INDEX(Daten_Risiken!$A:$ZZ,MATCH($B26&amp;"|Finanzierung",Daten_Risiken!$A$1:$A$529,0),$BK$4)="","",INDEX(Daten_Risiken!$A:$ZZ,MATCH($B26&amp;"|Finanzierung",Daten_Risiken!$A$1:$A$529,0),$BK$4)),"")</f>
        <v>7</v>
      </c>
      <c r="AQ26" s="49">
        <f>IFERROR(AP26-IFERROR(IF(INDEX(Daten_Risiken!$A:$ZZ,MATCH($B26&amp;"|Finanzierung",Daten_Risiken!$A$1:$A$529,0),$BK$5)="",NA(),INDEX(Daten_Risiken!$A:$ZZ,MATCH($B26&amp;"|Finanzierung",Daten_Risiken!$A$1:$A$529,0),$BK$5)),NA()),"")</f>
        <v>-2</v>
      </c>
      <c r="AR26" s="49">
        <f>IFERROR(AP26-IFERROR(IF(INDEX(Daten_Risiken!$A:$ZZ,MATCH($B26&amp;"|Finanzierung",Daten_Risiken!$A$1:$A$529,0),$BK$6)="",NA(),INDEX(Daten_Risiken!$A:$ZZ,MATCH($B26&amp;"|Finanzierung",Daten_Risiken!$A$1:$A$529,0),$BK$6)),NA()),"")</f>
        <v>0</v>
      </c>
      <c r="AS26" s="50">
        <f>IFERROR(IF(INDEX(Daten_Risiken!$A:$ZZ,MATCH($B26&amp;"|Wechselkurs",Daten_Risiken!$A$1:$A$529,0),$BK$4)="","",INDEX(Daten_Risiken!$A:$ZZ,MATCH($B26&amp;"|Wechselkurs",Daten_Risiken!$A$1:$A$529,0),$BK$4)),"")</f>
        <v>9</v>
      </c>
      <c r="AT26" s="49">
        <f>IFERROR(AS26-IFERROR(IF(INDEX(Daten_Risiken!$A:$ZZ,MATCH($B26&amp;"|Wechselkurs",Daten_Risiken!$A$1:$A$529,0),$BK$5)="",NA(),INDEX(Daten_Risiken!$A:$ZZ,MATCH($B26&amp;"|Wechselkurs",Daten_Risiken!$A$1:$A$529,0),$BK$5)),NA()),"")</f>
        <v>-1</v>
      </c>
      <c r="AU26" s="49">
        <f>IFERROR(AS26-IFERROR(IF(INDEX(Daten_Risiken!$A:$ZZ,MATCH($B26&amp;"|Wechselkurs",Daten_Risiken!$A$1:$A$529,0),$BK$6)="",NA(),INDEX(Daten_Risiken!$A:$ZZ,MATCH($B26&amp;"|Wechselkurs",Daten_Risiken!$A$1:$A$529,0),$BK$6)),NA()),"")</f>
        <v>-3</v>
      </c>
      <c r="AV26" s="50">
        <f>IFERROR(IF(INDEX(Daten_Motive!$A:$ZZ,MATCH($B26&amp;"|Ersatzbedarf",Daten_Motive!$A$1:$A$331,0),$BK$7)="","",INDEX(Daten_Motive!$A:$ZZ,MATCH($B26&amp;"|Ersatzbedarf",Daten_Motive!$A$1:$A$331,0),$BK$7)),"")</f>
        <v>54</v>
      </c>
      <c r="AW26" s="49">
        <f>IFERROR(AV26-IFERROR(IF(INDEX(Daten_Motive!$A:$ZZ,MATCH($B26&amp;"|Ersatzbedarf",Daten_Motive!$A$1:$A$331,0),$BK$8)="",NA(),INDEX(Daten_Motive!$A:$ZZ,MATCH($B26&amp;"|Ersatzbedarf",Daten_Motive!$A$1:$A$331,0),$BK$8)),NA()),"")</f>
        <v>-1</v>
      </c>
      <c r="AX26" s="49">
        <f>IFERROR(AV26-IFERROR(IF(INDEX(Daten_Motive!$A:$ZZ,MATCH($B26&amp;"|Ersatzbedarf",Daten_Motive!$A$1:$A$331,0),$BK$9)="",NA(),INDEX(Daten_Motive!$A:$ZZ,MATCH($B26&amp;"|Ersatzbedarf",Daten_Motive!$A$1:$A$331,0),$BK$9)),NA()),"")</f>
        <v>1</v>
      </c>
      <c r="AY26" s="50">
        <f>IFERROR(IF(INDEX(Daten_Motive!$A:$ZZ,MATCH($B26&amp;"|Rationalisierung",Daten_Motive!$A$1:$A$331,0),$BK$7)="","",INDEX(Daten_Motive!$A:$ZZ,MATCH($B26&amp;"|Rationalisierung",Daten_Motive!$A$1:$A$331,0),$BK$7)),"")</f>
        <v>42</v>
      </c>
      <c r="AZ26" s="49">
        <f>IFERROR(AY26-IFERROR(IF(INDEX(Daten_Motive!$A:$ZZ,MATCH($B26&amp;"|Rationalisierung",Daten_Motive!$A$1:$A$331,0),$BK$8)="",NA(),INDEX(Daten_Motive!$A:$ZZ,MATCH($B26&amp;"|Rationalisierung",Daten_Motive!$A$1:$A$331,0),$BK$8)),NA()),"")</f>
        <v>-5</v>
      </c>
      <c r="BA26" s="49">
        <f>IFERROR(AY26-IFERROR(IF(INDEX(Daten_Motive!$A:$ZZ,MATCH($B26&amp;"|Rationalisierung",Daten_Motive!$A$1:$A$331,0),$BK$9)="",NA(),INDEX(Daten_Motive!$A:$ZZ,MATCH($B26&amp;"|Rationalisierung",Daten_Motive!$A$1:$A$331,0),$BK$9)),NA()),"")</f>
        <v>0</v>
      </c>
      <c r="BB26" s="50">
        <f>IFERROR(IF(INDEX(Daten_Motive!$A:$ZZ,MATCH($B26&amp;"|Produktinnovation",Daten_Motive!$A$1:$A$331,0),$BK$7)="","",INDEX(Daten_Motive!$A:$ZZ,MATCH($B26&amp;"|Produktinnovation",Daten_Motive!$A$1:$A$331,0),$BK$7)),"")</f>
        <v>49</v>
      </c>
      <c r="BC26" s="49">
        <f>IFERROR(BB26-IFERROR(IF(INDEX(Daten_Motive!$A:$ZZ,MATCH($B26&amp;"|Produktinnovation",Daten_Motive!$A$1:$A$331,0),$BK$8)="",NA(),INDEX(Daten_Motive!$A:$ZZ,MATCH($B26&amp;"|Produktinnovation",Daten_Motive!$A$1:$A$331,0),$BK$8)),NA()),"")</f>
        <v>-3</v>
      </c>
      <c r="BD26" s="49">
        <f>IFERROR(BB26-IFERROR(IF(INDEX(Daten_Motive!$A:$ZZ,MATCH($B26&amp;"|Produktinnovation",Daten_Motive!$A$1:$A$331,0),$BK$9)="",NA(),INDEX(Daten_Motive!$A:$ZZ,MATCH($B26&amp;"|Produktinnovation",Daten_Motive!$A$1:$A$331,0),$BK$9)),NA()),"")</f>
        <v>1</v>
      </c>
      <c r="BE26" s="50">
        <f>IFERROR(IF(INDEX(Daten_Motive!$A:$ZZ,MATCH($B26&amp;"|Umweltschutz",Daten_Motive!$A$1:$A$331,0),$BK$7)="","",INDEX(Daten_Motive!$A:$ZZ,MATCH($B26&amp;"|Umweltschutz",Daten_Motive!$A$1:$A$331,0),$BK$7)),"")</f>
        <v>17</v>
      </c>
      <c r="BF26" s="49">
        <f>IFERROR(BE26-IFERROR(IF(INDEX(Daten_Motive!$A:$ZZ,MATCH($B26&amp;"|Umweltschutz",Daten_Motive!$A$1:$A$331,0),$BK$8)="",NA(),INDEX(Daten_Motive!$A:$ZZ,MATCH($B26&amp;"|Umweltschutz",Daten_Motive!$A$1:$A$331,0),$BK$8)),NA()),"")</f>
        <v>1</v>
      </c>
      <c r="BG26" s="49">
        <f>IFERROR(BE26-IFERROR(IF(INDEX(Daten_Motive!$A:$ZZ,MATCH($B26&amp;"|Umweltschutz",Daten_Motive!$A$1:$A$331,0),$BK$9)="",NA(),INDEX(Daten_Motive!$A:$ZZ,MATCH($B26&amp;"|Umweltschutz",Daten_Motive!$A$1:$A$331,0),$BK$9)),NA()),"")</f>
        <v>0</v>
      </c>
      <c r="BH26" s="50">
        <f>IFERROR(IF(INDEX(Daten_Motive!$A:$ZZ,MATCH($B26&amp;"|Kapazitätserweiterung",Daten_Motive!$A$1:$A$331,0),$BK$7)="","",INDEX(Daten_Motive!$A:$ZZ,MATCH($B26&amp;"|Kapazitätserweiterung",Daten_Motive!$A$1:$A$331,0),$BK$7)),"")</f>
        <v>27</v>
      </c>
      <c r="BI26" s="49">
        <f>IFERROR(BH26-IFERROR(IF(INDEX(Daten_Motive!$A:$ZZ,MATCH($B26&amp;"|Kapazitätserweiterung",Daten_Motive!$A$1:$A$331,0),$BK$8)="",NA(),INDEX(Daten_Motive!$A:$ZZ,MATCH($B26&amp;"|Kapazitätserweiterung",Daten_Motive!$A$1:$A$331,0),$BK$8)),NA()),"")</f>
        <v>1</v>
      </c>
      <c r="BJ26" s="49">
        <f>IFERROR(BH26-IFERROR(IF(INDEX(Daten_Motive!$A:$ZZ,MATCH($B26&amp;"|Kapazitätserweiterung",Daten_Motive!$A$1:$A$331,0),$BK$9)="",NA(),INDEX(Daten_Motive!$A:$ZZ,MATCH($B26&amp;"|Kapazitätserweiterung",Daten_Motive!$A$1:$A$331,0),$BK$9)),NA()),"")</f>
        <v>5</v>
      </c>
    </row>
    <row r="27" spans="1:62" x14ac:dyDescent="0.25">
      <c r="A27" s="42">
        <v>19</v>
      </c>
      <c r="B27" s="52" t="str">
        <f>Listen!A20</f>
        <v>Elektrische Ausrüstungen</v>
      </c>
      <c r="C27" s="44" t="s">
        <v>4513</v>
      </c>
      <c r="D27" s="44" t="str">
        <f>Listen!B20</f>
        <v>Industrie</v>
      </c>
      <c r="E27" s="45">
        <f>IFERROR(IF(INDEX(Daten_Anteile!$A:$ZZ,MATCH($B27&amp;"|Lage|"&amp;$C$3,Daten_Anteile!$A$1:$A$2971,0),5)="","",INDEX(Daten_Anteile!$A:$ZZ,MATCH($B27&amp;"|Lage|"&amp;$C$3,Daten_Anteile!$A$1:$A$2971,0),5)),"")</f>
        <v>264</v>
      </c>
      <c r="F27" s="46">
        <f t="shared" si="0"/>
        <v>107.9</v>
      </c>
      <c r="G27" s="47">
        <f t="shared" si="1"/>
        <v>12</v>
      </c>
      <c r="H27" s="47">
        <f t="shared" si="2"/>
        <v>14.4</v>
      </c>
      <c r="I27" s="48">
        <f>IFERROR(IF(INDEX(Daten_Salden!$A:$ZZ,MATCH($B27&amp;"|Lage",Daten_Salden!$A$1:$A$331,0),$BK$1)="","",INDEX(Daten_Salden!$A:$ZZ,MATCH($B27&amp;"|Lage",Daten_Salden!$A$1:$A$331,0),$BK$1)),"")</f>
        <v>12</v>
      </c>
      <c r="J27" s="49">
        <f>IFERROR(I27-IFERROR(IF(INDEX(Daten_Salden!$A:$ZZ,MATCH($B27&amp;"|Lage",Daten_Salden!$A$1:$A$331,0),$BK$2)="",NA(),INDEX(Daten_Salden!$A:$ZZ,MATCH($B27&amp;"|Lage",Daten_Salden!$A$1:$A$331,0),$BK$2)),NA()),"")</f>
        <v>12</v>
      </c>
      <c r="K27" s="49">
        <f>IFERROR(I27-IFERROR(IF(INDEX(Daten_Salden!$A:$ZZ,MATCH($B27&amp;"|Lage",Daten_Salden!$A$1:$A$331,0),$BK$3)="",NA(),INDEX(Daten_Salden!$A:$ZZ,MATCH($B27&amp;"|Lage",Daten_Salden!$A$1:$A$331,0),$BK$3)),NA()),"")</f>
        <v>20</v>
      </c>
      <c r="L27" s="48">
        <f>IFERROR(IF(INDEX(Daten_Salden!$A:$ZZ,MATCH($B27&amp;"|Erwartungen",Daten_Salden!$A$1:$A$331,0),$BK$1)="","",INDEX(Daten_Salden!$A:$ZZ,MATCH($B27&amp;"|Erwartungen",Daten_Salden!$A$1:$A$331,0),$BK$1)),"")</f>
        <v>4</v>
      </c>
      <c r="M27" s="49">
        <f>IFERROR(L27-IFERROR(IF(INDEX(Daten_Salden!$A:$ZZ,MATCH($B27&amp;"|Erwartungen",Daten_Salden!$A$1:$A$331,0),$BK$2)="",NA(),INDEX(Daten_Salden!$A:$ZZ,MATCH($B27&amp;"|Erwartungen",Daten_Salden!$A$1:$A$331,0),$BK$2)),NA()),"")</f>
        <v>12</v>
      </c>
      <c r="N27" s="49">
        <f>IFERROR(L27-IFERROR(IF(INDEX(Daten_Salden!$A:$ZZ,MATCH($B27&amp;"|Erwartungen",Daten_Salden!$A$1:$A$331,0),$BK$3)="",NA(),INDEX(Daten_Salden!$A:$ZZ,MATCH($B27&amp;"|Erwartungen",Daten_Salden!$A$1:$A$331,0),$BK$3)),NA()),"")</f>
        <v>9</v>
      </c>
      <c r="O27" s="48">
        <f>IFERROR(IF(INDEX(Daten_Salden!$A:$ZZ,MATCH($B27&amp;"|Export",Daten_Salden!$A$1:$A$331,0),$BK$1)="","",INDEX(Daten_Salden!$A:$ZZ,MATCH($B27&amp;"|Export",Daten_Salden!$A$1:$A$331,0),$BK$1)),"")</f>
        <v>10</v>
      </c>
      <c r="P27" s="49">
        <f>IFERROR(O27-IFERROR(IF(INDEX(Daten_Salden!$A:$ZZ,MATCH($B27&amp;"|Export",Daten_Salden!$A$1:$A$331,0),$BK$2)="",NA(),INDEX(Daten_Salden!$A:$ZZ,MATCH($B27&amp;"|Export",Daten_Salden!$A$1:$A$331,0),$BK$2)),NA()),"")</f>
        <v>14</v>
      </c>
      <c r="Q27" s="49">
        <f>IFERROR(O27-IFERROR(IF(INDEX(Daten_Salden!$A:$ZZ,MATCH($B27&amp;"|Export",Daten_Salden!$A$1:$A$331,0),$BK$3)="",NA(),INDEX(Daten_Salden!$A:$ZZ,MATCH($B27&amp;"|Export",Daten_Salden!$A$1:$A$331,0),$BK$3)),NA()),"")</f>
        <v>13</v>
      </c>
      <c r="R27" s="48">
        <f>IFERROR(IF(INDEX(Daten_Salden!$A:$ZZ,MATCH($B27&amp;"|Investitionen",Daten_Salden!$A$1:$A$331,0),$BK$1)="","",INDEX(Daten_Salden!$A:$ZZ,MATCH($B27&amp;"|Investitionen",Daten_Salden!$A$1:$A$331,0),$BK$1)),"")</f>
        <v>-4</v>
      </c>
      <c r="S27" s="49">
        <f>IFERROR(R27-IFERROR(IF(INDEX(Daten_Salden!$A:$ZZ,MATCH($B27&amp;"|Investitionen",Daten_Salden!$A$1:$A$331,0),$BK$2)="",NA(),INDEX(Daten_Salden!$A:$ZZ,MATCH($B27&amp;"|Investitionen",Daten_Salden!$A$1:$A$331,0),$BK$2)),NA()),"")</f>
        <v>4</v>
      </c>
      <c r="T27" s="49">
        <f>IFERROR(R27-IFERROR(IF(INDEX(Daten_Salden!$A:$ZZ,MATCH($B27&amp;"|Investitionen",Daten_Salden!$A$1:$A$331,0),$BK$3)="",NA(),INDEX(Daten_Salden!$A:$ZZ,MATCH($B27&amp;"|Investitionen",Daten_Salden!$A$1:$A$331,0),$BK$3)),NA()),"")</f>
        <v>8</v>
      </c>
      <c r="U27" s="48">
        <f>IFERROR(IF(INDEX(Daten_Salden!$A:$ZZ,MATCH($B27&amp;"|Beschäftigung",Daten_Salden!$A$1:$A$331,0),$BK$1)="","",INDEX(Daten_Salden!$A:$ZZ,MATCH($B27&amp;"|Beschäftigung",Daten_Salden!$A$1:$A$331,0),$BK$1)),"")</f>
        <v>-8</v>
      </c>
      <c r="V27" s="49">
        <f>IFERROR(U27-IFERROR(IF(INDEX(Daten_Salden!$A:$ZZ,MATCH($B27&amp;"|Beschäftigung",Daten_Salden!$A$1:$A$331,0),$BK$2)="",NA(),INDEX(Daten_Salden!$A:$ZZ,MATCH($B27&amp;"|Beschäftigung",Daten_Salden!$A$1:$A$331,0),$BK$2)),NA()),"")</f>
        <v>9</v>
      </c>
      <c r="W27" s="49">
        <f>IFERROR(U27-IFERROR(IF(INDEX(Daten_Salden!$A:$ZZ,MATCH($B27&amp;"|Beschäftigung",Daten_Salden!$A$1:$A$331,0),$BK$3)="",NA(),INDEX(Daten_Salden!$A:$ZZ,MATCH($B27&amp;"|Beschäftigung",Daten_Salden!$A$1:$A$331,0),$BK$3)),NA()),"")</f>
        <v>7</v>
      </c>
      <c r="X27" s="50">
        <f>IFERROR(IF(INDEX(Daten_Risiken!$A:$ZZ,MATCH($B27&amp;"|Energie- und Rohstoffpreise",Daten_Risiken!$A$1:$A$529,0),$BK$4)="","",INDEX(Daten_Risiken!$A:$ZZ,MATCH($B27&amp;"|Energie- und Rohstoffpreise",Daten_Risiken!$A$1:$A$529,0),$BK$4)),"")</f>
        <v>70</v>
      </c>
      <c r="Y27" s="49">
        <f>IFERROR(X27-IFERROR(IF(INDEX(Daten_Risiken!$A:$ZZ,MATCH($B27&amp;"|Energie- und Rohstoffpreise",Daten_Risiken!$A$1:$A$529,0),$BK$5)="",NA(),INDEX(Daten_Risiken!$A:$ZZ,MATCH($B27&amp;"|Energie- und Rohstoffpreise",Daten_Risiken!$A$1:$A$529,0),$BK$5)),NA()),"")</f>
        <v>-2</v>
      </c>
      <c r="Z27" s="49">
        <f>IFERROR(X27-IFERROR(IF(INDEX(Daten_Risiken!$A:$ZZ,MATCH($B27&amp;"|Energie- und Rohstoffpreise",Daten_Risiken!$A$1:$A$529,0),$BK$6)="",NA(),INDEX(Daten_Risiken!$A:$ZZ,MATCH($B27&amp;"|Energie- und Rohstoffpreise",Daten_Risiken!$A$1:$A$529,0),$BK$6)),NA()),"")</f>
        <v>27</v>
      </c>
      <c r="AA27" s="50">
        <f>IFERROR(IF(INDEX(Daten_Risiken!$A:$ZZ,MATCH($B27&amp;"|Arbeitskosten",Daten_Risiken!$A$1:$A$529,0),$BK$4)="","",INDEX(Daten_Risiken!$A:$ZZ,MATCH($B27&amp;"|Arbeitskosten",Daten_Risiken!$A$1:$A$529,0),$BK$4)),"")</f>
        <v>66</v>
      </c>
      <c r="AB27" s="49">
        <f>IFERROR(AA27-IFERROR(IF(INDEX(Daten_Risiken!$A:$ZZ,MATCH($B27&amp;"|Arbeitskosten",Daten_Risiken!$A$1:$A$529,0),$BK$5)="",NA(),INDEX(Daten_Risiken!$A:$ZZ,MATCH($B27&amp;"|Arbeitskosten",Daten_Risiken!$A$1:$A$529,0),$BK$5)),NA()),"")</f>
        <v>3</v>
      </c>
      <c r="AC27" s="49">
        <f>IFERROR(AA27-IFERROR(IF(INDEX(Daten_Risiken!$A:$ZZ,MATCH($B27&amp;"|Arbeitskosten",Daten_Risiken!$A$1:$A$529,0),$BK$6)="",NA(),INDEX(Daten_Risiken!$A:$ZZ,MATCH($B27&amp;"|Arbeitskosten",Daten_Risiken!$A$1:$A$529,0),$BK$6)),NA()),"")</f>
        <v>3</v>
      </c>
      <c r="AD27" s="50">
        <f>IFERROR(IF(INDEX(Daten_Risiken!$A:$ZZ,MATCH($B27&amp;"|Inlandsnachfrage",Daten_Risiken!$A$1:$A$529,0),$BK$4)="","",INDEX(Daten_Risiken!$A:$ZZ,MATCH($B27&amp;"|Inlandsnachfrage",Daten_Risiken!$A$1:$A$529,0),$BK$4)),"")</f>
        <v>58</v>
      </c>
      <c r="AE27" s="49">
        <f>IFERROR(AD27-IFERROR(IF(INDEX(Daten_Risiken!$A:$ZZ,MATCH($B27&amp;"|Inlandsnachfrage",Daten_Risiken!$A$1:$A$529,0),$BK$5)="",NA(),INDEX(Daten_Risiken!$A:$ZZ,MATCH($B27&amp;"|Inlandsnachfrage",Daten_Risiken!$A$1:$A$529,0),$BK$5)),NA()),"")</f>
        <v>-6</v>
      </c>
      <c r="AF27" s="49">
        <f>IFERROR(AD27-IFERROR(IF(INDEX(Daten_Risiken!$A:$ZZ,MATCH($B27&amp;"|Inlandsnachfrage",Daten_Risiken!$A$1:$A$529,0),$BK$6)="",NA(),INDEX(Daten_Risiken!$A:$ZZ,MATCH($B27&amp;"|Inlandsnachfrage",Daten_Risiken!$A$1:$A$529,0),$BK$6)),NA()),"")</f>
        <v>-13</v>
      </c>
      <c r="AG27" s="50">
        <f>IFERROR(IF(INDEX(Daten_Risiken!$A:$ZZ,MATCH($B27&amp;"|Wirtschaftspolitische Rahmenbedingungen",Daten_Risiken!$A$1:$A$529,0),$BK$4)="","",INDEX(Daten_Risiken!$A:$ZZ,MATCH($B27&amp;"|Wirtschaftspolitische Rahmenbedingungen",Daten_Risiken!$A$1:$A$529,0),$BK$4)),"")</f>
        <v>57</v>
      </c>
      <c r="AH27" s="49">
        <f>IFERROR(AG27-IFERROR(IF(INDEX(Daten_Risiken!$A:$ZZ,MATCH($B27&amp;"|Wirtschaftspolitische Rahmenbedingungen",Daten_Risiken!$A$1:$A$529,0),$BK$5)="",NA(),INDEX(Daten_Risiken!$A:$ZZ,MATCH($B27&amp;"|Wirtschaftspolitische Rahmenbedingungen",Daten_Risiken!$A$1:$A$529,0),$BK$5)),NA()),"")</f>
        <v>-3</v>
      </c>
      <c r="AI27" s="49">
        <f>IFERROR(AG27-IFERROR(IF(INDEX(Daten_Risiken!$A:$ZZ,MATCH($B27&amp;"|Wirtschaftspolitische Rahmenbedingungen",Daten_Risiken!$A$1:$A$529,0),$BK$6)="",NA(),INDEX(Daten_Risiken!$A:$ZZ,MATCH($B27&amp;"|Wirtschaftspolitische Rahmenbedingungen",Daten_Risiken!$A$1:$A$529,0),$BK$6)),NA()),"")</f>
        <v>-4</v>
      </c>
      <c r="AJ27" s="50">
        <f>IFERROR(IF(INDEX(Daten_Risiken!$A:$ZZ,MATCH($B27&amp;"|Fachkräftemangel",Daten_Risiken!$A$1:$A$529,0),$BK$4)="","",INDEX(Daten_Risiken!$A:$ZZ,MATCH($B27&amp;"|Fachkräftemangel",Daten_Risiken!$A$1:$A$529,0),$BK$4)),"")</f>
        <v>34</v>
      </c>
      <c r="AK27" s="49">
        <f>IFERROR(AJ27-IFERROR(IF(INDEX(Daten_Risiken!$A:$ZZ,MATCH($B27&amp;"|Fachkräftemangel",Daten_Risiken!$A$1:$A$529,0),$BK$5)="",NA(),INDEX(Daten_Risiken!$A:$ZZ,MATCH($B27&amp;"|Fachkräftemangel",Daten_Risiken!$A$1:$A$529,0),$BK$5)),NA()),"")</f>
        <v>2</v>
      </c>
      <c r="AL27" s="49">
        <f>IFERROR(AJ27-IFERROR(IF(INDEX(Daten_Risiken!$A:$ZZ,MATCH($B27&amp;"|Fachkräftemangel",Daten_Risiken!$A$1:$A$529,0),$BK$6)="",NA(),INDEX(Daten_Risiken!$A:$ZZ,MATCH($B27&amp;"|Fachkräftemangel",Daten_Risiken!$A$1:$A$529,0),$BK$6)),NA()),"")</f>
        <v>-3</v>
      </c>
      <c r="AM27" s="50">
        <f>IFERROR(IF(INDEX(Daten_Risiken!$A:$ZZ,MATCH($B27&amp;"|Auslandsnachfrage",Daten_Risiken!$A$1:$A$529,0),$BK$4)="","",INDEX(Daten_Risiken!$A:$ZZ,MATCH($B27&amp;"|Auslandsnachfrage",Daten_Risiken!$A$1:$A$529,0),$BK$4)),"")</f>
        <v>36</v>
      </c>
      <c r="AN27" s="49">
        <f>IFERROR(AM27-IFERROR(IF(INDEX(Daten_Risiken!$A:$ZZ,MATCH($B27&amp;"|Auslandsnachfrage",Daten_Risiken!$A$1:$A$529,0),$BK$5)="",NA(),INDEX(Daten_Risiken!$A:$ZZ,MATCH($B27&amp;"|Auslandsnachfrage",Daten_Risiken!$A$1:$A$529,0),$BK$5)),NA()),"")</f>
        <v>-6</v>
      </c>
      <c r="AO27" s="49">
        <f>IFERROR(AM27-IFERROR(IF(INDEX(Daten_Risiken!$A:$ZZ,MATCH($B27&amp;"|Auslandsnachfrage",Daten_Risiken!$A$1:$A$529,0),$BK$6)="",NA(),INDEX(Daten_Risiken!$A:$ZZ,MATCH($B27&amp;"|Auslandsnachfrage",Daten_Risiken!$A$1:$A$529,0),$BK$6)),NA()),"")</f>
        <v>-10</v>
      </c>
      <c r="AP27" s="50">
        <f>IFERROR(IF(INDEX(Daten_Risiken!$A:$ZZ,MATCH($B27&amp;"|Finanzierung",Daten_Risiken!$A$1:$A$529,0),$BK$4)="","",INDEX(Daten_Risiken!$A:$ZZ,MATCH($B27&amp;"|Finanzierung",Daten_Risiken!$A$1:$A$529,0),$BK$4)),"")</f>
        <v>11</v>
      </c>
      <c r="AQ27" s="49">
        <f>IFERROR(AP27-IFERROR(IF(INDEX(Daten_Risiken!$A:$ZZ,MATCH($B27&amp;"|Finanzierung",Daten_Risiken!$A$1:$A$529,0),$BK$5)="",NA(),INDEX(Daten_Risiken!$A:$ZZ,MATCH($B27&amp;"|Finanzierung",Daten_Risiken!$A$1:$A$529,0),$BK$5)),NA()),"")</f>
        <v>1</v>
      </c>
      <c r="AR27" s="49">
        <f>IFERROR(AP27-IFERROR(IF(INDEX(Daten_Risiken!$A:$ZZ,MATCH($B27&amp;"|Finanzierung",Daten_Risiken!$A$1:$A$529,0),$BK$6)="",NA(),INDEX(Daten_Risiken!$A:$ZZ,MATCH($B27&amp;"|Finanzierung",Daten_Risiken!$A$1:$A$529,0),$BK$6)),NA()),"")</f>
        <v>1</v>
      </c>
      <c r="AS27" s="50">
        <f>IFERROR(IF(INDEX(Daten_Risiken!$A:$ZZ,MATCH($B27&amp;"|Wechselkurs",Daten_Risiken!$A$1:$A$529,0),$BK$4)="","",INDEX(Daten_Risiken!$A:$ZZ,MATCH($B27&amp;"|Wechselkurs",Daten_Risiken!$A$1:$A$529,0),$BK$4)),"")</f>
        <v>4</v>
      </c>
      <c r="AT27" s="49">
        <f>IFERROR(AS27-IFERROR(IF(INDEX(Daten_Risiken!$A:$ZZ,MATCH($B27&amp;"|Wechselkurs",Daten_Risiken!$A$1:$A$529,0),$BK$5)="",NA(),INDEX(Daten_Risiken!$A:$ZZ,MATCH($B27&amp;"|Wechselkurs",Daten_Risiken!$A$1:$A$529,0),$BK$5)),NA()),"")</f>
        <v>-3</v>
      </c>
      <c r="AU27" s="49">
        <f>IFERROR(AS27-IFERROR(IF(INDEX(Daten_Risiken!$A:$ZZ,MATCH($B27&amp;"|Wechselkurs",Daten_Risiken!$A$1:$A$529,0),$BK$6)="",NA(),INDEX(Daten_Risiken!$A:$ZZ,MATCH($B27&amp;"|Wechselkurs",Daten_Risiken!$A$1:$A$529,0),$BK$6)),NA()),"")</f>
        <v>-3</v>
      </c>
      <c r="AV27" s="50">
        <f>IFERROR(IF(INDEX(Daten_Motive!$A:$ZZ,MATCH($B27&amp;"|Ersatzbedarf",Daten_Motive!$A$1:$A$331,0),$BK$7)="","",INDEX(Daten_Motive!$A:$ZZ,MATCH($B27&amp;"|Ersatzbedarf",Daten_Motive!$A$1:$A$331,0),$BK$7)),"")</f>
        <v>60</v>
      </c>
      <c r="AW27" s="49">
        <f>IFERROR(AV27-IFERROR(IF(INDEX(Daten_Motive!$A:$ZZ,MATCH($B27&amp;"|Ersatzbedarf",Daten_Motive!$A$1:$A$331,0),$BK$8)="",NA(),INDEX(Daten_Motive!$A:$ZZ,MATCH($B27&amp;"|Ersatzbedarf",Daten_Motive!$A$1:$A$331,0),$BK$8)),NA()),"")</f>
        <v>3</v>
      </c>
      <c r="AX27" s="49">
        <f>IFERROR(AV27-IFERROR(IF(INDEX(Daten_Motive!$A:$ZZ,MATCH($B27&amp;"|Ersatzbedarf",Daten_Motive!$A$1:$A$331,0),$BK$9)="",NA(),INDEX(Daten_Motive!$A:$ZZ,MATCH($B27&amp;"|Ersatzbedarf",Daten_Motive!$A$1:$A$331,0),$BK$9)),NA()),"")</f>
        <v>0</v>
      </c>
      <c r="AY27" s="50">
        <f>IFERROR(IF(INDEX(Daten_Motive!$A:$ZZ,MATCH($B27&amp;"|Rationalisierung",Daten_Motive!$A$1:$A$331,0),$BK$7)="","",INDEX(Daten_Motive!$A:$ZZ,MATCH($B27&amp;"|Rationalisierung",Daten_Motive!$A$1:$A$331,0),$BK$7)),"")</f>
        <v>46</v>
      </c>
      <c r="AZ27" s="49">
        <f>IFERROR(AY27-IFERROR(IF(INDEX(Daten_Motive!$A:$ZZ,MATCH($B27&amp;"|Rationalisierung",Daten_Motive!$A$1:$A$331,0),$BK$8)="",NA(),INDEX(Daten_Motive!$A:$ZZ,MATCH($B27&amp;"|Rationalisierung",Daten_Motive!$A$1:$A$331,0),$BK$8)),NA()),"")</f>
        <v>-1</v>
      </c>
      <c r="BA27" s="49">
        <f>IFERROR(AY27-IFERROR(IF(INDEX(Daten_Motive!$A:$ZZ,MATCH($B27&amp;"|Rationalisierung",Daten_Motive!$A$1:$A$331,0),$BK$9)="",NA(),INDEX(Daten_Motive!$A:$ZZ,MATCH($B27&amp;"|Rationalisierung",Daten_Motive!$A$1:$A$331,0),$BK$9)),NA()),"")</f>
        <v>0</v>
      </c>
      <c r="BB27" s="50">
        <f>IFERROR(IF(INDEX(Daten_Motive!$A:$ZZ,MATCH($B27&amp;"|Produktinnovation",Daten_Motive!$A$1:$A$331,0),$BK$7)="","",INDEX(Daten_Motive!$A:$ZZ,MATCH($B27&amp;"|Produktinnovation",Daten_Motive!$A$1:$A$331,0),$BK$7)),"")</f>
        <v>43</v>
      </c>
      <c r="BC27" s="49">
        <f>IFERROR(BB27-IFERROR(IF(INDEX(Daten_Motive!$A:$ZZ,MATCH($B27&amp;"|Produktinnovation",Daten_Motive!$A$1:$A$331,0),$BK$8)="",NA(),INDEX(Daten_Motive!$A:$ZZ,MATCH($B27&amp;"|Produktinnovation",Daten_Motive!$A$1:$A$331,0),$BK$8)),NA()),"")</f>
        <v>-3</v>
      </c>
      <c r="BD27" s="49">
        <f>IFERROR(BB27-IFERROR(IF(INDEX(Daten_Motive!$A:$ZZ,MATCH($B27&amp;"|Produktinnovation",Daten_Motive!$A$1:$A$331,0),$BK$9)="",NA(),INDEX(Daten_Motive!$A:$ZZ,MATCH($B27&amp;"|Produktinnovation",Daten_Motive!$A$1:$A$331,0),$BK$9)),NA()),"")</f>
        <v>-4</v>
      </c>
      <c r="BE27" s="50">
        <f>IFERROR(IF(INDEX(Daten_Motive!$A:$ZZ,MATCH($B27&amp;"|Umweltschutz",Daten_Motive!$A$1:$A$331,0),$BK$7)="","",INDEX(Daten_Motive!$A:$ZZ,MATCH($B27&amp;"|Umweltschutz",Daten_Motive!$A$1:$A$331,0),$BK$7)),"")</f>
        <v>20</v>
      </c>
      <c r="BF27" s="49">
        <f>IFERROR(BE27-IFERROR(IF(INDEX(Daten_Motive!$A:$ZZ,MATCH($B27&amp;"|Umweltschutz",Daten_Motive!$A$1:$A$331,0),$BK$8)="",NA(),INDEX(Daten_Motive!$A:$ZZ,MATCH($B27&amp;"|Umweltschutz",Daten_Motive!$A$1:$A$331,0),$BK$8)),NA()),"")</f>
        <v>3</v>
      </c>
      <c r="BG27" s="49">
        <f>IFERROR(BE27-IFERROR(IF(INDEX(Daten_Motive!$A:$ZZ,MATCH($B27&amp;"|Umweltschutz",Daten_Motive!$A$1:$A$331,0),$BK$9)="",NA(),INDEX(Daten_Motive!$A:$ZZ,MATCH($B27&amp;"|Umweltschutz",Daten_Motive!$A$1:$A$331,0),$BK$9)),NA()),"")</f>
        <v>0</v>
      </c>
      <c r="BH27" s="50">
        <f>IFERROR(IF(INDEX(Daten_Motive!$A:$ZZ,MATCH($B27&amp;"|Kapazitätserweiterung",Daten_Motive!$A$1:$A$331,0),$BK$7)="","",INDEX(Daten_Motive!$A:$ZZ,MATCH($B27&amp;"|Kapazitätserweiterung",Daten_Motive!$A$1:$A$331,0),$BK$7)),"")</f>
        <v>27</v>
      </c>
      <c r="BI27" s="49">
        <f>IFERROR(BH27-IFERROR(IF(INDEX(Daten_Motive!$A:$ZZ,MATCH($B27&amp;"|Kapazitätserweiterung",Daten_Motive!$A$1:$A$331,0),$BK$8)="",NA(),INDEX(Daten_Motive!$A:$ZZ,MATCH($B27&amp;"|Kapazitätserweiterung",Daten_Motive!$A$1:$A$331,0),$BK$8)),NA()),"")</f>
        <v>2</v>
      </c>
      <c r="BJ27" s="49">
        <f>IFERROR(BH27-IFERROR(IF(INDEX(Daten_Motive!$A:$ZZ,MATCH($B27&amp;"|Kapazitätserweiterung",Daten_Motive!$A$1:$A$331,0),$BK$9)="",NA(),INDEX(Daten_Motive!$A:$ZZ,MATCH($B27&amp;"|Kapazitätserweiterung",Daten_Motive!$A$1:$A$331,0),$BK$9)),NA()),"")</f>
        <v>6</v>
      </c>
    </row>
    <row r="28" spans="1:62" x14ac:dyDescent="0.25">
      <c r="A28" s="42">
        <v>20</v>
      </c>
      <c r="B28" s="52" t="str">
        <f>Listen!A21</f>
        <v>Maschinenbau</v>
      </c>
      <c r="C28" s="44" t="s">
        <v>4514</v>
      </c>
      <c r="D28" s="44" t="str">
        <f>Listen!B21</f>
        <v>Industrie</v>
      </c>
      <c r="E28" s="45">
        <f>IFERROR(IF(INDEX(Daten_Anteile!$A:$ZZ,MATCH($B28&amp;"|Lage|"&amp;$C$3,Daten_Anteile!$A$1:$A$2971,0),5)="","",INDEX(Daten_Anteile!$A:$ZZ,MATCH($B28&amp;"|Lage|"&amp;$C$3,Daten_Anteile!$A$1:$A$2971,0),5)),"")</f>
        <v>956</v>
      </c>
      <c r="F28" s="46">
        <f t="shared" si="0"/>
        <v>101.9</v>
      </c>
      <c r="G28" s="47">
        <f t="shared" si="1"/>
        <v>8.9</v>
      </c>
      <c r="H28" s="47">
        <f t="shared" si="2"/>
        <v>12</v>
      </c>
      <c r="I28" s="48">
        <f>IFERROR(IF(INDEX(Daten_Salden!$A:$ZZ,MATCH($B28&amp;"|Lage",Daten_Salden!$A$1:$A$331,0),$BK$1)="","",INDEX(Daten_Salden!$A:$ZZ,MATCH($B28&amp;"|Lage",Daten_Salden!$A$1:$A$331,0),$BK$1)),"")</f>
        <v>-2</v>
      </c>
      <c r="J28" s="49">
        <f>IFERROR(I28-IFERROR(IF(INDEX(Daten_Salden!$A:$ZZ,MATCH($B28&amp;"|Lage",Daten_Salden!$A$1:$A$331,0),$BK$2)="",NA(),INDEX(Daten_Salden!$A:$ZZ,MATCH($B28&amp;"|Lage",Daten_Salden!$A$1:$A$331,0),$BK$2)),NA()),"")</f>
        <v>3</v>
      </c>
      <c r="K28" s="49">
        <f>IFERROR(I28-IFERROR(IF(INDEX(Daten_Salden!$A:$ZZ,MATCH($B28&amp;"|Lage",Daten_Salden!$A$1:$A$331,0),$BK$3)="",NA(),INDEX(Daten_Salden!$A:$ZZ,MATCH($B28&amp;"|Lage",Daten_Salden!$A$1:$A$331,0),$BK$3)),NA()),"")</f>
        <v>12</v>
      </c>
      <c r="L28" s="48">
        <f>IFERROR(IF(INDEX(Daten_Salden!$A:$ZZ,MATCH($B28&amp;"|Erwartungen",Daten_Salden!$A$1:$A$331,0),$BK$1)="","",INDEX(Daten_Salden!$A:$ZZ,MATCH($B28&amp;"|Erwartungen",Daten_Salden!$A$1:$A$331,0),$BK$1)),"")</f>
        <v>6</v>
      </c>
      <c r="M28" s="49">
        <f>IFERROR(L28-IFERROR(IF(INDEX(Daten_Salden!$A:$ZZ,MATCH($B28&amp;"|Erwartungen",Daten_Salden!$A$1:$A$331,0),$BK$2)="",NA(),INDEX(Daten_Salden!$A:$ZZ,MATCH($B28&amp;"|Erwartungen",Daten_Salden!$A$1:$A$331,0),$BK$2)),NA()),"")</f>
        <v>15</v>
      </c>
      <c r="N28" s="49">
        <f>IFERROR(L28-IFERROR(IF(INDEX(Daten_Salden!$A:$ZZ,MATCH($B28&amp;"|Erwartungen",Daten_Salden!$A$1:$A$331,0),$BK$3)="",NA(),INDEX(Daten_Salden!$A:$ZZ,MATCH($B28&amp;"|Erwartungen",Daten_Salden!$A$1:$A$331,0),$BK$3)),NA()),"")</f>
        <v>12</v>
      </c>
      <c r="O28" s="48">
        <f>IFERROR(IF(INDEX(Daten_Salden!$A:$ZZ,MATCH($B28&amp;"|Export",Daten_Salden!$A$1:$A$331,0),$BK$1)="","",INDEX(Daten_Salden!$A:$ZZ,MATCH($B28&amp;"|Export",Daten_Salden!$A$1:$A$331,0),$BK$1)),"")</f>
        <v>10</v>
      </c>
      <c r="P28" s="49">
        <f>IFERROR(O28-IFERROR(IF(INDEX(Daten_Salden!$A:$ZZ,MATCH($B28&amp;"|Export",Daten_Salden!$A$1:$A$331,0),$BK$2)="",NA(),INDEX(Daten_Salden!$A:$ZZ,MATCH($B28&amp;"|Export",Daten_Salden!$A$1:$A$331,0),$BK$2)),NA()),"")</f>
        <v>15</v>
      </c>
      <c r="Q28" s="49">
        <f>IFERROR(O28-IFERROR(IF(INDEX(Daten_Salden!$A:$ZZ,MATCH($B28&amp;"|Export",Daten_Salden!$A$1:$A$331,0),$BK$3)="",NA(),INDEX(Daten_Salden!$A:$ZZ,MATCH($B28&amp;"|Export",Daten_Salden!$A$1:$A$331,0),$BK$3)),NA()),"")</f>
        <v>18</v>
      </c>
      <c r="R28" s="48">
        <f>IFERROR(IF(INDEX(Daten_Salden!$A:$ZZ,MATCH($B28&amp;"|Investitionen",Daten_Salden!$A$1:$A$331,0),$BK$1)="","",INDEX(Daten_Salden!$A:$ZZ,MATCH($B28&amp;"|Investitionen",Daten_Salden!$A$1:$A$331,0),$BK$1)),"")</f>
        <v>-12</v>
      </c>
      <c r="S28" s="49">
        <f>IFERROR(R28-IFERROR(IF(INDEX(Daten_Salden!$A:$ZZ,MATCH($B28&amp;"|Investitionen",Daten_Salden!$A$1:$A$331,0),$BK$2)="",NA(),INDEX(Daten_Salden!$A:$ZZ,MATCH($B28&amp;"|Investitionen",Daten_Salden!$A$1:$A$331,0),$BK$2)),NA()),"")</f>
        <v>3</v>
      </c>
      <c r="T28" s="49">
        <f>IFERROR(R28-IFERROR(IF(INDEX(Daten_Salden!$A:$ZZ,MATCH($B28&amp;"|Investitionen",Daten_Salden!$A$1:$A$331,0),$BK$3)="",NA(),INDEX(Daten_Salden!$A:$ZZ,MATCH($B28&amp;"|Investitionen",Daten_Salden!$A$1:$A$331,0),$BK$3)),NA()),"")</f>
        <v>9</v>
      </c>
      <c r="U28" s="48">
        <f>IFERROR(IF(INDEX(Daten_Salden!$A:$ZZ,MATCH($B28&amp;"|Beschäftigung",Daten_Salden!$A$1:$A$331,0),$BK$1)="","",INDEX(Daten_Salden!$A:$ZZ,MATCH($B28&amp;"|Beschäftigung",Daten_Salden!$A$1:$A$331,0),$BK$1)),"")</f>
        <v>-19</v>
      </c>
      <c r="V28" s="49">
        <f>IFERROR(U28-IFERROR(IF(INDEX(Daten_Salden!$A:$ZZ,MATCH($B28&amp;"|Beschäftigung",Daten_Salden!$A$1:$A$331,0),$BK$2)="",NA(),INDEX(Daten_Salden!$A:$ZZ,MATCH($B28&amp;"|Beschäftigung",Daten_Salden!$A$1:$A$331,0),$BK$2)),NA()),"")</f>
        <v>4</v>
      </c>
      <c r="W28" s="49">
        <f>IFERROR(U28-IFERROR(IF(INDEX(Daten_Salden!$A:$ZZ,MATCH($B28&amp;"|Beschäftigung",Daten_Salden!$A$1:$A$331,0),$BK$3)="",NA(),INDEX(Daten_Salden!$A:$ZZ,MATCH($B28&amp;"|Beschäftigung",Daten_Salden!$A$1:$A$331,0),$BK$3)),NA()),"")</f>
        <v>3</v>
      </c>
      <c r="X28" s="50">
        <f>IFERROR(IF(INDEX(Daten_Risiken!$A:$ZZ,MATCH($B28&amp;"|Energie- und Rohstoffpreise",Daten_Risiken!$A$1:$A$529,0),$BK$4)="","",INDEX(Daten_Risiken!$A:$ZZ,MATCH($B28&amp;"|Energie- und Rohstoffpreise",Daten_Risiken!$A$1:$A$529,0),$BK$4)),"")</f>
        <v>66</v>
      </c>
      <c r="Y28" s="49">
        <f>IFERROR(X28-IFERROR(IF(INDEX(Daten_Risiken!$A:$ZZ,MATCH($B28&amp;"|Energie- und Rohstoffpreise",Daten_Risiken!$A$1:$A$529,0),$BK$5)="",NA(),INDEX(Daten_Risiken!$A:$ZZ,MATCH($B28&amp;"|Energie- und Rohstoffpreise",Daten_Risiken!$A$1:$A$529,0),$BK$5)),NA()),"")</f>
        <v>-6</v>
      </c>
      <c r="Z28" s="49">
        <f>IFERROR(X28-IFERROR(IF(INDEX(Daten_Risiken!$A:$ZZ,MATCH($B28&amp;"|Energie- und Rohstoffpreise",Daten_Risiken!$A$1:$A$529,0),$BK$6)="",NA(),INDEX(Daten_Risiken!$A:$ZZ,MATCH($B28&amp;"|Energie- und Rohstoffpreise",Daten_Risiken!$A$1:$A$529,0),$BK$6)),NA()),"")</f>
        <v>23</v>
      </c>
      <c r="AA28" s="50">
        <f>IFERROR(IF(INDEX(Daten_Risiken!$A:$ZZ,MATCH($B28&amp;"|Arbeitskosten",Daten_Risiken!$A$1:$A$529,0),$BK$4)="","",INDEX(Daten_Risiken!$A:$ZZ,MATCH($B28&amp;"|Arbeitskosten",Daten_Risiken!$A$1:$A$529,0),$BK$4)),"")</f>
        <v>62</v>
      </c>
      <c r="AB28" s="49">
        <f>IFERROR(AA28-IFERROR(IF(INDEX(Daten_Risiken!$A:$ZZ,MATCH($B28&amp;"|Arbeitskosten",Daten_Risiken!$A$1:$A$529,0),$BK$5)="",NA(),INDEX(Daten_Risiken!$A:$ZZ,MATCH($B28&amp;"|Arbeitskosten",Daten_Risiken!$A$1:$A$529,0),$BK$5)),NA()),"")</f>
        <v>4</v>
      </c>
      <c r="AC28" s="49">
        <f>IFERROR(AA28-IFERROR(IF(INDEX(Daten_Risiken!$A:$ZZ,MATCH($B28&amp;"|Arbeitskosten",Daten_Risiken!$A$1:$A$529,0),$BK$6)="",NA(),INDEX(Daten_Risiken!$A:$ZZ,MATCH($B28&amp;"|Arbeitskosten",Daten_Risiken!$A$1:$A$529,0),$BK$6)),NA()),"")</f>
        <v>6</v>
      </c>
      <c r="AD28" s="50">
        <f>IFERROR(IF(INDEX(Daten_Risiken!$A:$ZZ,MATCH($B28&amp;"|Inlandsnachfrage",Daten_Risiken!$A$1:$A$529,0),$BK$4)="","",INDEX(Daten_Risiken!$A:$ZZ,MATCH($B28&amp;"|Inlandsnachfrage",Daten_Risiken!$A$1:$A$529,0),$BK$4)),"")</f>
        <v>62</v>
      </c>
      <c r="AE28" s="49">
        <f>IFERROR(AD28-IFERROR(IF(INDEX(Daten_Risiken!$A:$ZZ,MATCH($B28&amp;"|Inlandsnachfrage",Daten_Risiken!$A$1:$A$529,0),$BK$5)="",NA(),INDEX(Daten_Risiken!$A:$ZZ,MATCH($B28&amp;"|Inlandsnachfrage",Daten_Risiken!$A$1:$A$529,0),$BK$5)),NA()),"")</f>
        <v>0</v>
      </c>
      <c r="AF28" s="49">
        <f>IFERROR(AD28-IFERROR(IF(INDEX(Daten_Risiken!$A:$ZZ,MATCH($B28&amp;"|Inlandsnachfrage",Daten_Risiken!$A$1:$A$529,0),$BK$6)="",NA(),INDEX(Daten_Risiken!$A:$ZZ,MATCH($B28&amp;"|Inlandsnachfrage",Daten_Risiken!$A$1:$A$529,0),$BK$6)),NA()),"")</f>
        <v>-8</v>
      </c>
      <c r="AG28" s="50">
        <f>IFERROR(IF(INDEX(Daten_Risiken!$A:$ZZ,MATCH($B28&amp;"|Wirtschaftspolitische Rahmenbedingungen",Daten_Risiken!$A$1:$A$529,0),$BK$4)="","",INDEX(Daten_Risiken!$A:$ZZ,MATCH($B28&amp;"|Wirtschaftspolitische Rahmenbedingungen",Daten_Risiken!$A$1:$A$529,0),$BK$4)),"")</f>
        <v>60</v>
      </c>
      <c r="AH28" s="49">
        <f>IFERROR(AG28-IFERROR(IF(INDEX(Daten_Risiken!$A:$ZZ,MATCH($B28&amp;"|Wirtschaftspolitische Rahmenbedingungen",Daten_Risiken!$A$1:$A$529,0),$BK$5)="",NA(),INDEX(Daten_Risiken!$A:$ZZ,MATCH($B28&amp;"|Wirtschaftspolitische Rahmenbedingungen",Daten_Risiken!$A$1:$A$529,0),$BK$5)),NA()),"")</f>
        <v>-5</v>
      </c>
      <c r="AI28" s="49">
        <f>IFERROR(AG28-IFERROR(IF(INDEX(Daten_Risiken!$A:$ZZ,MATCH($B28&amp;"|Wirtschaftspolitische Rahmenbedingungen",Daten_Risiken!$A$1:$A$529,0),$BK$6)="",NA(),INDEX(Daten_Risiken!$A:$ZZ,MATCH($B28&amp;"|Wirtschaftspolitische Rahmenbedingungen",Daten_Risiken!$A$1:$A$529,0),$BK$6)),NA()),"")</f>
        <v>-3</v>
      </c>
      <c r="AJ28" s="50">
        <f>IFERROR(IF(INDEX(Daten_Risiken!$A:$ZZ,MATCH($B28&amp;"|Fachkräftemangel",Daten_Risiken!$A$1:$A$529,0),$BK$4)="","",INDEX(Daten_Risiken!$A:$ZZ,MATCH($B28&amp;"|Fachkräftemangel",Daten_Risiken!$A$1:$A$529,0),$BK$4)),"")</f>
        <v>33</v>
      </c>
      <c r="AK28" s="49">
        <f>IFERROR(AJ28-IFERROR(IF(INDEX(Daten_Risiken!$A:$ZZ,MATCH($B28&amp;"|Fachkräftemangel",Daten_Risiken!$A$1:$A$529,0),$BK$5)="",NA(),INDEX(Daten_Risiken!$A:$ZZ,MATCH($B28&amp;"|Fachkräftemangel",Daten_Risiken!$A$1:$A$529,0),$BK$5)),NA()),"")</f>
        <v>3</v>
      </c>
      <c r="AL28" s="49">
        <f>IFERROR(AJ28-IFERROR(IF(INDEX(Daten_Risiken!$A:$ZZ,MATCH($B28&amp;"|Fachkräftemangel",Daten_Risiken!$A$1:$A$529,0),$BK$6)="",NA(),INDEX(Daten_Risiken!$A:$ZZ,MATCH($B28&amp;"|Fachkräftemangel",Daten_Risiken!$A$1:$A$529,0),$BK$6)),NA()),"")</f>
        <v>-5</v>
      </c>
      <c r="AM28" s="50">
        <f>IFERROR(IF(INDEX(Daten_Risiken!$A:$ZZ,MATCH($B28&amp;"|Auslandsnachfrage",Daten_Risiken!$A$1:$A$529,0),$BK$4)="","",INDEX(Daten_Risiken!$A:$ZZ,MATCH($B28&amp;"|Auslandsnachfrage",Daten_Risiken!$A$1:$A$529,0),$BK$4)),"")</f>
        <v>40</v>
      </c>
      <c r="AN28" s="49">
        <f>IFERROR(AM28-IFERROR(IF(INDEX(Daten_Risiken!$A:$ZZ,MATCH($B28&amp;"|Auslandsnachfrage",Daten_Risiken!$A$1:$A$529,0),$BK$5)="",NA(),INDEX(Daten_Risiken!$A:$ZZ,MATCH($B28&amp;"|Auslandsnachfrage",Daten_Risiken!$A$1:$A$529,0),$BK$5)),NA()),"")</f>
        <v>-7</v>
      </c>
      <c r="AO28" s="49">
        <f>IFERROR(AM28-IFERROR(IF(INDEX(Daten_Risiken!$A:$ZZ,MATCH($B28&amp;"|Auslandsnachfrage",Daten_Risiken!$A$1:$A$529,0),$BK$6)="",NA(),INDEX(Daten_Risiken!$A:$ZZ,MATCH($B28&amp;"|Auslandsnachfrage",Daten_Risiken!$A$1:$A$529,0),$BK$6)),NA()),"")</f>
        <v>-10</v>
      </c>
      <c r="AP28" s="50">
        <f>IFERROR(IF(INDEX(Daten_Risiken!$A:$ZZ,MATCH($B28&amp;"|Finanzierung",Daten_Risiken!$A$1:$A$529,0),$BK$4)="","",INDEX(Daten_Risiken!$A:$ZZ,MATCH($B28&amp;"|Finanzierung",Daten_Risiken!$A$1:$A$529,0),$BK$4)),"")</f>
        <v>11</v>
      </c>
      <c r="AQ28" s="49">
        <f>IFERROR(AP28-IFERROR(IF(INDEX(Daten_Risiken!$A:$ZZ,MATCH($B28&amp;"|Finanzierung",Daten_Risiken!$A$1:$A$529,0),$BK$5)="",NA(),INDEX(Daten_Risiken!$A:$ZZ,MATCH($B28&amp;"|Finanzierung",Daten_Risiken!$A$1:$A$529,0),$BK$5)),NA()),"")</f>
        <v>0</v>
      </c>
      <c r="AR28" s="49">
        <f>IFERROR(AP28-IFERROR(IF(INDEX(Daten_Risiken!$A:$ZZ,MATCH($B28&amp;"|Finanzierung",Daten_Risiken!$A$1:$A$529,0),$BK$6)="",NA(),INDEX(Daten_Risiken!$A:$ZZ,MATCH($B28&amp;"|Finanzierung",Daten_Risiken!$A$1:$A$529,0),$BK$6)),NA()),"")</f>
        <v>0</v>
      </c>
      <c r="AS28" s="50">
        <f>IFERROR(IF(INDEX(Daten_Risiken!$A:$ZZ,MATCH($B28&amp;"|Wechselkurs",Daten_Risiken!$A$1:$A$529,0),$BK$4)="","",INDEX(Daten_Risiken!$A:$ZZ,MATCH($B28&amp;"|Wechselkurs",Daten_Risiken!$A$1:$A$529,0),$BK$4)),"")</f>
        <v>6</v>
      </c>
      <c r="AT28" s="49">
        <f>IFERROR(AS28-IFERROR(IF(INDEX(Daten_Risiken!$A:$ZZ,MATCH($B28&amp;"|Wechselkurs",Daten_Risiken!$A$1:$A$529,0),$BK$5)="",NA(),INDEX(Daten_Risiken!$A:$ZZ,MATCH($B28&amp;"|Wechselkurs",Daten_Risiken!$A$1:$A$529,0),$BK$5)),NA()),"")</f>
        <v>-1</v>
      </c>
      <c r="AU28" s="49">
        <f>IFERROR(AS28-IFERROR(IF(INDEX(Daten_Risiken!$A:$ZZ,MATCH($B28&amp;"|Wechselkurs",Daten_Risiken!$A$1:$A$529,0),$BK$6)="",NA(),INDEX(Daten_Risiken!$A:$ZZ,MATCH($B28&amp;"|Wechselkurs",Daten_Risiken!$A$1:$A$529,0),$BK$6)),NA()),"")</f>
        <v>-3</v>
      </c>
      <c r="AV28" s="50">
        <f>IFERROR(IF(INDEX(Daten_Motive!$A:$ZZ,MATCH($B28&amp;"|Ersatzbedarf",Daten_Motive!$A$1:$A$331,0),$BK$7)="","",INDEX(Daten_Motive!$A:$ZZ,MATCH($B28&amp;"|Ersatzbedarf",Daten_Motive!$A$1:$A$331,0),$BK$7)),"")</f>
        <v>61</v>
      </c>
      <c r="AW28" s="49">
        <f>IFERROR(AV28-IFERROR(IF(INDEX(Daten_Motive!$A:$ZZ,MATCH($B28&amp;"|Ersatzbedarf",Daten_Motive!$A$1:$A$331,0),$BK$8)="",NA(),INDEX(Daten_Motive!$A:$ZZ,MATCH($B28&amp;"|Ersatzbedarf",Daten_Motive!$A$1:$A$331,0),$BK$8)),NA()),"")</f>
        <v>-2</v>
      </c>
      <c r="AX28" s="49">
        <f>IFERROR(AV28-IFERROR(IF(INDEX(Daten_Motive!$A:$ZZ,MATCH($B28&amp;"|Ersatzbedarf",Daten_Motive!$A$1:$A$331,0),$BK$9)="",NA(),INDEX(Daten_Motive!$A:$ZZ,MATCH($B28&amp;"|Ersatzbedarf",Daten_Motive!$A$1:$A$331,0),$BK$9)),NA()),"")</f>
        <v>-3</v>
      </c>
      <c r="AY28" s="50">
        <f>IFERROR(IF(INDEX(Daten_Motive!$A:$ZZ,MATCH($B28&amp;"|Rationalisierung",Daten_Motive!$A$1:$A$331,0),$BK$7)="","",INDEX(Daten_Motive!$A:$ZZ,MATCH($B28&amp;"|Rationalisierung",Daten_Motive!$A$1:$A$331,0),$BK$7)),"")</f>
        <v>43</v>
      </c>
      <c r="AZ28" s="49">
        <f>IFERROR(AY28-IFERROR(IF(INDEX(Daten_Motive!$A:$ZZ,MATCH($B28&amp;"|Rationalisierung",Daten_Motive!$A$1:$A$331,0),$BK$8)="",NA(),INDEX(Daten_Motive!$A:$ZZ,MATCH($B28&amp;"|Rationalisierung",Daten_Motive!$A$1:$A$331,0),$BK$8)),NA()),"")</f>
        <v>-2</v>
      </c>
      <c r="BA28" s="49">
        <f>IFERROR(AY28-IFERROR(IF(INDEX(Daten_Motive!$A:$ZZ,MATCH($B28&amp;"|Rationalisierung",Daten_Motive!$A$1:$A$331,0),$BK$9)="",NA(),INDEX(Daten_Motive!$A:$ZZ,MATCH($B28&amp;"|Rationalisierung",Daten_Motive!$A$1:$A$331,0),$BK$9)),NA()),"")</f>
        <v>-3</v>
      </c>
      <c r="BB28" s="50">
        <f>IFERROR(IF(INDEX(Daten_Motive!$A:$ZZ,MATCH($B28&amp;"|Produktinnovation",Daten_Motive!$A$1:$A$331,0),$BK$7)="","",INDEX(Daten_Motive!$A:$ZZ,MATCH($B28&amp;"|Produktinnovation",Daten_Motive!$A$1:$A$331,0),$BK$7)),"")</f>
        <v>34</v>
      </c>
      <c r="BC28" s="49">
        <f>IFERROR(BB28-IFERROR(IF(INDEX(Daten_Motive!$A:$ZZ,MATCH($B28&amp;"|Produktinnovation",Daten_Motive!$A$1:$A$331,0),$BK$8)="",NA(),INDEX(Daten_Motive!$A:$ZZ,MATCH($B28&amp;"|Produktinnovation",Daten_Motive!$A$1:$A$331,0),$BK$8)),NA()),"")</f>
        <v>2</v>
      </c>
      <c r="BD28" s="49">
        <f>IFERROR(BB28-IFERROR(IF(INDEX(Daten_Motive!$A:$ZZ,MATCH($B28&amp;"|Produktinnovation",Daten_Motive!$A$1:$A$331,0),$BK$9)="",NA(),INDEX(Daten_Motive!$A:$ZZ,MATCH($B28&amp;"|Produktinnovation",Daten_Motive!$A$1:$A$331,0),$BK$9)),NA()),"")</f>
        <v>1</v>
      </c>
      <c r="BE28" s="50">
        <f>IFERROR(IF(INDEX(Daten_Motive!$A:$ZZ,MATCH($B28&amp;"|Umweltschutz",Daten_Motive!$A$1:$A$331,0),$BK$7)="","",INDEX(Daten_Motive!$A:$ZZ,MATCH($B28&amp;"|Umweltschutz",Daten_Motive!$A$1:$A$331,0),$BK$7)),"")</f>
        <v>17</v>
      </c>
      <c r="BF28" s="49">
        <f>IFERROR(BE28-IFERROR(IF(INDEX(Daten_Motive!$A:$ZZ,MATCH($B28&amp;"|Umweltschutz",Daten_Motive!$A$1:$A$331,0),$BK$8)="",NA(),INDEX(Daten_Motive!$A:$ZZ,MATCH($B28&amp;"|Umweltschutz",Daten_Motive!$A$1:$A$331,0),$BK$8)),NA()),"")</f>
        <v>0</v>
      </c>
      <c r="BG28" s="49">
        <f>IFERROR(BE28-IFERROR(IF(INDEX(Daten_Motive!$A:$ZZ,MATCH($B28&amp;"|Umweltschutz",Daten_Motive!$A$1:$A$331,0),$BK$9)="",NA(),INDEX(Daten_Motive!$A:$ZZ,MATCH($B28&amp;"|Umweltschutz",Daten_Motive!$A$1:$A$331,0),$BK$9)),NA()),"")</f>
        <v>-1</v>
      </c>
      <c r="BH28" s="50">
        <f>IFERROR(IF(INDEX(Daten_Motive!$A:$ZZ,MATCH($B28&amp;"|Kapazitätserweiterung",Daten_Motive!$A$1:$A$331,0),$BK$7)="","",INDEX(Daten_Motive!$A:$ZZ,MATCH($B28&amp;"|Kapazitätserweiterung",Daten_Motive!$A$1:$A$331,0),$BK$7)),"")</f>
        <v>20</v>
      </c>
      <c r="BI28" s="49">
        <f>IFERROR(BH28-IFERROR(IF(INDEX(Daten_Motive!$A:$ZZ,MATCH($B28&amp;"|Kapazitätserweiterung",Daten_Motive!$A$1:$A$331,0),$BK$8)="",NA(),INDEX(Daten_Motive!$A:$ZZ,MATCH($B28&amp;"|Kapazitätserweiterung",Daten_Motive!$A$1:$A$331,0),$BK$8)),NA()),"")</f>
        <v>0</v>
      </c>
      <c r="BJ28" s="49">
        <f>IFERROR(BH28-IFERROR(IF(INDEX(Daten_Motive!$A:$ZZ,MATCH($B28&amp;"|Kapazitätserweiterung",Daten_Motive!$A$1:$A$331,0),$BK$9)="",NA(),INDEX(Daten_Motive!$A:$ZZ,MATCH($B28&amp;"|Kapazitätserweiterung",Daten_Motive!$A$1:$A$331,0),$BK$9)),NA()),"")</f>
        <v>1</v>
      </c>
    </row>
    <row r="29" spans="1:62" x14ac:dyDescent="0.25">
      <c r="A29" s="42">
        <v>21</v>
      </c>
      <c r="B29" s="52" t="str">
        <f>Listen!A22</f>
        <v>Kraftfahrzeugbau</v>
      </c>
      <c r="C29" s="44" t="s">
        <v>4515</v>
      </c>
      <c r="D29" s="44" t="str">
        <f>Listen!B22</f>
        <v>Industrie</v>
      </c>
      <c r="E29" s="45">
        <f>IFERROR(IF(INDEX(Daten_Anteile!$A:$ZZ,MATCH($B29&amp;"|Lage|"&amp;$C$3,Daten_Anteile!$A$1:$A$2971,0),5)="","",INDEX(Daten_Anteile!$A:$ZZ,MATCH($B29&amp;"|Lage|"&amp;$C$3,Daten_Anteile!$A$1:$A$2971,0),5)),"")</f>
        <v>135</v>
      </c>
      <c r="F29" s="46">
        <f t="shared" si="0"/>
        <v>95.3</v>
      </c>
      <c r="G29" s="47">
        <f t="shared" si="1"/>
        <v>4.2</v>
      </c>
      <c r="H29" s="47">
        <f t="shared" si="2"/>
        <v>19.7</v>
      </c>
      <c r="I29" s="48">
        <f>IFERROR(IF(INDEX(Daten_Salden!$A:$ZZ,MATCH($B29&amp;"|Lage",Daten_Salden!$A$1:$A$331,0),$BK$1)="","",INDEX(Daten_Salden!$A:$ZZ,MATCH($B29&amp;"|Lage",Daten_Salden!$A$1:$A$331,0),$BK$1)),"")</f>
        <v>2</v>
      </c>
      <c r="J29" s="49">
        <f>IFERROR(I29-IFERROR(IF(INDEX(Daten_Salden!$A:$ZZ,MATCH($B29&amp;"|Lage",Daten_Salden!$A$1:$A$331,0),$BK$2)="",NA(),INDEX(Daten_Salden!$A:$ZZ,MATCH($B29&amp;"|Lage",Daten_Salden!$A$1:$A$331,0),$BK$2)),NA()),"")</f>
        <v>2</v>
      </c>
      <c r="K29" s="49">
        <f>IFERROR(I29-IFERROR(IF(INDEX(Daten_Salden!$A:$ZZ,MATCH($B29&amp;"|Lage",Daten_Salden!$A$1:$A$331,0),$BK$3)="",NA(),INDEX(Daten_Salden!$A:$ZZ,MATCH($B29&amp;"|Lage",Daten_Salden!$A$1:$A$331,0),$BK$3)),NA()),"")</f>
        <v>34</v>
      </c>
      <c r="L29" s="48">
        <f>IFERROR(IF(INDEX(Daten_Salden!$A:$ZZ,MATCH($B29&amp;"|Erwartungen",Daten_Salden!$A$1:$A$331,0),$BK$1)="","",INDEX(Daten_Salden!$A:$ZZ,MATCH($B29&amp;"|Erwartungen",Daten_Salden!$A$1:$A$331,0),$BK$1)),"")</f>
        <v>-11</v>
      </c>
      <c r="M29" s="49">
        <f>IFERROR(L29-IFERROR(IF(INDEX(Daten_Salden!$A:$ZZ,MATCH($B29&amp;"|Erwartungen",Daten_Salden!$A$1:$A$331,0),$BK$2)="",NA(),INDEX(Daten_Salden!$A:$ZZ,MATCH($B29&amp;"|Erwartungen",Daten_Salden!$A$1:$A$331,0),$BK$2)),NA()),"")</f>
        <v>6</v>
      </c>
      <c r="N29" s="49">
        <f>IFERROR(L29-IFERROR(IF(INDEX(Daten_Salden!$A:$ZZ,MATCH($B29&amp;"|Erwartungen",Daten_Salden!$A$1:$A$331,0),$BK$3)="",NA(),INDEX(Daten_Salden!$A:$ZZ,MATCH($B29&amp;"|Erwartungen",Daten_Salden!$A$1:$A$331,0),$BK$3)),NA()),"")</f>
        <v>5</v>
      </c>
      <c r="O29" s="48">
        <f>IFERROR(IF(INDEX(Daten_Salden!$A:$ZZ,MATCH($B29&amp;"|Export",Daten_Salden!$A$1:$A$331,0),$BK$1)="","",INDEX(Daten_Salden!$A:$ZZ,MATCH($B29&amp;"|Export",Daten_Salden!$A$1:$A$331,0),$BK$1)),"")</f>
        <v>-18</v>
      </c>
      <c r="P29" s="49">
        <f>IFERROR(O29-IFERROR(IF(INDEX(Daten_Salden!$A:$ZZ,MATCH($B29&amp;"|Export",Daten_Salden!$A$1:$A$331,0),$BK$2)="",NA(),INDEX(Daten_Salden!$A:$ZZ,MATCH($B29&amp;"|Export",Daten_Salden!$A$1:$A$331,0),$BK$2)),NA()),"")</f>
        <v>-18</v>
      </c>
      <c r="Q29" s="49">
        <f>IFERROR(O29-IFERROR(IF(INDEX(Daten_Salden!$A:$ZZ,MATCH($B29&amp;"|Export",Daten_Salden!$A$1:$A$331,0),$BK$3)="",NA(),INDEX(Daten_Salden!$A:$ZZ,MATCH($B29&amp;"|Export",Daten_Salden!$A$1:$A$331,0),$BK$3)),NA()),"")</f>
        <v>-2</v>
      </c>
      <c r="R29" s="48">
        <f>IFERROR(IF(INDEX(Daten_Salden!$A:$ZZ,MATCH($B29&amp;"|Investitionen",Daten_Salden!$A$1:$A$331,0),$BK$1)="","",INDEX(Daten_Salden!$A:$ZZ,MATCH($B29&amp;"|Investitionen",Daten_Salden!$A$1:$A$331,0),$BK$1)),"")</f>
        <v>-16</v>
      </c>
      <c r="S29" s="49">
        <f>IFERROR(R29-IFERROR(IF(INDEX(Daten_Salden!$A:$ZZ,MATCH($B29&amp;"|Investitionen",Daten_Salden!$A$1:$A$331,0),$BK$2)="",NA(),INDEX(Daten_Salden!$A:$ZZ,MATCH($B29&amp;"|Investitionen",Daten_Salden!$A$1:$A$331,0),$BK$2)),NA()),"")</f>
        <v>-6</v>
      </c>
      <c r="T29" s="49">
        <f>IFERROR(R29-IFERROR(IF(INDEX(Daten_Salden!$A:$ZZ,MATCH($B29&amp;"|Investitionen",Daten_Salden!$A$1:$A$331,0),$BK$3)="",NA(),INDEX(Daten_Salden!$A:$ZZ,MATCH($B29&amp;"|Investitionen",Daten_Salden!$A$1:$A$331,0),$BK$3)),NA()),"")</f>
        <v>17</v>
      </c>
      <c r="U29" s="48">
        <f>IFERROR(IF(INDEX(Daten_Salden!$A:$ZZ,MATCH($B29&amp;"|Beschäftigung",Daten_Salden!$A$1:$A$331,0),$BK$1)="","",INDEX(Daten_Salden!$A:$ZZ,MATCH($B29&amp;"|Beschäftigung",Daten_Salden!$A$1:$A$331,0),$BK$1)),"")</f>
        <v>-34</v>
      </c>
      <c r="V29" s="49">
        <f>IFERROR(U29-IFERROR(IF(INDEX(Daten_Salden!$A:$ZZ,MATCH($B29&amp;"|Beschäftigung",Daten_Salden!$A$1:$A$331,0),$BK$2)="",NA(),INDEX(Daten_Salden!$A:$ZZ,MATCH($B29&amp;"|Beschäftigung",Daten_Salden!$A$1:$A$331,0),$BK$2)),NA()),"")</f>
        <v>8</v>
      </c>
      <c r="W29" s="49">
        <f>IFERROR(U29-IFERROR(IF(INDEX(Daten_Salden!$A:$ZZ,MATCH($B29&amp;"|Beschäftigung",Daten_Salden!$A$1:$A$331,0),$BK$3)="",NA(),INDEX(Daten_Salden!$A:$ZZ,MATCH($B29&amp;"|Beschäftigung",Daten_Salden!$A$1:$A$331,0),$BK$3)),NA()),"")</f>
        <v>17</v>
      </c>
      <c r="X29" s="50">
        <f>IFERROR(IF(INDEX(Daten_Risiken!$A:$ZZ,MATCH($B29&amp;"|Energie- und Rohstoffpreise",Daten_Risiken!$A$1:$A$529,0),$BK$4)="","",INDEX(Daten_Risiken!$A:$ZZ,MATCH($B29&amp;"|Energie- und Rohstoffpreise",Daten_Risiken!$A$1:$A$529,0),$BK$4)),"")</f>
        <v>78</v>
      </c>
      <c r="Y29" s="49">
        <f>IFERROR(X29-IFERROR(IF(INDEX(Daten_Risiken!$A:$ZZ,MATCH($B29&amp;"|Energie- und Rohstoffpreise",Daten_Risiken!$A$1:$A$529,0),$BK$5)="",NA(),INDEX(Daten_Risiken!$A:$ZZ,MATCH($B29&amp;"|Energie- und Rohstoffpreise",Daten_Risiken!$A$1:$A$529,0),$BK$5)),NA()),"")</f>
        <v>-4</v>
      </c>
      <c r="Z29" s="49">
        <f>IFERROR(X29-IFERROR(IF(INDEX(Daten_Risiken!$A:$ZZ,MATCH($B29&amp;"|Energie- und Rohstoffpreise",Daten_Risiken!$A$1:$A$529,0),$BK$6)="",NA(),INDEX(Daten_Risiken!$A:$ZZ,MATCH($B29&amp;"|Energie- und Rohstoffpreise",Daten_Risiken!$A$1:$A$529,0),$BK$6)),NA()),"")</f>
        <v>12</v>
      </c>
      <c r="AA29" s="50">
        <f>IFERROR(IF(INDEX(Daten_Risiken!$A:$ZZ,MATCH($B29&amp;"|Arbeitskosten",Daten_Risiken!$A$1:$A$529,0),$BK$4)="","",INDEX(Daten_Risiken!$A:$ZZ,MATCH($B29&amp;"|Arbeitskosten",Daten_Risiken!$A$1:$A$529,0),$BK$4)),"")</f>
        <v>67</v>
      </c>
      <c r="AB29" s="49">
        <f>IFERROR(AA29-IFERROR(IF(INDEX(Daten_Risiken!$A:$ZZ,MATCH($B29&amp;"|Arbeitskosten",Daten_Risiken!$A$1:$A$529,0),$BK$5)="",NA(),INDEX(Daten_Risiken!$A:$ZZ,MATCH($B29&amp;"|Arbeitskosten",Daten_Risiken!$A$1:$A$529,0),$BK$5)),NA()),"")</f>
        <v>-3</v>
      </c>
      <c r="AC29" s="49">
        <f>IFERROR(AA29-IFERROR(IF(INDEX(Daten_Risiken!$A:$ZZ,MATCH($B29&amp;"|Arbeitskosten",Daten_Risiken!$A$1:$A$529,0),$BK$6)="",NA(),INDEX(Daten_Risiken!$A:$ZZ,MATCH($B29&amp;"|Arbeitskosten",Daten_Risiken!$A$1:$A$529,0),$BK$6)),NA()),"")</f>
        <v>6</v>
      </c>
      <c r="AD29" s="50">
        <f>IFERROR(IF(INDEX(Daten_Risiken!$A:$ZZ,MATCH($B29&amp;"|Inlandsnachfrage",Daten_Risiken!$A$1:$A$529,0),$BK$4)="","",INDEX(Daten_Risiken!$A:$ZZ,MATCH($B29&amp;"|Inlandsnachfrage",Daten_Risiken!$A$1:$A$529,0),$BK$4)),"")</f>
        <v>65</v>
      </c>
      <c r="AE29" s="49">
        <f>IFERROR(AD29-IFERROR(IF(INDEX(Daten_Risiken!$A:$ZZ,MATCH($B29&amp;"|Inlandsnachfrage",Daten_Risiken!$A$1:$A$529,0),$BK$5)="",NA(),INDEX(Daten_Risiken!$A:$ZZ,MATCH($B29&amp;"|Inlandsnachfrage",Daten_Risiken!$A$1:$A$529,0),$BK$5)),NA()),"")</f>
        <v>8</v>
      </c>
      <c r="AF29" s="49">
        <f>IFERROR(AD29-IFERROR(IF(INDEX(Daten_Risiken!$A:$ZZ,MATCH($B29&amp;"|Inlandsnachfrage",Daten_Risiken!$A$1:$A$529,0),$BK$6)="",NA(),INDEX(Daten_Risiken!$A:$ZZ,MATCH($B29&amp;"|Inlandsnachfrage",Daten_Risiken!$A$1:$A$529,0),$BK$6)),NA()),"")</f>
        <v>-6</v>
      </c>
      <c r="AG29" s="50">
        <f>IFERROR(IF(INDEX(Daten_Risiken!$A:$ZZ,MATCH($B29&amp;"|Wirtschaftspolitische Rahmenbedingungen",Daten_Risiken!$A$1:$A$529,0),$BK$4)="","",INDEX(Daten_Risiken!$A:$ZZ,MATCH($B29&amp;"|Wirtschaftspolitische Rahmenbedingungen",Daten_Risiken!$A$1:$A$529,0),$BK$4)),"")</f>
        <v>58</v>
      </c>
      <c r="AH29" s="49">
        <f>IFERROR(AG29-IFERROR(IF(INDEX(Daten_Risiken!$A:$ZZ,MATCH($B29&amp;"|Wirtschaftspolitische Rahmenbedingungen",Daten_Risiken!$A$1:$A$529,0),$BK$5)="",NA(),INDEX(Daten_Risiken!$A:$ZZ,MATCH($B29&amp;"|Wirtschaftspolitische Rahmenbedingungen",Daten_Risiken!$A$1:$A$529,0),$BK$5)),NA()),"")</f>
        <v>-3</v>
      </c>
      <c r="AI29" s="49">
        <f>IFERROR(AG29-IFERROR(IF(INDEX(Daten_Risiken!$A:$ZZ,MATCH($B29&amp;"|Wirtschaftspolitische Rahmenbedingungen",Daten_Risiken!$A$1:$A$529,0),$BK$6)="",NA(),INDEX(Daten_Risiken!$A:$ZZ,MATCH($B29&amp;"|Wirtschaftspolitische Rahmenbedingungen",Daten_Risiken!$A$1:$A$529,0),$BK$6)),NA()),"")</f>
        <v>-5</v>
      </c>
      <c r="AJ29" s="50">
        <f>IFERROR(IF(INDEX(Daten_Risiken!$A:$ZZ,MATCH($B29&amp;"|Fachkräftemangel",Daten_Risiken!$A$1:$A$529,0),$BK$4)="","",INDEX(Daten_Risiken!$A:$ZZ,MATCH($B29&amp;"|Fachkräftemangel",Daten_Risiken!$A$1:$A$529,0),$BK$4)),"")</f>
        <v>32</v>
      </c>
      <c r="AK29" s="49">
        <f>IFERROR(AJ29-IFERROR(IF(INDEX(Daten_Risiken!$A:$ZZ,MATCH($B29&amp;"|Fachkräftemangel",Daten_Risiken!$A$1:$A$529,0),$BK$5)="",NA(),INDEX(Daten_Risiken!$A:$ZZ,MATCH($B29&amp;"|Fachkräftemangel",Daten_Risiken!$A$1:$A$529,0),$BK$5)),NA()),"")</f>
        <v>5</v>
      </c>
      <c r="AL29" s="49">
        <f>IFERROR(AJ29-IFERROR(IF(INDEX(Daten_Risiken!$A:$ZZ,MATCH($B29&amp;"|Fachkräftemangel",Daten_Risiken!$A$1:$A$529,0),$BK$6)="",NA(),INDEX(Daten_Risiken!$A:$ZZ,MATCH($B29&amp;"|Fachkräftemangel",Daten_Risiken!$A$1:$A$529,0),$BK$6)),NA()),"")</f>
        <v>4</v>
      </c>
      <c r="AM29" s="50">
        <f>IFERROR(IF(INDEX(Daten_Risiken!$A:$ZZ,MATCH($B29&amp;"|Auslandsnachfrage",Daten_Risiken!$A$1:$A$529,0),$BK$4)="","",INDEX(Daten_Risiken!$A:$ZZ,MATCH($B29&amp;"|Auslandsnachfrage",Daten_Risiken!$A$1:$A$529,0),$BK$4)),"")</f>
        <v>34</v>
      </c>
      <c r="AN29" s="49">
        <f>IFERROR(AM29-IFERROR(IF(INDEX(Daten_Risiken!$A:$ZZ,MATCH($B29&amp;"|Auslandsnachfrage",Daten_Risiken!$A$1:$A$529,0),$BK$5)="",NA(),INDEX(Daten_Risiken!$A:$ZZ,MATCH($B29&amp;"|Auslandsnachfrage",Daten_Risiken!$A$1:$A$529,0),$BK$5)),NA()),"")</f>
        <v>-14</v>
      </c>
      <c r="AO29" s="49">
        <f>IFERROR(AM29-IFERROR(IF(INDEX(Daten_Risiken!$A:$ZZ,MATCH($B29&amp;"|Auslandsnachfrage",Daten_Risiken!$A$1:$A$529,0),$BK$6)="",NA(),INDEX(Daten_Risiken!$A:$ZZ,MATCH($B29&amp;"|Auslandsnachfrage",Daten_Risiken!$A$1:$A$529,0),$BK$6)),NA()),"")</f>
        <v>-25</v>
      </c>
      <c r="AP29" s="50">
        <f>IFERROR(IF(INDEX(Daten_Risiken!$A:$ZZ,MATCH($B29&amp;"|Finanzierung",Daten_Risiken!$A$1:$A$529,0),$BK$4)="","",INDEX(Daten_Risiken!$A:$ZZ,MATCH($B29&amp;"|Finanzierung",Daten_Risiken!$A$1:$A$529,0),$BK$4)),"")</f>
        <v>13</v>
      </c>
      <c r="AQ29" s="49">
        <f>IFERROR(AP29-IFERROR(IF(INDEX(Daten_Risiken!$A:$ZZ,MATCH($B29&amp;"|Finanzierung",Daten_Risiken!$A$1:$A$529,0),$BK$5)="",NA(),INDEX(Daten_Risiken!$A:$ZZ,MATCH($B29&amp;"|Finanzierung",Daten_Risiken!$A$1:$A$529,0),$BK$5)),NA()),"")</f>
        <v>-1</v>
      </c>
      <c r="AR29" s="49">
        <f>IFERROR(AP29-IFERROR(IF(INDEX(Daten_Risiken!$A:$ZZ,MATCH($B29&amp;"|Finanzierung",Daten_Risiken!$A$1:$A$529,0),$BK$6)="",NA(),INDEX(Daten_Risiken!$A:$ZZ,MATCH($B29&amp;"|Finanzierung",Daten_Risiken!$A$1:$A$529,0),$BK$6)),NA()),"")</f>
        <v>2</v>
      </c>
      <c r="AS29" s="50">
        <f>IFERROR(IF(INDEX(Daten_Risiken!$A:$ZZ,MATCH($B29&amp;"|Wechselkurs",Daten_Risiken!$A$1:$A$529,0),$BK$4)="","",INDEX(Daten_Risiken!$A:$ZZ,MATCH($B29&amp;"|Wechselkurs",Daten_Risiken!$A$1:$A$529,0),$BK$4)),"")</f>
        <v>6</v>
      </c>
      <c r="AT29" s="49">
        <f>IFERROR(AS29-IFERROR(IF(INDEX(Daten_Risiken!$A:$ZZ,MATCH($B29&amp;"|Wechselkurs",Daten_Risiken!$A$1:$A$529,0),$BK$5)="",NA(),INDEX(Daten_Risiken!$A:$ZZ,MATCH($B29&amp;"|Wechselkurs",Daten_Risiken!$A$1:$A$529,0),$BK$5)),NA()),"")</f>
        <v>2</v>
      </c>
      <c r="AU29" s="49">
        <f>IFERROR(AS29-IFERROR(IF(INDEX(Daten_Risiken!$A:$ZZ,MATCH($B29&amp;"|Wechselkurs",Daten_Risiken!$A$1:$A$529,0),$BK$6)="",NA(),INDEX(Daten_Risiken!$A:$ZZ,MATCH($B29&amp;"|Wechselkurs",Daten_Risiken!$A$1:$A$529,0),$BK$6)),NA()),"")</f>
        <v>0</v>
      </c>
      <c r="AV29" s="50">
        <f>IFERROR(IF(INDEX(Daten_Motive!$A:$ZZ,MATCH($B29&amp;"|Ersatzbedarf",Daten_Motive!$A$1:$A$331,0),$BK$7)="","",INDEX(Daten_Motive!$A:$ZZ,MATCH($B29&amp;"|Ersatzbedarf",Daten_Motive!$A$1:$A$331,0),$BK$7)),"")</f>
        <v>65</v>
      </c>
      <c r="AW29" s="49">
        <f>IFERROR(AV29-IFERROR(IF(INDEX(Daten_Motive!$A:$ZZ,MATCH($B29&amp;"|Ersatzbedarf",Daten_Motive!$A$1:$A$331,0),$BK$8)="",NA(),INDEX(Daten_Motive!$A:$ZZ,MATCH($B29&amp;"|Ersatzbedarf",Daten_Motive!$A$1:$A$331,0),$BK$8)),NA()),"")</f>
        <v>-5</v>
      </c>
      <c r="AX29" s="49">
        <f>IFERROR(AV29-IFERROR(IF(INDEX(Daten_Motive!$A:$ZZ,MATCH($B29&amp;"|Ersatzbedarf",Daten_Motive!$A$1:$A$331,0),$BK$9)="",NA(),INDEX(Daten_Motive!$A:$ZZ,MATCH($B29&amp;"|Ersatzbedarf",Daten_Motive!$A$1:$A$331,0),$BK$9)),NA()),"")</f>
        <v>4</v>
      </c>
      <c r="AY29" s="50">
        <f>IFERROR(IF(INDEX(Daten_Motive!$A:$ZZ,MATCH($B29&amp;"|Rationalisierung",Daten_Motive!$A$1:$A$331,0),$BK$7)="","",INDEX(Daten_Motive!$A:$ZZ,MATCH($B29&amp;"|Rationalisierung",Daten_Motive!$A$1:$A$331,0),$BK$7)),"")</f>
        <v>54</v>
      </c>
      <c r="AZ29" s="49">
        <f>IFERROR(AY29-IFERROR(IF(INDEX(Daten_Motive!$A:$ZZ,MATCH($B29&amp;"|Rationalisierung",Daten_Motive!$A$1:$A$331,0),$BK$8)="",NA(),INDEX(Daten_Motive!$A:$ZZ,MATCH($B29&amp;"|Rationalisierung",Daten_Motive!$A$1:$A$331,0),$BK$8)),NA()),"")</f>
        <v>6</v>
      </c>
      <c r="BA29" s="49">
        <f>IFERROR(AY29-IFERROR(IF(INDEX(Daten_Motive!$A:$ZZ,MATCH($B29&amp;"|Rationalisierung",Daten_Motive!$A$1:$A$331,0),$BK$9)="",NA(),INDEX(Daten_Motive!$A:$ZZ,MATCH($B29&amp;"|Rationalisierung",Daten_Motive!$A$1:$A$331,0),$BK$9)),NA()),"")</f>
        <v>6</v>
      </c>
      <c r="BB29" s="50">
        <f>IFERROR(IF(INDEX(Daten_Motive!$A:$ZZ,MATCH($B29&amp;"|Produktinnovation",Daten_Motive!$A$1:$A$331,0),$BK$7)="","",INDEX(Daten_Motive!$A:$ZZ,MATCH($B29&amp;"|Produktinnovation",Daten_Motive!$A$1:$A$331,0),$BK$7)),"")</f>
        <v>44</v>
      </c>
      <c r="BC29" s="49">
        <f>IFERROR(BB29-IFERROR(IF(INDEX(Daten_Motive!$A:$ZZ,MATCH($B29&amp;"|Produktinnovation",Daten_Motive!$A$1:$A$331,0),$BK$8)="",NA(),INDEX(Daten_Motive!$A:$ZZ,MATCH($B29&amp;"|Produktinnovation",Daten_Motive!$A$1:$A$331,0),$BK$8)),NA()),"")</f>
        <v>-1</v>
      </c>
      <c r="BD29" s="49">
        <f>IFERROR(BB29-IFERROR(IF(INDEX(Daten_Motive!$A:$ZZ,MATCH($B29&amp;"|Produktinnovation",Daten_Motive!$A$1:$A$331,0),$BK$9)="",NA(),INDEX(Daten_Motive!$A:$ZZ,MATCH($B29&amp;"|Produktinnovation",Daten_Motive!$A$1:$A$331,0),$BK$9)),NA()),"")</f>
        <v>7</v>
      </c>
      <c r="BE29" s="50">
        <f>IFERROR(IF(INDEX(Daten_Motive!$A:$ZZ,MATCH($B29&amp;"|Umweltschutz",Daten_Motive!$A$1:$A$331,0),$BK$7)="","",INDEX(Daten_Motive!$A:$ZZ,MATCH($B29&amp;"|Umweltschutz",Daten_Motive!$A$1:$A$331,0),$BK$7)),"")</f>
        <v>31</v>
      </c>
      <c r="BF29" s="49">
        <f>IFERROR(BE29-IFERROR(IF(INDEX(Daten_Motive!$A:$ZZ,MATCH($B29&amp;"|Umweltschutz",Daten_Motive!$A$1:$A$331,0),$BK$8)="",NA(),INDEX(Daten_Motive!$A:$ZZ,MATCH($B29&amp;"|Umweltschutz",Daten_Motive!$A$1:$A$331,0),$BK$8)),NA()),"")</f>
        <v>6</v>
      </c>
      <c r="BG29" s="49">
        <f>IFERROR(BE29-IFERROR(IF(INDEX(Daten_Motive!$A:$ZZ,MATCH($B29&amp;"|Umweltschutz",Daten_Motive!$A$1:$A$331,0),$BK$9)="",NA(),INDEX(Daten_Motive!$A:$ZZ,MATCH($B29&amp;"|Umweltschutz",Daten_Motive!$A$1:$A$331,0),$BK$9)),NA()),"")</f>
        <v>10</v>
      </c>
      <c r="BH29" s="50">
        <f>IFERROR(IF(INDEX(Daten_Motive!$A:$ZZ,MATCH($B29&amp;"|Kapazitätserweiterung",Daten_Motive!$A$1:$A$331,0),$BK$7)="","",INDEX(Daten_Motive!$A:$ZZ,MATCH($B29&amp;"|Kapazitätserweiterung",Daten_Motive!$A$1:$A$331,0),$BK$7)),"")</f>
        <v>16</v>
      </c>
      <c r="BI29" s="49">
        <f>IFERROR(BH29-IFERROR(IF(INDEX(Daten_Motive!$A:$ZZ,MATCH($B29&amp;"|Kapazitätserweiterung",Daten_Motive!$A$1:$A$331,0),$BK$8)="",NA(),INDEX(Daten_Motive!$A:$ZZ,MATCH($B29&amp;"|Kapazitätserweiterung",Daten_Motive!$A$1:$A$331,0),$BK$8)),NA()),"")</f>
        <v>-3</v>
      </c>
      <c r="BJ29" s="49">
        <f>IFERROR(BH29-IFERROR(IF(INDEX(Daten_Motive!$A:$ZZ,MATCH($B29&amp;"|Kapazitätserweiterung",Daten_Motive!$A$1:$A$331,0),$BK$9)="",NA(),INDEX(Daten_Motive!$A:$ZZ,MATCH($B29&amp;"|Kapazitätserweiterung",Daten_Motive!$A$1:$A$331,0),$BK$9)),NA()),"")</f>
        <v>2</v>
      </c>
    </row>
    <row r="30" spans="1:62" x14ac:dyDescent="0.25">
      <c r="A30" s="42">
        <v>22</v>
      </c>
      <c r="B30" s="52" t="str">
        <f>Listen!A23</f>
        <v>Sonst. Fahrzeugbau</v>
      </c>
      <c r="C30" s="44" t="s">
        <v>4516</v>
      </c>
      <c r="D30" s="44" t="str">
        <f>Listen!B23</f>
        <v>Industrie</v>
      </c>
      <c r="E30" s="45">
        <f>IFERROR(IF(INDEX(Daten_Anteile!$A:$ZZ,MATCH($B30&amp;"|Lage|"&amp;$C$3,Daten_Anteile!$A$1:$A$2971,0),5)="","",INDEX(Daten_Anteile!$A:$ZZ,MATCH($B30&amp;"|Lage|"&amp;$C$3,Daten_Anteile!$A$1:$A$2971,0),5)),"")</f>
        <v>46</v>
      </c>
      <c r="F30" s="46">
        <f t="shared" si="0"/>
        <v>112.8</v>
      </c>
      <c r="G30" s="47">
        <f t="shared" si="1"/>
        <v>32.6</v>
      </c>
      <c r="H30" s="47">
        <f t="shared" si="2"/>
        <v>18.7</v>
      </c>
      <c r="I30" s="48">
        <f>IFERROR(IF(INDEX(Daten_Salden!$A:$ZZ,MATCH($B30&amp;"|Lage",Daten_Salden!$A$1:$A$331,0),$BK$1)="","",INDEX(Daten_Salden!$A:$ZZ,MATCH($B30&amp;"|Lage",Daten_Salden!$A$1:$A$331,0),$BK$1)),"")</f>
        <v>20</v>
      </c>
      <c r="J30" s="49">
        <f>IFERROR(I30-IFERROR(IF(INDEX(Daten_Salden!$A:$ZZ,MATCH($B30&amp;"|Lage",Daten_Salden!$A$1:$A$331,0),$BK$2)="",NA(),INDEX(Daten_Salden!$A:$ZZ,MATCH($B30&amp;"|Lage",Daten_Salden!$A$1:$A$331,0),$BK$2)),NA()),"")</f>
        <v>28</v>
      </c>
      <c r="K30" s="49">
        <f>IFERROR(I30-IFERROR(IF(INDEX(Daten_Salden!$A:$ZZ,MATCH($B30&amp;"|Lage",Daten_Salden!$A$1:$A$331,0),$BK$3)="",NA(),INDEX(Daten_Salden!$A:$ZZ,MATCH($B30&amp;"|Lage",Daten_Salden!$A$1:$A$331,0),$BK$3)),NA()),"")</f>
        <v>17</v>
      </c>
      <c r="L30" s="48">
        <f>IFERROR(IF(INDEX(Daten_Salden!$A:$ZZ,MATCH($B30&amp;"|Erwartungen",Daten_Salden!$A$1:$A$331,0),$BK$1)="","",INDEX(Daten_Salden!$A:$ZZ,MATCH($B30&amp;"|Erwartungen",Daten_Salden!$A$1:$A$331,0),$BK$1)),"")</f>
        <v>6</v>
      </c>
      <c r="M30" s="49">
        <f>IFERROR(L30-IFERROR(IF(INDEX(Daten_Salden!$A:$ZZ,MATCH($B30&amp;"|Erwartungen",Daten_Salden!$A$1:$A$331,0),$BK$2)="",NA(),INDEX(Daten_Salden!$A:$ZZ,MATCH($B30&amp;"|Erwartungen",Daten_Salden!$A$1:$A$331,0),$BK$2)),NA()),"")</f>
        <v>36</v>
      </c>
      <c r="N30" s="49">
        <f>IFERROR(L30-IFERROR(IF(INDEX(Daten_Salden!$A:$ZZ,MATCH($B30&amp;"|Erwartungen",Daten_Salden!$A$1:$A$331,0),$BK$3)="",NA(),INDEX(Daten_Salden!$A:$ZZ,MATCH($B30&amp;"|Erwartungen",Daten_Salden!$A$1:$A$331,0),$BK$3)),NA()),"")</f>
        <v>20</v>
      </c>
      <c r="O30" s="48">
        <f>IFERROR(IF(INDEX(Daten_Salden!$A:$ZZ,MATCH($B30&amp;"|Export",Daten_Salden!$A$1:$A$331,0),$BK$1)="","",INDEX(Daten_Salden!$A:$ZZ,MATCH($B30&amp;"|Export",Daten_Salden!$A$1:$A$331,0),$BK$1)),"")</f>
        <v>29</v>
      </c>
      <c r="P30" s="49">
        <f>IFERROR(O30-IFERROR(IF(INDEX(Daten_Salden!$A:$ZZ,MATCH($B30&amp;"|Export",Daten_Salden!$A$1:$A$331,0),$BK$2)="",NA(),INDEX(Daten_Salden!$A:$ZZ,MATCH($B30&amp;"|Export",Daten_Salden!$A$1:$A$331,0),$BK$2)),NA()),"")</f>
        <v>35</v>
      </c>
      <c r="Q30" s="49">
        <f>IFERROR(O30-IFERROR(IF(INDEX(Daten_Salden!$A:$ZZ,MATCH($B30&amp;"|Export",Daten_Salden!$A$1:$A$331,0),$BK$3)="",NA(),INDEX(Daten_Salden!$A:$ZZ,MATCH($B30&amp;"|Export",Daten_Salden!$A$1:$A$331,0),$BK$3)),NA()),"")</f>
        <v>28</v>
      </c>
      <c r="R30" s="48">
        <f>IFERROR(IF(INDEX(Daten_Salden!$A:$ZZ,MATCH($B30&amp;"|Investitionen",Daten_Salden!$A$1:$A$331,0),$BK$1)="","",INDEX(Daten_Salden!$A:$ZZ,MATCH($B30&amp;"|Investitionen",Daten_Salden!$A$1:$A$331,0),$BK$1)),"")</f>
        <v>15</v>
      </c>
      <c r="S30" s="49">
        <f>IFERROR(R30-IFERROR(IF(INDEX(Daten_Salden!$A:$ZZ,MATCH($B30&amp;"|Investitionen",Daten_Salden!$A$1:$A$331,0),$BK$2)="",NA(),INDEX(Daten_Salden!$A:$ZZ,MATCH($B30&amp;"|Investitionen",Daten_Salden!$A$1:$A$331,0),$BK$2)),NA()),"")</f>
        <v>2</v>
      </c>
      <c r="T30" s="49">
        <f>IFERROR(R30-IFERROR(IF(INDEX(Daten_Salden!$A:$ZZ,MATCH($B30&amp;"|Investitionen",Daten_Salden!$A$1:$A$331,0),$BK$3)="",NA(),INDEX(Daten_Salden!$A:$ZZ,MATCH($B30&amp;"|Investitionen",Daten_Salden!$A$1:$A$331,0),$BK$3)),NA()),"")</f>
        <v>5</v>
      </c>
      <c r="U30" s="48">
        <f>IFERROR(IF(INDEX(Daten_Salden!$A:$ZZ,MATCH($B30&amp;"|Beschäftigung",Daten_Salden!$A$1:$A$331,0),$BK$1)="","",INDEX(Daten_Salden!$A:$ZZ,MATCH($B30&amp;"|Beschäftigung",Daten_Salden!$A$1:$A$331,0),$BK$1)),"")</f>
        <v>14</v>
      </c>
      <c r="V30" s="49">
        <f>IFERROR(U30-IFERROR(IF(INDEX(Daten_Salden!$A:$ZZ,MATCH($B30&amp;"|Beschäftigung",Daten_Salden!$A$1:$A$331,0),$BK$2)="",NA(),INDEX(Daten_Salden!$A:$ZZ,MATCH($B30&amp;"|Beschäftigung",Daten_Salden!$A$1:$A$331,0),$BK$2)),NA()),"")</f>
        <v>11</v>
      </c>
      <c r="W30" s="49">
        <f>IFERROR(U30-IFERROR(IF(INDEX(Daten_Salden!$A:$ZZ,MATCH($B30&amp;"|Beschäftigung",Daten_Salden!$A$1:$A$331,0),$BK$3)="",NA(),INDEX(Daten_Salden!$A:$ZZ,MATCH($B30&amp;"|Beschäftigung",Daten_Salden!$A$1:$A$331,0),$BK$3)),NA()),"")</f>
        <v>12</v>
      </c>
      <c r="X30" s="50">
        <f>IFERROR(IF(INDEX(Daten_Risiken!$A:$ZZ,MATCH($B30&amp;"|Energie- und Rohstoffpreise",Daten_Risiken!$A$1:$A$529,0),$BK$4)="","",INDEX(Daten_Risiken!$A:$ZZ,MATCH($B30&amp;"|Energie- und Rohstoffpreise",Daten_Risiken!$A$1:$A$529,0),$BK$4)),"")</f>
        <v>78</v>
      </c>
      <c r="Y30" s="49">
        <f>IFERROR(X30-IFERROR(IF(INDEX(Daten_Risiken!$A:$ZZ,MATCH($B30&amp;"|Energie- und Rohstoffpreise",Daten_Risiken!$A$1:$A$529,0),$BK$5)="",NA(),INDEX(Daten_Risiken!$A:$ZZ,MATCH($B30&amp;"|Energie- und Rohstoffpreise",Daten_Risiken!$A$1:$A$529,0),$BK$5)),NA()),"")</f>
        <v>12</v>
      </c>
      <c r="Z30" s="49">
        <f>IFERROR(X30-IFERROR(IF(INDEX(Daten_Risiken!$A:$ZZ,MATCH($B30&amp;"|Energie- und Rohstoffpreise",Daten_Risiken!$A$1:$A$529,0),$BK$6)="",NA(),INDEX(Daten_Risiken!$A:$ZZ,MATCH($B30&amp;"|Energie- und Rohstoffpreise",Daten_Risiken!$A$1:$A$529,0),$BK$6)),NA()),"")</f>
        <v>45</v>
      </c>
      <c r="AA30" s="50">
        <f>IFERROR(IF(INDEX(Daten_Risiken!$A:$ZZ,MATCH($B30&amp;"|Arbeitskosten",Daten_Risiken!$A$1:$A$529,0),$BK$4)="","",INDEX(Daten_Risiken!$A:$ZZ,MATCH($B30&amp;"|Arbeitskosten",Daten_Risiken!$A$1:$A$529,0),$BK$4)),"")</f>
        <v>54</v>
      </c>
      <c r="AB30" s="49">
        <f>IFERROR(AA30-IFERROR(IF(INDEX(Daten_Risiken!$A:$ZZ,MATCH($B30&amp;"|Arbeitskosten",Daten_Risiken!$A$1:$A$529,0),$BK$5)="",NA(),INDEX(Daten_Risiken!$A:$ZZ,MATCH($B30&amp;"|Arbeitskosten",Daten_Risiken!$A$1:$A$529,0),$BK$5)),NA()),"")</f>
        <v>9</v>
      </c>
      <c r="AC30" s="49">
        <f>IFERROR(AA30-IFERROR(IF(INDEX(Daten_Risiken!$A:$ZZ,MATCH($B30&amp;"|Arbeitskosten",Daten_Risiken!$A$1:$A$529,0),$BK$6)="",NA(),INDEX(Daten_Risiken!$A:$ZZ,MATCH($B30&amp;"|Arbeitskosten",Daten_Risiken!$A$1:$A$529,0),$BK$6)),NA()),"")</f>
        <v>-2</v>
      </c>
      <c r="AD30" s="50">
        <f>IFERROR(IF(INDEX(Daten_Risiken!$A:$ZZ,MATCH($B30&amp;"|Inlandsnachfrage",Daten_Risiken!$A$1:$A$529,0),$BK$4)="","",INDEX(Daten_Risiken!$A:$ZZ,MATCH($B30&amp;"|Inlandsnachfrage",Daten_Risiken!$A$1:$A$529,0),$BK$4)),"")</f>
        <v>35</v>
      </c>
      <c r="AE30" s="49">
        <f>IFERROR(AD30-IFERROR(IF(INDEX(Daten_Risiken!$A:$ZZ,MATCH($B30&amp;"|Inlandsnachfrage",Daten_Risiken!$A$1:$A$529,0),$BK$5)="",NA(),INDEX(Daten_Risiken!$A:$ZZ,MATCH($B30&amp;"|Inlandsnachfrage",Daten_Risiken!$A$1:$A$529,0),$BK$5)),NA()),"")</f>
        <v>-11</v>
      </c>
      <c r="AF30" s="49">
        <f>IFERROR(AD30-IFERROR(IF(INDEX(Daten_Risiken!$A:$ZZ,MATCH($B30&amp;"|Inlandsnachfrage",Daten_Risiken!$A$1:$A$529,0),$BK$6)="",NA(),INDEX(Daten_Risiken!$A:$ZZ,MATCH($B30&amp;"|Inlandsnachfrage",Daten_Risiken!$A$1:$A$529,0),$BK$6)),NA()),"")</f>
        <v>-19</v>
      </c>
      <c r="AG30" s="50">
        <f>IFERROR(IF(INDEX(Daten_Risiken!$A:$ZZ,MATCH($B30&amp;"|Wirtschaftspolitische Rahmenbedingungen",Daten_Risiken!$A$1:$A$529,0),$BK$4)="","",INDEX(Daten_Risiken!$A:$ZZ,MATCH($B30&amp;"|Wirtschaftspolitische Rahmenbedingungen",Daten_Risiken!$A$1:$A$529,0),$BK$4)),"")</f>
        <v>57</v>
      </c>
      <c r="AH30" s="49">
        <f>IFERROR(AG30-IFERROR(IF(INDEX(Daten_Risiken!$A:$ZZ,MATCH($B30&amp;"|Wirtschaftspolitische Rahmenbedingungen",Daten_Risiken!$A$1:$A$529,0),$BK$5)="",NA(),INDEX(Daten_Risiken!$A:$ZZ,MATCH($B30&amp;"|Wirtschaftspolitische Rahmenbedingungen",Daten_Risiken!$A$1:$A$529,0),$BK$5)),NA()),"")</f>
        <v>6</v>
      </c>
      <c r="AI30" s="49">
        <f>IFERROR(AG30-IFERROR(IF(INDEX(Daten_Risiken!$A:$ZZ,MATCH($B30&amp;"|Wirtschaftspolitische Rahmenbedingungen",Daten_Risiken!$A$1:$A$529,0),$BK$6)="",NA(),INDEX(Daten_Risiken!$A:$ZZ,MATCH($B30&amp;"|Wirtschaftspolitische Rahmenbedingungen",Daten_Risiken!$A$1:$A$529,0),$BK$6)),NA()),"")</f>
        <v>-7</v>
      </c>
      <c r="AJ30" s="50">
        <f>IFERROR(IF(INDEX(Daten_Risiken!$A:$ZZ,MATCH($B30&amp;"|Fachkräftemangel",Daten_Risiken!$A$1:$A$529,0),$BK$4)="","",INDEX(Daten_Risiken!$A:$ZZ,MATCH($B30&amp;"|Fachkräftemangel",Daten_Risiken!$A$1:$A$529,0),$BK$4)),"")</f>
        <v>45</v>
      </c>
      <c r="AK30" s="49">
        <f>IFERROR(AJ30-IFERROR(IF(INDEX(Daten_Risiken!$A:$ZZ,MATCH($B30&amp;"|Fachkräftemangel",Daten_Risiken!$A$1:$A$529,0),$BK$5)="",NA(),INDEX(Daten_Risiken!$A:$ZZ,MATCH($B30&amp;"|Fachkräftemangel",Daten_Risiken!$A$1:$A$529,0),$BK$5)),NA()),"")</f>
        <v>11</v>
      </c>
      <c r="AL30" s="49">
        <f>IFERROR(AJ30-IFERROR(IF(INDEX(Daten_Risiken!$A:$ZZ,MATCH($B30&amp;"|Fachkräftemangel",Daten_Risiken!$A$1:$A$529,0),$BK$6)="",NA(),INDEX(Daten_Risiken!$A:$ZZ,MATCH($B30&amp;"|Fachkräftemangel",Daten_Risiken!$A$1:$A$529,0),$BK$6)),NA()),"")</f>
        <v>7</v>
      </c>
      <c r="AM30" s="50">
        <f>IFERROR(IF(INDEX(Daten_Risiken!$A:$ZZ,MATCH($B30&amp;"|Auslandsnachfrage",Daten_Risiken!$A$1:$A$529,0),$BK$4)="","",INDEX(Daten_Risiken!$A:$ZZ,MATCH($B30&amp;"|Auslandsnachfrage",Daten_Risiken!$A$1:$A$529,0),$BK$4)),"")</f>
        <v>21</v>
      </c>
      <c r="AN30" s="49">
        <f>IFERROR(AM30-IFERROR(IF(INDEX(Daten_Risiken!$A:$ZZ,MATCH($B30&amp;"|Auslandsnachfrage",Daten_Risiken!$A$1:$A$529,0),$BK$5)="",NA(),INDEX(Daten_Risiken!$A:$ZZ,MATCH($B30&amp;"|Auslandsnachfrage",Daten_Risiken!$A$1:$A$529,0),$BK$5)),NA()),"")</f>
        <v>-14</v>
      </c>
      <c r="AO30" s="49">
        <f>IFERROR(AM30-IFERROR(IF(INDEX(Daten_Risiken!$A:$ZZ,MATCH($B30&amp;"|Auslandsnachfrage",Daten_Risiken!$A$1:$A$529,0),$BK$6)="",NA(),INDEX(Daten_Risiken!$A:$ZZ,MATCH($B30&amp;"|Auslandsnachfrage",Daten_Risiken!$A$1:$A$529,0),$BK$6)),NA()),"")</f>
        <v>-14</v>
      </c>
      <c r="AP30" s="50">
        <f>IFERROR(IF(INDEX(Daten_Risiken!$A:$ZZ,MATCH($B30&amp;"|Finanzierung",Daten_Risiken!$A$1:$A$529,0),$BK$4)="","",INDEX(Daten_Risiken!$A:$ZZ,MATCH($B30&amp;"|Finanzierung",Daten_Risiken!$A$1:$A$529,0),$BK$4)),"")</f>
        <v>9</v>
      </c>
      <c r="AQ30" s="49">
        <f>IFERROR(AP30-IFERROR(IF(INDEX(Daten_Risiken!$A:$ZZ,MATCH($B30&amp;"|Finanzierung",Daten_Risiken!$A$1:$A$529,0),$BK$5)="",NA(),INDEX(Daten_Risiken!$A:$ZZ,MATCH($B30&amp;"|Finanzierung",Daten_Risiken!$A$1:$A$529,0),$BK$5)),NA()),"")</f>
        <v>-4</v>
      </c>
      <c r="AR30" s="49">
        <f>IFERROR(AP30-IFERROR(IF(INDEX(Daten_Risiken!$A:$ZZ,MATCH($B30&amp;"|Finanzierung",Daten_Risiken!$A$1:$A$529,0),$BK$6)="",NA(),INDEX(Daten_Risiken!$A:$ZZ,MATCH($B30&amp;"|Finanzierung",Daten_Risiken!$A$1:$A$529,0),$BK$6)),NA()),"")</f>
        <v>-3</v>
      </c>
      <c r="AS30" s="50">
        <f>IFERROR(IF(INDEX(Daten_Risiken!$A:$ZZ,MATCH($B30&amp;"|Wechselkurs",Daten_Risiken!$A$1:$A$529,0),$BK$4)="","",INDEX(Daten_Risiken!$A:$ZZ,MATCH($B30&amp;"|Wechselkurs",Daten_Risiken!$A$1:$A$529,0),$BK$4)),"")</f>
        <v>6</v>
      </c>
      <c r="AT30" s="49">
        <f>IFERROR(AS30-IFERROR(IF(INDEX(Daten_Risiken!$A:$ZZ,MATCH($B30&amp;"|Wechselkurs",Daten_Risiken!$A$1:$A$529,0),$BK$5)="",NA(),INDEX(Daten_Risiken!$A:$ZZ,MATCH($B30&amp;"|Wechselkurs",Daten_Risiken!$A$1:$A$529,0),$BK$5)),NA()),"")</f>
        <v>-2</v>
      </c>
      <c r="AU30" s="49">
        <f>IFERROR(AS30-IFERROR(IF(INDEX(Daten_Risiken!$A:$ZZ,MATCH($B30&amp;"|Wechselkurs",Daten_Risiken!$A$1:$A$529,0),$BK$6)="",NA(),INDEX(Daten_Risiken!$A:$ZZ,MATCH($B30&amp;"|Wechselkurs",Daten_Risiken!$A$1:$A$529,0),$BK$6)),NA()),"")</f>
        <v>-19</v>
      </c>
      <c r="AV30" s="50">
        <f>IFERROR(IF(INDEX(Daten_Motive!$A:$ZZ,MATCH($B30&amp;"|Ersatzbedarf",Daten_Motive!$A$1:$A$331,0),$BK$7)="","",INDEX(Daten_Motive!$A:$ZZ,MATCH($B30&amp;"|Ersatzbedarf",Daten_Motive!$A$1:$A$331,0),$BK$7)),"")</f>
        <v>49</v>
      </c>
      <c r="AW30" s="49">
        <f>IFERROR(AV30-IFERROR(IF(INDEX(Daten_Motive!$A:$ZZ,MATCH($B30&amp;"|Ersatzbedarf",Daten_Motive!$A$1:$A$331,0),$BK$8)="",NA(),INDEX(Daten_Motive!$A:$ZZ,MATCH($B30&amp;"|Ersatzbedarf",Daten_Motive!$A$1:$A$331,0),$BK$8)),NA()),"")</f>
        <v>-11</v>
      </c>
      <c r="AX30" s="49">
        <f>IFERROR(AV30-IFERROR(IF(INDEX(Daten_Motive!$A:$ZZ,MATCH($B30&amp;"|Ersatzbedarf",Daten_Motive!$A$1:$A$331,0),$BK$9)="",NA(),INDEX(Daten_Motive!$A:$ZZ,MATCH($B30&amp;"|Ersatzbedarf",Daten_Motive!$A$1:$A$331,0),$BK$9)),NA()),"")</f>
        <v>-14</v>
      </c>
      <c r="AY30" s="50">
        <f>IFERROR(IF(INDEX(Daten_Motive!$A:$ZZ,MATCH($B30&amp;"|Rationalisierung",Daten_Motive!$A$1:$A$331,0),$BK$7)="","",INDEX(Daten_Motive!$A:$ZZ,MATCH($B30&amp;"|Rationalisierung",Daten_Motive!$A$1:$A$331,0),$BK$7)),"")</f>
        <v>36</v>
      </c>
      <c r="AZ30" s="49">
        <f>IFERROR(AY30-IFERROR(IF(INDEX(Daten_Motive!$A:$ZZ,MATCH($B30&amp;"|Rationalisierung",Daten_Motive!$A$1:$A$331,0),$BK$8)="",NA(),INDEX(Daten_Motive!$A:$ZZ,MATCH($B30&amp;"|Rationalisierung",Daten_Motive!$A$1:$A$331,0),$BK$8)),NA()),"")</f>
        <v>-8</v>
      </c>
      <c r="BA30" s="49">
        <f>IFERROR(AY30-IFERROR(IF(INDEX(Daten_Motive!$A:$ZZ,MATCH($B30&amp;"|Rationalisierung",Daten_Motive!$A$1:$A$331,0),$BK$9)="",NA(),INDEX(Daten_Motive!$A:$ZZ,MATCH($B30&amp;"|Rationalisierung",Daten_Motive!$A$1:$A$331,0),$BK$9)),NA()),"")</f>
        <v>1</v>
      </c>
      <c r="BB30" s="50">
        <f>IFERROR(IF(INDEX(Daten_Motive!$A:$ZZ,MATCH($B30&amp;"|Produktinnovation",Daten_Motive!$A$1:$A$331,0),$BK$7)="","",INDEX(Daten_Motive!$A:$ZZ,MATCH($B30&amp;"|Produktinnovation",Daten_Motive!$A$1:$A$331,0),$BK$7)),"")</f>
        <v>29</v>
      </c>
      <c r="BC30" s="49">
        <f>IFERROR(BB30-IFERROR(IF(INDEX(Daten_Motive!$A:$ZZ,MATCH($B30&amp;"|Produktinnovation",Daten_Motive!$A$1:$A$331,0),$BK$8)="",NA(),INDEX(Daten_Motive!$A:$ZZ,MATCH($B30&amp;"|Produktinnovation",Daten_Motive!$A$1:$A$331,0),$BK$8)),NA()),"")</f>
        <v>-4</v>
      </c>
      <c r="BD30" s="49">
        <f>IFERROR(BB30-IFERROR(IF(INDEX(Daten_Motive!$A:$ZZ,MATCH($B30&amp;"|Produktinnovation",Daten_Motive!$A$1:$A$331,0),$BK$9)="",NA(),INDEX(Daten_Motive!$A:$ZZ,MATCH($B30&amp;"|Produktinnovation",Daten_Motive!$A$1:$A$331,0),$BK$9)),NA()),"")</f>
        <v>4</v>
      </c>
      <c r="BE30" s="50">
        <f>IFERROR(IF(INDEX(Daten_Motive!$A:$ZZ,MATCH($B30&amp;"|Umweltschutz",Daten_Motive!$A$1:$A$331,0),$BK$7)="","",INDEX(Daten_Motive!$A:$ZZ,MATCH($B30&amp;"|Umweltschutz",Daten_Motive!$A$1:$A$331,0),$BK$7)),"")</f>
        <v>25</v>
      </c>
      <c r="BF30" s="49">
        <f>IFERROR(BE30-IFERROR(IF(INDEX(Daten_Motive!$A:$ZZ,MATCH($B30&amp;"|Umweltschutz",Daten_Motive!$A$1:$A$331,0),$BK$8)="",NA(),INDEX(Daten_Motive!$A:$ZZ,MATCH($B30&amp;"|Umweltschutz",Daten_Motive!$A$1:$A$331,0),$BK$8)),NA()),"")</f>
        <v>5</v>
      </c>
      <c r="BG30" s="49">
        <f>IFERROR(BE30-IFERROR(IF(INDEX(Daten_Motive!$A:$ZZ,MATCH($B30&amp;"|Umweltschutz",Daten_Motive!$A$1:$A$331,0),$BK$9)="",NA(),INDEX(Daten_Motive!$A:$ZZ,MATCH($B30&amp;"|Umweltschutz",Daten_Motive!$A$1:$A$331,0),$BK$9)),NA()),"")</f>
        <v>10</v>
      </c>
      <c r="BH30" s="50">
        <f>IFERROR(IF(INDEX(Daten_Motive!$A:$ZZ,MATCH($B30&amp;"|Kapazitätserweiterung",Daten_Motive!$A$1:$A$331,0),$BK$7)="","",INDEX(Daten_Motive!$A:$ZZ,MATCH($B30&amp;"|Kapazitätserweiterung",Daten_Motive!$A$1:$A$331,0),$BK$7)),"")</f>
        <v>56</v>
      </c>
      <c r="BI30" s="49">
        <f>IFERROR(BH30-IFERROR(IF(INDEX(Daten_Motive!$A:$ZZ,MATCH($B30&amp;"|Kapazitätserweiterung",Daten_Motive!$A$1:$A$331,0),$BK$8)="",NA(),INDEX(Daten_Motive!$A:$ZZ,MATCH($B30&amp;"|Kapazitätserweiterung",Daten_Motive!$A$1:$A$331,0),$BK$8)),NA()),"")</f>
        <v>18</v>
      </c>
      <c r="BJ30" s="49">
        <f>IFERROR(BH30-IFERROR(IF(INDEX(Daten_Motive!$A:$ZZ,MATCH($B30&amp;"|Kapazitätserweiterung",Daten_Motive!$A$1:$A$331,0),$BK$9)="",NA(),INDEX(Daten_Motive!$A:$ZZ,MATCH($B30&amp;"|Kapazitätserweiterung",Daten_Motive!$A$1:$A$331,0),$BK$9)),NA()),"")</f>
        <v>10</v>
      </c>
    </row>
    <row r="31" spans="1:62" x14ac:dyDescent="0.25">
      <c r="A31" s="42">
        <v>23</v>
      </c>
      <c r="B31" s="52" t="str">
        <f>Listen!A24</f>
        <v>Möbel</v>
      </c>
      <c r="C31" s="44" t="s">
        <v>4517</v>
      </c>
      <c r="D31" s="44" t="str">
        <f>Listen!B24</f>
        <v>Industrie</v>
      </c>
      <c r="E31" s="45">
        <f>IFERROR(IF(INDEX(Daten_Anteile!$A:$ZZ,MATCH($B31&amp;"|Lage|"&amp;$C$3,Daten_Anteile!$A$1:$A$2971,0),5)="","",INDEX(Daten_Anteile!$A:$ZZ,MATCH($B31&amp;"|Lage|"&amp;$C$3,Daten_Anteile!$A$1:$A$2971,0),5)),"")</f>
        <v>100</v>
      </c>
      <c r="F31" s="46">
        <f t="shared" si="0"/>
        <v>80.400000000000006</v>
      </c>
      <c r="G31" s="47">
        <f t="shared" si="1"/>
        <v>1.4</v>
      </c>
      <c r="H31" s="47">
        <f t="shared" si="2"/>
        <v>-10.9</v>
      </c>
      <c r="I31" s="48">
        <f>IFERROR(IF(INDEX(Daten_Salden!$A:$ZZ,MATCH($B31&amp;"|Lage",Daten_Salden!$A$1:$A$331,0),$BK$1)="","",INDEX(Daten_Salden!$A:$ZZ,MATCH($B31&amp;"|Lage",Daten_Salden!$A$1:$A$331,0),$BK$1)),"")</f>
        <v>-24</v>
      </c>
      <c r="J31" s="49">
        <f>IFERROR(I31-IFERROR(IF(INDEX(Daten_Salden!$A:$ZZ,MATCH($B31&amp;"|Lage",Daten_Salden!$A$1:$A$331,0),$BK$2)="",NA(),INDEX(Daten_Salden!$A:$ZZ,MATCH($B31&amp;"|Lage",Daten_Salden!$A$1:$A$331,0),$BK$2)),NA()),"")</f>
        <v>-5</v>
      </c>
      <c r="K31" s="49">
        <f>IFERROR(I31-IFERROR(IF(INDEX(Daten_Salden!$A:$ZZ,MATCH($B31&amp;"|Lage",Daten_Salden!$A$1:$A$331,0),$BK$3)="",NA(),INDEX(Daten_Salden!$A:$ZZ,MATCH($B31&amp;"|Lage",Daten_Salden!$A$1:$A$331,0),$BK$3)),NA()),"")</f>
        <v>-5</v>
      </c>
      <c r="L31" s="48">
        <f>IFERROR(IF(INDEX(Daten_Salden!$A:$ZZ,MATCH($B31&amp;"|Erwartungen",Daten_Salden!$A$1:$A$331,0),$BK$1)="","",INDEX(Daten_Salden!$A:$ZZ,MATCH($B31&amp;"|Erwartungen",Daten_Salden!$A$1:$A$331,0),$BK$1)),"")</f>
        <v>-15</v>
      </c>
      <c r="M31" s="49">
        <f>IFERROR(L31-IFERROR(IF(INDEX(Daten_Salden!$A:$ZZ,MATCH($B31&amp;"|Erwartungen",Daten_Salden!$A$1:$A$331,0),$BK$2)="",NA(),INDEX(Daten_Salden!$A:$ZZ,MATCH($B31&amp;"|Erwartungen",Daten_Salden!$A$1:$A$331,0),$BK$2)),NA()),"")</f>
        <v>8</v>
      </c>
      <c r="N31" s="49">
        <f>IFERROR(L31-IFERROR(IF(INDEX(Daten_Salden!$A:$ZZ,MATCH($B31&amp;"|Erwartungen",Daten_Salden!$A$1:$A$331,0),$BK$3)="",NA(),INDEX(Daten_Salden!$A:$ZZ,MATCH($B31&amp;"|Erwartungen",Daten_Salden!$A$1:$A$331,0),$BK$3)),NA()),"")</f>
        <v>-18</v>
      </c>
      <c r="O31" s="48">
        <f>IFERROR(IF(INDEX(Daten_Salden!$A:$ZZ,MATCH($B31&amp;"|Export",Daten_Salden!$A$1:$A$331,0),$BK$1)="","",INDEX(Daten_Salden!$A:$ZZ,MATCH($B31&amp;"|Export",Daten_Salden!$A$1:$A$331,0),$BK$1)),"")</f>
        <v>-10</v>
      </c>
      <c r="P31" s="49">
        <f>IFERROR(O31-IFERROR(IF(INDEX(Daten_Salden!$A:$ZZ,MATCH($B31&amp;"|Export",Daten_Salden!$A$1:$A$331,0),$BK$2)="",NA(),INDEX(Daten_Salden!$A:$ZZ,MATCH($B31&amp;"|Export",Daten_Salden!$A$1:$A$331,0),$BK$2)),NA()),"")</f>
        <v>9</v>
      </c>
      <c r="Q31" s="49">
        <f>IFERROR(O31-IFERROR(IF(INDEX(Daten_Salden!$A:$ZZ,MATCH($B31&amp;"|Export",Daten_Salden!$A$1:$A$331,0),$BK$3)="",NA(),INDEX(Daten_Salden!$A:$ZZ,MATCH($B31&amp;"|Export",Daten_Salden!$A$1:$A$331,0),$BK$3)),NA()),"")</f>
        <v>-13</v>
      </c>
      <c r="R31" s="48">
        <f>IFERROR(IF(INDEX(Daten_Salden!$A:$ZZ,MATCH($B31&amp;"|Investitionen",Daten_Salden!$A$1:$A$331,0),$BK$1)="","",INDEX(Daten_Salden!$A:$ZZ,MATCH($B31&amp;"|Investitionen",Daten_Salden!$A$1:$A$331,0),$BK$1)),"")</f>
        <v>-25</v>
      </c>
      <c r="S31" s="49">
        <f>IFERROR(R31-IFERROR(IF(INDEX(Daten_Salden!$A:$ZZ,MATCH($B31&amp;"|Investitionen",Daten_Salden!$A$1:$A$331,0),$BK$2)="",NA(),INDEX(Daten_Salden!$A:$ZZ,MATCH($B31&amp;"|Investitionen",Daten_Salden!$A$1:$A$331,0),$BK$2)),NA()),"")</f>
        <v>-8</v>
      </c>
      <c r="T31" s="49">
        <f>IFERROR(R31-IFERROR(IF(INDEX(Daten_Salden!$A:$ZZ,MATCH($B31&amp;"|Investitionen",Daten_Salden!$A$1:$A$331,0),$BK$3)="",NA(),INDEX(Daten_Salden!$A:$ZZ,MATCH($B31&amp;"|Investitionen",Daten_Salden!$A$1:$A$331,0),$BK$3)),NA()),"")</f>
        <v>-10</v>
      </c>
      <c r="U31" s="48">
        <f>IFERROR(IF(INDEX(Daten_Salden!$A:$ZZ,MATCH($B31&amp;"|Beschäftigung",Daten_Salden!$A$1:$A$331,0),$BK$1)="","",INDEX(Daten_Salden!$A:$ZZ,MATCH($B31&amp;"|Beschäftigung",Daten_Salden!$A$1:$A$331,0),$BK$1)),"")</f>
        <v>-34</v>
      </c>
      <c r="V31" s="49">
        <f>IFERROR(U31-IFERROR(IF(INDEX(Daten_Salden!$A:$ZZ,MATCH($B31&amp;"|Beschäftigung",Daten_Salden!$A$1:$A$331,0),$BK$2)="",NA(),INDEX(Daten_Salden!$A:$ZZ,MATCH($B31&amp;"|Beschäftigung",Daten_Salden!$A$1:$A$331,0),$BK$2)),NA()),"")</f>
        <v>-7</v>
      </c>
      <c r="W31" s="49">
        <f>IFERROR(U31-IFERROR(IF(INDEX(Daten_Salden!$A:$ZZ,MATCH($B31&amp;"|Beschäftigung",Daten_Salden!$A$1:$A$331,0),$BK$3)="",NA(),INDEX(Daten_Salden!$A:$ZZ,MATCH($B31&amp;"|Beschäftigung",Daten_Salden!$A$1:$A$331,0),$BK$3)),NA()),"")</f>
        <v>-11</v>
      </c>
      <c r="X31" s="50">
        <f>IFERROR(IF(INDEX(Daten_Risiken!$A:$ZZ,MATCH($B31&amp;"|Energie- und Rohstoffpreise",Daten_Risiken!$A$1:$A$529,0),$BK$4)="","",INDEX(Daten_Risiken!$A:$ZZ,MATCH($B31&amp;"|Energie- und Rohstoffpreise",Daten_Risiken!$A$1:$A$529,0),$BK$4)),"")</f>
        <v>81</v>
      </c>
      <c r="Y31" s="49">
        <f>IFERROR(X31-IFERROR(IF(INDEX(Daten_Risiken!$A:$ZZ,MATCH($B31&amp;"|Energie- und Rohstoffpreise",Daten_Risiken!$A$1:$A$529,0),$BK$5)="",NA(),INDEX(Daten_Risiken!$A:$ZZ,MATCH($B31&amp;"|Energie- und Rohstoffpreise",Daten_Risiken!$A$1:$A$529,0),$BK$5)),NA()),"")</f>
        <v>1</v>
      </c>
      <c r="Z31" s="49">
        <f>IFERROR(X31-IFERROR(IF(INDEX(Daten_Risiken!$A:$ZZ,MATCH($B31&amp;"|Energie- und Rohstoffpreise",Daten_Risiken!$A$1:$A$529,0),$BK$6)="",NA(),INDEX(Daten_Risiken!$A:$ZZ,MATCH($B31&amp;"|Energie- und Rohstoffpreise",Daten_Risiken!$A$1:$A$529,0),$BK$6)),NA()),"")</f>
        <v>32</v>
      </c>
      <c r="AA31" s="50">
        <f>IFERROR(IF(INDEX(Daten_Risiken!$A:$ZZ,MATCH($B31&amp;"|Arbeitskosten",Daten_Risiken!$A$1:$A$529,0),$BK$4)="","",INDEX(Daten_Risiken!$A:$ZZ,MATCH($B31&amp;"|Arbeitskosten",Daten_Risiken!$A$1:$A$529,0),$BK$4)),"")</f>
        <v>64</v>
      </c>
      <c r="AB31" s="49">
        <f>IFERROR(AA31-IFERROR(IF(INDEX(Daten_Risiken!$A:$ZZ,MATCH($B31&amp;"|Arbeitskosten",Daten_Risiken!$A$1:$A$529,0),$BK$5)="",NA(),INDEX(Daten_Risiken!$A:$ZZ,MATCH($B31&amp;"|Arbeitskosten",Daten_Risiken!$A$1:$A$529,0),$BK$5)),NA()),"")</f>
        <v>4</v>
      </c>
      <c r="AC31" s="49">
        <f>IFERROR(AA31-IFERROR(IF(INDEX(Daten_Risiken!$A:$ZZ,MATCH($B31&amp;"|Arbeitskosten",Daten_Risiken!$A$1:$A$529,0),$BK$6)="",NA(),INDEX(Daten_Risiken!$A:$ZZ,MATCH($B31&amp;"|Arbeitskosten",Daten_Risiken!$A$1:$A$529,0),$BK$6)),NA()),"")</f>
        <v>8</v>
      </c>
      <c r="AD31" s="50">
        <f>IFERROR(IF(INDEX(Daten_Risiken!$A:$ZZ,MATCH($B31&amp;"|Inlandsnachfrage",Daten_Risiken!$A$1:$A$529,0),$BK$4)="","",INDEX(Daten_Risiken!$A:$ZZ,MATCH($B31&amp;"|Inlandsnachfrage",Daten_Risiken!$A$1:$A$529,0),$BK$4)),"")</f>
        <v>78</v>
      </c>
      <c r="AE31" s="49">
        <f>IFERROR(AD31-IFERROR(IF(INDEX(Daten_Risiken!$A:$ZZ,MATCH($B31&amp;"|Inlandsnachfrage",Daten_Risiken!$A$1:$A$529,0),$BK$5)="",NA(),INDEX(Daten_Risiken!$A:$ZZ,MATCH($B31&amp;"|Inlandsnachfrage",Daten_Risiken!$A$1:$A$529,0),$BK$5)),NA()),"")</f>
        <v>0</v>
      </c>
      <c r="AF31" s="49">
        <f>IFERROR(AD31-IFERROR(IF(INDEX(Daten_Risiken!$A:$ZZ,MATCH($B31&amp;"|Inlandsnachfrage",Daten_Risiken!$A$1:$A$529,0),$BK$6)="",NA(),INDEX(Daten_Risiken!$A:$ZZ,MATCH($B31&amp;"|Inlandsnachfrage",Daten_Risiken!$A$1:$A$529,0),$BK$6)),NA()),"")</f>
        <v>-4</v>
      </c>
      <c r="AG31" s="50">
        <f>IFERROR(IF(INDEX(Daten_Risiken!$A:$ZZ,MATCH($B31&amp;"|Wirtschaftspolitische Rahmenbedingungen",Daten_Risiken!$A$1:$A$529,0),$BK$4)="","",INDEX(Daten_Risiken!$A:$ZZ,MATCH($B31&amp;"|Wirtschaftspolitische Rahmenbedingungen",Daten_Risiken!$A$1:$A$529,0),$BK$4)),"")</f>
        <v>63</v>
      </c>
      <c r="AH31" s="49">
        <f>IFERROR(AG31-IFERROR(IF(INDEX(Daten_Risiken!$A:$ZZ,MATCH($B31&amp;"|Wirtschaftspolitische Rahmenbedingungen",Daten_Risiken!$A$1:$A$529,0),$BK$5)="",NA(),INDEX(Daten_Risiken!$A:$ZZ,MATCH($B31&amp;"|Wirtschaftspolitische Rahmenbedingungen",Daten_Risiken!$A$1:$A$529,0),$BK$5)),NA()),"")</f>
        <v>-3</v>
      </c>
      <c r="AI31" s="49">
        <f>IFERROR(AG31-IFERROR(IF(INDEX(Daten_Risiken!$A:$ZZ,MATCH($B31&amp;"|Wirtschaftspolitische Rahmenbedingungen",Daten_Risiken!$A$1:$A$529,0),$BK$6)="",NA(),INDEX(Daten_Risiken!$A:$ZZ,MATCH($B31&amp;"|Wirtschaftspolitische Rahmenbedingungen",Daten_Risiken!$A$1:$A$529,0),$BK$6)),NA()),"")</f>
        <v>3</v>
      </c>
      <c r="AJ31" s="50">
        <f>IFERROR(IF(INDEX(Daten_Risiken!$A:$ZZ,MATCH($B31&amp;"|Fachkräftemangel",Daten_Risiken!$A$1:$A$529,0),$BK$4)="","",INDEX(Daten_Risiken!$A:$ZZ,MATCH($B31&amp;"|Fachkräftemangel",Daten_Risiken!$A$1:$A$529,0),$BK$4)),"")</f>
        <v>35</v>
      </c>
      <c r="AK31" s="49">
        <f>IFERROR(AJ31-IFERROR(IF(INDEX(Daten_Risiken!$A:$ZZ,MATCH($B31&amp;"|Fachkräftemangel",Daten_Risiken!$A$1:$A$529,0),$BK$5)="",NA(),INDEX(Daten_Risiken!$A:$ZZ,MATCH($B31&amp;"|Fachkräftemangel",Daten_Risiken!$A$1:$A$529,0),$BK$5)),NA()),"")</f>
        <v>3</v>
      </c>
      <c r="AL31" s="49">
        <f>IFERROR(AJ31-IFERROR(IF(INDEX(Daten_Risiken!$A:$ZZ,MATCH($B31&amp;"|Fachkräftemangel",Daten_Risiken!$A$1:$A$529,0),$BK$6)="",NA(),INDEX(Daten_Risiken!$A:$ZZ,MATCH($B31&amp;"|Fachkräftemangel",Daten_Risiken!$A$1:$A$529,0),$BK$6)),NA()),"")</f>
        <v>-4</v>
      </c>
      <c r="AM31" s="50">
        <f>IFERROR(IF(INDEX(Daten_Risiken!$A:$ZZ,MATCH($B31&amp;"|Auslandsnachfrage",Daten_Risiken!$A$1:$A$529,0),$BK$4)="","",INDEX(Daten_Risiken!$A:$ZZ,MATCH($B31&amp;"|Auslandsnachfrage",Daten_Risiken!$A$1:$A$529,0),$BK$4)),"")</f>
        <v>27</v>
      </c>
      <c r="AN31" s="49">
        <f>IFERROR(AM31-IFERROR(IF(INDEX(Daten_Risiken!$A:$ZZ,MATCH($B31&amp;"|Auslandsnachfrage",Daten_Risiken!$A$1:$A$529,0),$BK$5)="",NA(),INDEX(Daten_Risiken!$A:$ZZ,MATCH($B31&amp;"|Auslandsnachfrage",Daten_Risiken!$A$1:$A$529,0),$BK$5)),NA()),"")</f>
        <v>-4</v>
      </c>
      <c r="AO31" s="49">
        <f>IFERROR(AM31-IFERROR(IF(INDEX(Daten_Risiken!$A:$ZZ,MATCH($B31&amp;"|Auslandsnachfrage",Daten_Risiken!$A$1:$A$529,0),$BK$6)="",NA(),INDEX(Daten_Risiken!$A:$ZZ,MATCH($B31&amp;"|Auslandsnachfrage",Daten_Risiken!$A$1:$A$529,0),$BK$6)),NA()),"")</f>
        <v>-2</v>
      </c>
      <c r="AP31" s="50">
        <f>IFERROR(IF(INDEX(Daten_Risiken!$A:$ZZ,MATCH($B31&amp;"|Finanzierung",Daten_Risiken!$A$1:$A$529,0),$BK$4)="","",INDEX(Daten_Risiken!$A:$ZZ,MATCH($B31&amp;"|Finanzierung",Daten_Risiken!$A$1:$A$529,0),$BK$4)),"")</f>
        <v>18</v>
      </c>
      <c r="AQ31" s="49">
        <f>IFERROR(AP31-IFERROR(IF(INDEX(Daten_Risiken!$A:$ZZ,MATCH($B31&amp;"|Finanzierung",Daten_Risiken!$A$1:$A$529,0),$BK$5)="",NA(),INDEX(Daten_Risiken!$A:$ZZ,MATCH($B31&amp;"|Finanzierung",Daten_Risiken!$A$1:$A$529,0),$BK$5)),NA()),"")</f>
        <v>5</v>
      </c>
      <c r="AR31" s="49">
        <f>IFERROR(AP31-IFERROR(IF(INDEX(Daten_Risiken!$A:$ZZ,MATCH($B31&amp;"|Finanzierung",Daten_Risiken!$A$1:$A$529,0),$BK$6)="",NA(),INDEX(Daten_Risiken!$A:$ZZ,MATCH($B31&amp;"|Finanzierung",Daten_Risiken!$A$1:$A$529,0),$BK$6)),NA()),"")</f>
        <v>9</v>
      </c>
      <c r="AS31" s="50">
        <f>IFERROR(IF(INDEX(Daten_Risiken!$A:$ZZ,MATCH($B31&amp;"|Wechselkurs",Daten_Risiken!$A$1:$A$529,0),$BK$4)="","",INDEX(Daten_Risiken!$A:$ZZ,MATCH($B31&amp;"|Wechselkurs",Daten_Risiken!$A$1:$A$529,0),$BK$4)),"")</f>
        <v>5</v>
      </c>
      <c r="AT31" s="49">
        <f>IFERROR(AS31-IFERROR(IF(INDEX(Daten_Risiken!$A:$ZZ,MATCH($B31&amp;"|Wechselkurs",Daten_Risiken!$A$1:$A$529,0),$BK$5)="",NA(),INDEX(Daten_Risiken!$A:$ZZ,MATCH($B31&amp;"|Wechselkurs",Daten_Risiken!$A$1:$A$529,0),$BK$5)),NA()),"")</f>
        <v>0</v>
      </c>
      <c r="AU31" s="49">
        <f>IFERROR(AS31-IFERROR(IF(INDEX(Daten_Risiken!$A:$ZZ,MATCH($B31&amp;"|Wechselkurs",Daten_Risiken!$A$1:$A$529,0),$BK$6)="",NA(),INDEX(Daten_Risiken!$A:$ZZ,MATCH($B31&amp;"|Wechselkurs",Daten_Risiken!$A$1:$A$529,0),$BK$6)),NA()),"")</f>
        <v>-2</v>
      </c>
      <c r="AV31" s="50">
        <f>IFERROR(IF(INDEX(Daten_Motive!$A:$ZZ,MATCH($B31&amp;"|Ersatzbedarf",Daten_Motive!$A$1:$A$331,0),$BK$7)="","",INDEX(Daten_Motive!$A:$ZZ,MATCH($B31&amp;"|Ersatzbedarf",Daten_Motive!$A$1:$A$331,0),$BK$7)),"")</f>
        <v>76</v>
      </c>
      <c r="AW31" s="49">
        <f>IFERROR(AV31-IFERROR(IF(INDEX(Daten_Motive!$A:$ZZ,MATCH($B31&amp;"|Ersatzbedarf",Daten_Motive!$A$1:$A$331,0),$BK$8)="",NA(),INDEX(Daten_Motive!$A:$ZZ,MATCH($B31&amp;"|Ersatzbedarf",Daten_Motive!$A$1:$A$331,0),$BK$8)),NA()),"")</f>
        <v>4</v>
      </c>
      <c r="AX31" s="49">
        <f>IFERROR(AV31-IFERROR(IF(INDEX(Daten_Motive!$A:$ZZ,MATCH($B31&amp;"|Ersatzbedarf",Daten_Motive!$A$1:$A$331,0),$BK$9)="",NA(),INDEX(Daten_Motive!$A:$ZZ,MATCH($B31&amp;"|Ersatzbedarf",Daten_Motive!$A$1:$A$331,0),$BK$9)),NA()),"")</f>
        <v>-2</v>
      </c>
      <c r="AY31" s="50">
        <f>IFERROR(IF(INDEX(Daten_Motive!$A:$ZZ,MATCH($B31&amp;"|Rationalisierung",Daten_Motive!$A$1:$A$331,0),$BK$7)="","",INDEX(Daten_Motive!$A:$ZZ,MATCH($B31&amp;"|Rationalisierung",Daten_Motive!$A$1:$A$331,0),$BK$7)),"")</f>
        <v>37</v>
      </c>
      <c r="AZ31" s="49">
        <f>IFERROR(AY31-IFERROR(IF(INDEX(Daten_Motive!$A:$ZZ,MATCH($B31&amp;"|Rationalisierung",Daten_Motive!$A$1:$A$331,0),$BK$8)="",NA(),INDEX(Daten_Motive!$A:$ZZ,MATCH($B31&amp;"|Rationalisierung",Daten_Motive!$A$1:$A$331,0),$BK$8)),NA()),"")</f>
        <v>-12</v>
      </c>
      <c r="BA31" s="49">
        <f>IFERROR(AY31-IFERROR(IF(INDEX(Daten_Motive!$A:$ZZ,MATCH($B31&amp;"|Rationalisierung",Daten_Motive!$A$1:$A$331,0),$BK$9)="",NA(),INDEX(Daten_Motive!$A:$ZZ,MATCH($B31&amp;"|Rationalisierung",Daten_Motive!$A$1:$A$331,0),$BK$9)),NA()),"")</f>
        <v>-10</v>
      </c>
      <c r="BB31" s="50">
        <f>IFERROR(IF(INDEX(Daten_Motive!$A:$ZZ,MATCH($B31&amp;"|Produktinnovation",Daten_Motive!$A$1:$A$331,0),$BK$7)="","",INDEX(Daten_Motive!$A:$ZZ,MATCH($B31&amp;"|Produktinnovation",Daten_Motive!$A$1:$A$331,0),$BK$7)),"")</f>
        <v>31</v>
      </c>
      <c r="BC31" s="49">
        <f>IFERROR(BB31-IFERROR(IF(INDEX(Daten_Motive!$A:$ZZ,MATCH($B31&amp;"|Produktinnovation",Daten_Motive!$A$1:$A$331,0),$BK$8)="",NA(),INDEX(Daten_Motive!$A:$ZZ,MATCH($B31&amp;"|Produktinnovation",Daten_Motive!$A$1:$A$331,0),$BK$8)),NA()),"")</f>
        <v>6</v>
      </c>
      <c r="BD31" s="49">
        <f>IFERROR(BB31-IFERROR(IF(INDEX(Daten_Motive!$A:$ZZ,MATCH($B31&amp;"|Produktinnovation",Daten_Motive!$A$1:$A$331,0),$BK$9)="",NA(),INDEX(Daten_Motive!$A:$ZZ,MATCH($B31&amp;"|Produktinnovation",Daten_Motive!$A$1:$A$331,0),$BK$9)),NA()),"")</f>
        <v>-7</v>
      </c>
      <c r="BE31" s="50">
        <f>IFERROR(IF(INDEX(Daten_Motive!$A:$ZZ,MATCH($B31&amp;"|Umweltschutz",Daten_Motive!$A$1:$A$331,0),$BK$7)="","",INDEX(Daten_Motive!$A:$ZZ,MATCH($B31&amp;"|Umweltschutz",Daten_Motive!$A$1:$A$331,0),$BK$7)),"")</f>
        <v>21</v>
      </c>
      <c r="BF31" s="49">
        <f>IFERROR(BE31-IFERROR(IF(INDEX(Daten_Motive!$A:$ZZ,MATCH($B31&amp;"|Umweltschutz",Daten_Motive!$A$1:$A$331,0),$BK$8)="",NA(),INDEX(Daten_Motive!$A:$ZZ,MATCH($B31&amp;"|Umweltschutz",Daten_Motive!$A$1:$A$331,0),$BK$8)),NA()),"")</f>
        <v>2</v>
      </c>
      <c r="BG31" s="49">
        <f>IFERROR(BE31-IFERROR(IF(INDEX(Daten_Motive!$A:$ZZ,MATCH($B31&amp;"|Umweltschutz",Daten_Motive!$A$1:$A$331,0),$BK$9)="",NA(),INDEX(Daten_Motive!$A:$ZZ,MATCH($B31&amp;"|Umweltschutz",Daten_Motive!$A$1:$A$331,0),$BK$9)),NA()),"")</f>
        <v>-11</v>
      </c>
      <c r="BH31" s="50">
        <f>IFERROR(IF(INDEX(Daten_Motive!$A:$ZZ,MATCH($B31&amp;"|Kapazitätserweiterung",Daten_Motive!$A$1:$A$331,0),$BK$7)="","",INDEX(Daten_Motive!$A:$ZZ,MATCH($B31&amp;"|Kapazitätserweiterung",Daten_Motive!$A$1:$A$331,0),$BK$7)),"")</f>
        <v>13</v>
      </c>
      <c r="BI31" s="49">
        <f>IFERROR(BH31-IFERROR(IF(INDEX(Daten_Motive!$A:$ZZ,MATCH($B31&amp;"|Kapazitätserweiterung",Daten_Motive!$A$1:$A$331,0),$BK$8)="",NA(),INDEX(Daten_Motive!$A:$ZZ,MATCH($B31&amp;"|Kapazitätserweiterung",Daten_Motive!$A$1:$A$331,0),$BK$8)),NA()),"")</f>
        <v>2</v>
      </c>
      <c r="BJ31" s="49">
        <f>IFERROR(BH31-IFERROR(IF(INDEX(Daten_Motive!$A:$ZZ,MATCH($B31&amp;"|Kapazitätserweiterung",Daten_Motive!$A$1:$A$331,0),$BK$9)="",NA(),INDEX(Daten_Motive!$A:$ZZ,MATCH($B31&amp;"|Kapazitätserweiterung",Daten_Motive!$A$1:$A$331,0),$BK$9)),NA()),"")</f>
        <v>-8</v>
      </c>
    </row>
    <row r="32" spans="1:62" x14ac:dyDescent="0.25">
      <c r="A32" s="42">
        <v>24</v>
      </c>
      <c r="B32" s="52" t="str">
        <f>Listen!A25</f>
        <v>Schmuck, Musikinstrumente, Sportgeräte, Spielwaren und sonstige Waren</v>
      </c>
      <c r="C32" s="44" t="s">
        <v>4518</v>
      </c>
      <c r="D32" s="44" t="str">
        <f>Listen!B25</f>
        <v>Industrie</v>
      </c>
      <c r="E32" s="45">
        <f>IFERROR(IF(INDEX(Daten_Anteile!$A:$ZZ,MATCH($B32&amp;"|Lage|"&amp;$C$3,Daten_Anteile!$A$1:$A$2971,0),5)="","",INDEX(Daten_Anteile!$A:$ZZ,MATCH($B32&amp;"|Lage|"&amp;$C$3,Daten_Anteile!$A$1:$A$2971,0),5)),"")</f>
        <v>163</v>
      </c>
      <c r="F32" s="46">
        <f t="shared" si="0"/>
        <v>98.5</v>
      </c>
      <c r="G32" s="47">
        <f t="shared" si="1"/>
        <v>14.6</v>
      </c>
      <c r="H32" s="47">
        <f t="shared" si="2"/>
        <v>5.5</v>
      </c>
      <c r="I32" s="48">
        <f>IFERROR(IF(INDEX(Daten_Salden!$A:$ZZ,MATCH($B32&amp;"|Lage",Daten_Salden!$A$1:$A$331,0),$BK$1)="","",INDEX(Daten_Salden!$A:$ZZ,MATCH($B32&amp;"|Lage",Daten_Salden!$A$1:$A$331,0),$BK$1)),"")</f>
        <v>1</v>
      </c>
      <c r="J32" s="49">
        <f>IFERROR(I32-IFERROR(IF(INDEX(Daten_Salden!$A:$ZZ,MATCH($B32&amp;"|Lage",Daten_Salden!$A$1:$A$331,0),$BK$2)="",NA(),INDEX(Daten_Salden!$A:$ZZ,MATCH($B32&amp;"|Lage",Daten_Salden!$A$1:$A$331,0),$BK$2)),NA()),"")</f>
        <v>12</v>
      </c>
      <c r="K32" s="49">
        <f>IFERROR(I32-IFERROR(IF(INDEX(Daten_Salden!$A:$ZZ,MATCH($B32&amp;"|Lage",Daten_Salden!$A$1:$A$331,0),$BK$3)="",NA(),INDEX(Daten_Salden!$A:$ZZ,MATCH($B32&amp;"|Lage",Daten_Salden!$A$1:$A$331,0),$BK$3)),NA()),"")</f>
        <v>5</v>
      </c>
      <c r="L32" s="48">
        <f>IFERROR(IF(INDEX(Daten_Salden!$A:$ZZ,MATCH($B32&amp;"|Erwartungen",Daten_Salden!$A$1:$A$331,0),$BK$1)="","",INDEX(Daten_Salden!$A:$ZZ,MATCH($B32&amp;"|Erwartungen",Daten_Salden!$A$1:$A$331,0),$BK$1)),"")</f>
        <v>-4</v>
      </c>
      <c r="M32" s="49">
        <f>IFERROR(L32-IFERROR(IF(INDEX(Daten_Salden!$A:$ZZ,MATCH($B32&amp;"|Erwartungen",Daten_Salden!$A$1:$A$331,0),$BK$2)="",NA(),INDEX(Daten_Salden!$A:$ZZ,MATCH($B32&amp;"|Erwartungen",Daten_Salden!$A$1:$A$331,0),$BK$2)),NA()),"")</f>
        <v>17</v>
      </c>
      <c r="N32" s="49">
        <f>IFERROR(L32-IFERROR(IF(INDEX(Daten_Salden!$A:$ZZ,MATCH($B32&amp;"|Erwartungen",Daten_Salden!$A$1:$A$331,0),$BK$3)="",NA(),INDEX(Daten_Salden!$A:$ZZ,MATCH($B32&amp;"|Erwartungen",Daten_Salden!$A$1:$A$331,0),$BK$3)),NA()),"")</f>
        <v>6</v>
      </c>
      <c r="O32" s="48">
        <f>IFERROR(IF(INDEX(Daten_Salden!$A:$ZZ,MATCH($B32&amp;"|Export",Daten_Salden!$A$1:$A$331,0),$BK$1)="","",INDEX(Daten_Salden!$A:$ZZ,MATCH($B32&amp;"|Export",Daten_Salden!$A$1:$A$331,0),$BK$1)),"")</f>
        <v>7</v>
      </c>
      <c r="P32" s="49">
        <f>IFERROR(O32-IFERROR(IF(INDEX(Daten_Salden!$A:$ZZ,MATCH($B32&amp;"|Export",Daten_Salden!$A$1:$A$331,0),$BK$2)="",NA(),INDEX(Daten_Salden!$A:$ZZ,MATCH($B32&amp;"|Export",Daten_Salden!$A$1:$A$331,0),$BK$2)),NA()),"")</f>
        <v>22</v>
      </c>
      <c r="Q32" s="49">
        <f>IFERROR(O32-IFERROR(IF(INDEX(Daten_Salden!$A:$ZZ,MATCH($B32&amp;"|Export",Daten_Salden!$A$1:$A$331,0),$BK$3)="",NA(),INDEX(Daten_Salden!$A:$ZZ,MATCH($B32&amp;"|Export",Daten_Salden!$A$1:$A$331,0),$BK$3)),NA()),"")</f>
        <v>18</v>
      </c>
      <c r="R32" s="48">
        <f>IFERROR(IF(INDEX(Daten_Salden!$A:$ZZ,MATCH($B32&amp;"|Investitionen",Daten_Salden!$A$1:$A$331,0),$BK$1)="","",INDEX(Daten_Salden!$A:$ZZ,MATCH($B32&amp;"|Investitionen",Daten_Salden!$A$1:$A$331,0),$BK$1)),"")</f>
        <v>-21</v>
      </c>
      <c r="S32" s="49">
        <f>IFERROR(R32-IFERROR(IF(INDEX(Daten_Salden!$A:$ZZ,MATCH($B32&amp;"|Investitionen",Daten_Salden!$A$1:$A$331,0),$BK$2)="",NA(),INDEX(Daten_Salden!$A:$ZZ,MATCH($B32&amp;"|Investitionen",Daten_Salden!$A$1:$A$331,0),$BK$2)),NA()),"")</f>
        <v>-1</v>
      </c>
      <c r="T32" s="49">
        <f>IFERROR(R32-IFERROR(IF(INDEX(Daten_Salden!$A:$ZZ,MATCH($B32&amp;"|Investitionen",Daten_Salden!$A$1:$A$331,0),$BK$3)="",NA(),INDEX(Daten_Salden!$A:$ZZ,MATCH($B32&amp;"|Investitionen",Daten_Salden!$A$1:$A$331,0),$BK$3)),NA()),"")</f>
        <v>-5</v>
      </c>
      <c r="U32" s="48">
        <f>IFERROR(IF(INDEX(Daten_Salden!$A:$ZZ,MATCH($B32&amp;"|Beschäftigung",Daten_Salden!$A$1:$A$331,0),$BK$1)="","",INDEX(Daten_Salden!$A:$ZZ,MATCH($B32&amp;"|Beschäftigung",Daten_Salden!$A$1:$A$331,0),$BK$1)),"")</f>
        <v>-6</v>
      </c>
      <c r="V32" s="49">
        <f>IFERROR(U32-IFERROR(IF(INDEX(Daten_Salden!$A:$ZZ,MATCH($B32&amp;"|Beschäftigung",Daten_Salden!$A$1:$A$331,0),$BK$2)="",NA(),INDEX(Daten_Salden!$A:$ZZ,MATCH($B32&amp;"|Beschäftigung",Daten_Salden!$A$1:$A$331,0),$BK$2)),NA()),"")</f>
        <v>5</v>
      </c>
      <c r="W32" s="49">
        <f>IFERROR(U32-IFERROR(IF(INDEX(Daten_Salden!$A:$ZZ,MATCH($B32&amp;"|Beschäftigung",Daten_Salden!$A$1:$A$331,0),$BK$3)="",NA(),INDEX(Daten_Salden!$A:$ZZ,MATCH($B32&amp;"|Beschäftigung",Daten_Salden!$A$1:$A$331,0),$BK$3)),NA()),"")</f>
        <v>9</v>
      </c>
      <c r="X32" s="50">
        <f>IFERROR(IF(INDEX(Daten_Risiken!$A:$ZZ,MATCH($B32&amp;"|Energie- und Rohstoffpreise",Daten_Risiken!$A$1:$A$529,0),$BK$4)="","",INDEX(Daten_Risiken!$A:$ZZ,MATCH($B32&amp;"|Energie- und Rohstoffpreise",Daten_Risiken!$A$1:$A$529,0),$BK$4)),"")</f>
        <v>71</v>
      </c>
      <c r="Y32" s="49">
        <f>IFERROR(X32-IFERROR(IF(INDEX(Daten_Risiken!$A:$ZZ,MATCH($B32&amp;"|Energie- und Rohstoffpreise",Daten_Risiken!$A$1:$A$529,0),$BK$5)="",NA(),INDEX(Daten_Risiken!$A:$ZZ,MATCH($B32&amp;"|Energie- und Rohstoffpreise",Daten_Risiken!$A$1:$A$529,0),$BK$5)),NA()),"")</f>
        <v>-6</v>
      </c>
      <c r="Z32" s="49">
        <f>IFERROR(X32-IFERROR(IF(INDEX(Daten_Risiken!$A:$ZZ,MATCH($B32&amp;"|Energie- und Rohstoffpreise",Daten_Risiken!$A$1:$A$529,0),$BK$6)="",NA(),INDEX(Daten_Risiken!$A:$ZZ,MATCH($B32&amp;"|Energie- und Rohstoffpreise",Daten_Risiken!$A$1:$A$529,0),$BK$6)),NA()),"")</f>
        <v>19</v>
      </c>
      <c r="AA32" s="50">
        <f>IFERROR(IF(INDEX(Daten_Risiken!$A:$ZZ,MATCH($B32&amp;"|Arbeitskosten",Daten_Risiken!$A$1:$A$529,0),$BK$4)="","",INDEX(Daten_Risiken!$A:$ZZ,MATCH($B32&amp;"|Arbeitskosten",Daten_Risiken!$A$1:$A$529,0),$BK$4)),"")</f>
        <v>58</v>
      </c>
      <c r="AB32" s="49">
        <f>IFERROR(AA32-IFERROR(IF(INDEX(Daten_Risiken!$A:$ZZ,MATCH($B32&amp;"|Arbeitskosten",Daten_Risiken!$A$1:$A$529,0),$BK$5)="",NA(),INDEX(Daten_Risiken!$A:$ZZ,MATCH($B32&amp;"|Arbeitskosten",Daten_Risiken!$A$1:$A$529,0),$BK$5)),NA()),"")</f>
        <v>1</v>
      </c>
      <c r="AC32" s="49">
        <f>IFERROR(AA32-IFERROR(IF(INDEX(Daten_Risiken!$A:$ZZ,MATCH($B32&amp;"|Arbeitskosten",Daten_Risiken!$A$1:$A$529,0),$BK$6)="",NA(),INDEX(Daten_Risiken!$A:$ZZ,MATCH($B32&amp;"|Arbeitskosten",Daten_Risiken!$A$1:$A$529,0),$BK$6)),NA()),"")</f>
        <v>4</v>
      </c>
      <c r="AD32" s="50">
        <f>IFERROR(IF(INDEX(Daten_Risiken!$A:$ZZ,MATCH($B32&amp;"|Inlandsnachfrage",Daten_Risiken!$A$1:$A$529,0),$BK$4)="","",INDEX(Daten_Risiken!$A:$ZZ,MATCH($B32&amp;"|Inlandsnachfrage",Daten_Risiken!$A$1:$A$529,0),$BK$4)),"")</f>
        <v>62</v>
      </c>
      <c r="AE32" s="49">
        <f>IFERROR(AD32-IFERROR(IF(INDEX(Daten_Risiken!$A:$ZZ,MATCH($B32&amp;"|Inlandsnachfrage",Daten_Risiken!$A$1:$A$529,0),$BK$5)="",NA(),INDEX(Daten_Risiken!$A:$ZZ,MATCH($B32&amp;"|Inlandsnachfrage",Daten_Risiken!$A$1:$A$529,0),$BK$5)),NA()),"")</f>
        <v>-1</v>
      </c>
      <c r="AF32" s="49">
        <f>IFERROR(AD32-IFERROR(IF(INDEX(Daten_Risiken!$A:$ZZ,MATCH($B32&amp;"|Inlandsnachfrage",Daten_Risiken!$A$1:$A$529,0),$BK$6)="",NA(),INDEX(Daten_Risiken!$A:$ZZ,MATCH($B32&amp;"|Inlandsnachfrage",Daten_Risiken!$A$1:$A$529,0),$BK$6)),NA()),"")</f>
        <v>-3</v>
      </c>
      <c r="AG32" s="50">
        <f>IFERROR(IF(INDEX(Daten_Risiken!$A:$ZZ,MATCH($B32&amp;"|Wirtschaftspolitische Rahmenbedingungen",Daten_Risiken!$A$1:$A$529,0),$BK$4)="","",INDEX(Daten_Risiken!$A:$ZZ,MATCH($B32&amp;"|Wirtschaftspolitische Rahmenbedingungen",Daten_Risiken!$A$1:$A$529,0),$BK$4)),"")</f>
        <v>60</v>
      </c>
      <c r="AH32" s="49">
        <f>IFERROR(AG32-IFERROR(IF(INDEX(Daten_Risiken!$A:$ZZ,MATCH($B32&amp;"|Wirtschaftspolitische Rahmenbedingungen",Daten_Risiken!$A$1:$A$529,0),$BK$5)="",NA(),INDEX(Daten_Risiken!$A:$ZZ,MATCH($B32&amp;"|Wirtschaftspolitische Rahmenbedingungen",Daten_Risiken!$A$1:$A$529,0),$BK$5)),NA()),"")</f>
        <v>4</v>
      </c>
      <c r="AI32" s="49">
        <f>IFERROR(AG32-IFERROR(IF(INDEX(Daten_Risiken!$A:$ZZ,MATCH($B32&amp;"|Wirtschaftspolitische Rahmenbedingungen",Daten_Risiken!$A$1:$A$529,0),$BK$6)="",NA(),INDEX(Daten_Risiken!$A:$ZZ,MATCH($B32&amp;"|Wirtschaftspolitische Rahmenbedingungen",Daten_Risiken!$A$1:$A$529,0),$BK$6)),NA()),"")</f>
        <v>0</v>
      </c>
      <c r="AJ32" s="50">
        <f>IFERROR(IF(INDEX(Daten_Risiken!$A:$ZZ,MATCH($B32&amp;"|Fachkräftemangel",Daten_Risiken!$A$1:$A$529,0),$BK$4)="","",INDEX(Daten_Risiken!$A:$ZZ,MATCH($B32&amp;"|Fachkräftemangel",Daten_Risiken!$A$1:$A$529,0),$BK$4)),"")</f>
        <v>25</v>
      </c>
      <c r="AK32" s="49">
        <f>IFERROR(AJ32-IFERROR(IF(INDEX(Daten_Risiken!$A:$ZZ,MATCH($B32&amp;"|Fachkräftemangel",Daten_Risiken!$A$1:$A$529,0),$BK$5)="",NA(),INDEX(Daten_Risiken!$A:$ZZ,MATCH($B32&amp;"|Fachkräftemangel",Daten_Risiken!$A$1:$A$529,0),$BK$5)),NA()),"")</f>
        <v>-3</v>
      </c>
      <c r="AL32" s="49">
        <f>IFERROR(AJ32-IFERROR(IF(INDEX(Daten_Risiken!$A:$ZZ,MATCH($B32&amp;"|Fachkräftemangel",Daten_Risiken!$A$1:$A$529,0),$BK$6)="",NA(),INDEX(Daten_Risiken!$A:$ZZ,MATCH($B32&amp;"|Fachkräftemangel",Daten_Risiken!$A$1:$A$529,0),$BK$6)),NA()),"")</f>
        <v>-7</v>
      </c>
      <c r="AM32" s="50">
        <f>IFERROR(IF(INDEX(Daten_Risiken!$A:$ZZ,MATCH($B32&amp;"|Auslandsnachfrage",Daten_Risiken!$A$1:$A$529,0),$BK$4)="","",INDEX(Daten_Risiken!$A:$ZZ,MATCH($B32&amp;"|Auslandsnachfrage",Daten_Risiken!$A$1:$A$529,0),$BK$4)),"")</f>
        <v>35</v>
      </c>
      <c r="AN32" s="49">
        <f>IFERROR(AM32-IFERROR(IF(INDEX(Daten_Risiken!$A:$ZZ,MATCH($B32&amp;"|Auslandsnachfrage",Daten_Risiken!$A$1:$A$529,0),$BK$5)="",NA(),INDEX(Daten_Risiken!$A:$ZZ,MATCH($B32&amp;"|Auslandsnachfrage",Daten_Risiken!$A$1:$A$529,0),$BK$5)),NA()),"")</f>
        <v>-1</v>
      </c>
      <c r="AO32" s="49">
        <f>IFERROR(AM32-IFERROR(IF(INDEX(Daten_Risiken!$A:$ZZ,MATCH($B32&amp;"|Auslandsnachfrage",Daten_Risiken!$A$1:$A$529,0),$BK$6)="",NA(),INDEX(Daten_Risiken!$A:$ZZ,MATCH($B32&amp;"|Auslandsnachfrage",Daten_Risiken!$A$1:$A$529,0),$BK$6)),NA()),"")</f>
        <v>-6</v>
      </c>
      <c r="AP32" s="50">
        <f>IFERROR(IF(INDEX(Daten_Risiken!$A:$ZZ,MATCH($B32&amp;"|Finanzierung",Daten_Risiken!$A$1:$A$529,0),$BK$4)="","",INDEX(Daten_Risiken!$A:$ZZ,MATCH($B32&amp;"|Finanzierung",Daten_Risiken!$A$1:$A$529,0),$BK$4)),"")</f>
        <v>12</v>
      </c>
      <c r="AQ32" s="49">
        <f>IFERROR(AP32-IFERROR(IF(INDEX(Daten_Risiken!$A:$ZZ,MATCH($B32&amp;"|Finanzierung",Daten_Risiken!$A$1:$A$529,0),$BK$5)="",NA(),INDEX(Daten_Risiken!$A:$ZZ,MATCH($B32&amp;"|Finanzierung",Daten_Risiken!$A$1:$A$529,0),$BK$5)),NA()),"")</f>
        <v>1</v>
      </c>
      <c r="AR32" s="49">
        <f>IFERROR(AP32-IFERROR(IF(INDEX(Daten_Risiken!$A:$ZZ,MATCH($B32&amp;"|Finanzierung",Daten_Risiken!$A$1:$A$529,0),$BK$6)="",NA(),INDEX(Daten_Risiken!$A:$ZZ,MATCH($B32&amp;"|Finanzierung",Daten_Risiken!$A$1:$A$529,0),$BK$6)),NA()),"")</f>
        <v>0</v>
      </c>
      <c r="AS32" s="50">
        <f>IFERROR(IF(INDEX(Daten_Risiken!$A:$ZZ,MATCH($B32&amp;"|Wechselkurs",Daten_Risiken!$A$1:$A$529,0),$BK$4)="","",INDEX(Daten_Risiken!$A:$ZZ,MATCH($B32&amp;"|Wechselkurs",Daten_Risiken!$A$1:$A$529,0),$BK$4)),"")</f>
        <v>7</v>
      </c>
      <c r="AT32" s="49">
        <f>IFERROR(AS32-IFERROR(IF(INDEX(Daten_Risiken!$A:$ZZ,MATCH($B32&amp;"|Wechselkurs",Daten_Risiken!$A$1:$A$529,0),$BK$5)="",NA(),INDEX(Daten_Risiken!$A:$ZZ,MATCH($B32&amp;"|Wechselkurs",Daten_Risiken!$A$1:$A$529,0),$BK$5)),NA()),"")</f>
        <v>-1</v>
      </c>
      <c r="AU32" s="49">
        <f>IFERROR(AS32-IFERROR(IF(INDEX(Daten_Risiken!$A:$ZZ,MATCH($B32&amp;"|Wechselkurs",Daten_Risiken!$A$1:$A$529,0),$BK$6)="",NA(),INDEX(Daten_Risiken!$A:$ZZ,MATCH($B32&amp;"|Wechselkurs",Daten_Risiken!$A$1:$A$529,0),$BK$6)),NA()),"")</f>
        <v>-4</v>
      </c>
      <c r="AV32" s="50">
        <f>IFERROR(IF(INDEX(Daten_Motive!$A:$ZZ,MATCH($B32&amp;"|Ersatzbedarf",Daten_Motive!$A$1:$A$331,0),$BK$7)="","",INDEX(Daten_Motive!$A:$ZZ,MATCH($B32&amp;"|Ersatzbedarf",Daten_Motive!$A$1:$A$331,0),$BK$7)),"")</f>
        <v>67</v>
      </c>
      <c r="AW32" s="49">
        <f>IFERROR(AV32-IFERROR(IF(INDEX(Daten_Motive!$A:$ZZ,MATCH($B32&amp;"|Ersatzbedarf",Daten_Motive!$A$1:$A$331,0),$BK$8)="",NA(),INDEX(Daten_Motive!$A:$ZZ,MATCH($B32&amp;"|Ersatzbedarf",Daten_Motive!$A$1:$A$331,0),$BK$8)),NA()),"")</f>
        <v>3</v>
      </c>
      <c r="AX32" s="49">
        <f>IFERROR(AV32-IFERROR(IF(INDEX(Daten_Motive!$A:$ZZ,MATCH($B32&amp;"|Ersatzbedarf",Daten_Motive!$A$1:$A$331,0),$BK$9)="",NA(),INDEX(Daten_Motive!$A:$ZZ,MATCH($B32&amp;"|Ersatzbedarf",Daten_Motive!$A$1:$A$331,0),$BK$9)),NA()),"")</f>
        <v>9</v>
      </c>
      <c r="AY32" s="50">
        <f>IFERROR(IF(INDEX(Daten_Motive!$A:$ZZ,MATCH($B32&amp;"|Rationalisierung",Daten_Motive!$A$1:$A$331,0),$BK$7)="","",INDEX(Daten_Motive!$A:$ZZ,MATCH($B32&amp;"|Rationalisierung",Daten_Motive!$A$1:$A$331,0),$BK$7)),"")</f>
        <v>42</v>
      </c>
      <c r="AZ32" s="49">
        <f>IFERROR(AY32-IFERROR(IF(INDEX(Daten_Motive!$A:$ZZ,MATCH($B32&amp;"|Rationalisierung",Daten_Motive!$A$1:$A$331,0),$BK$8)="",NA(),INDEX(Daten_Motive!$A:$ZZ,MATCH($B32&amp;"|Rationalisierung",Daten_Motive!$A$1:$A$331,0),$BK$8)),NA()),"")</f>
        <v>-1</v>
      </c>
      <c r="BA32" s="49">
        <f>IFERROR(AY32-IFERROR(IF(INDEX(Daten_Motive!$A:$ZZ,MATCH($B32&amp;"|Rationalisierung",Daten_Motive!$A$1:$A$331,0),$BK$9)="",NA(),INDEX(Daten_Motive!$A:$ZZ,MATCH($B32&amp;"|Rationalisierung",Daten_Motive!$A$1:$A$331,0),$BK$9)),NA()),"")</f>
        <v>2</v>
      </c>
      <c r="BB32" s="50">
        <f>IFERROR(IF(INDEX(Daten_Motive!$A:$ZZ,MATCH($B32&amp;"|Produktinnovation",Daten_Motive!$A$1:$A$331,0),$BK$7)="","",INDEX(Daten_Motive!$A:$ZZ,MATCH($B32&amp;"|Produktinnovation",Daten_Motive!$A$1:$A$331,0),$BK$7)),"")</f>
        <v>33</v>
      </c>
      <c r="BC32" s="49">
        <f>IFERROR(BB32-IFERROR(IF(INDEX(Daten_Motive!$A:$ZZ,MATCH($B32&amp;"|Produktinnovation",Daten_Motive!$A$1:$A$331,0),$BK$8)="",NA(),INDEX(Daten_Motive!$A:$ZZ,MATCH($B32&amp;"|Produktinnovation",Daten_Motive!$A$1:$A$331,0),$BK$8)),NA()),"")</f>
        <v>-3</v>
      </c>
      <c r="BD32" s="49">
        <f>IFERROR(BB32-IFERROR(IF(INDEX(Daten_Motive!$A:$ZZ,MATCH($B32&amp;"|Produktinnovation",Daten_Motive!$A$1:$A$331,0),$BK$9)="",NA(),INDEX(Daten_Motive!$A:$ZZ,MATCH($B32&amp;"|Produktinnovation",Daten_Motive!$A$1:$A$331,0),$BK$9)),NA()),"")</f>
        <v>-1</v>
      </c>
      <c r="BE32" s="50">
        <f>IFERROR(IF(INDEX(Daten_Motive!$A:$ZZ,MATCH($B32&amp;"|Umweltschutz",Daten_Motive!$A$1:$A$331,0),$BK$7)="","",INDEX(Daten_Motive!$A:$ZZ,MATCH($B32&amp;"|Umweltschutz",Daten_Motive!$A$1:$A$331,0),$BK$7)),"")</f>
        <v>14</v>
      </c>
      <c r="BF32" s="49">
        <f>IFERROR(BE32-IFERROR(IF(INDEX(Daten_Motive!$A:$ZZ,MATCH($B32&amp;"|Umweltschutz",Daten_Motive!$A$1:$A$331,0),$BK$8)="",NA(),INDEX(Daten_Motive!$A:$ZZ,MATCH($B32&amp;"|Umweltschutz",Daten_Motive!$A$1:$A$331,0),$BK$8)),NA()),"")</f>
        <v>-2</v>
      </c>
      <c r="BG32" s="49">
        <f>IFERROR(BE32-IFERROR(IF(INDEX(Daten_Motive!$A:$ZZ,MATCH($B32&amp;"|Umweltschutz",Daten_Motive!$A$1:$A$331,0),$BK$9)="",NA(),INDEX(Daten_Motive!$A:$ZZ,MATCH($B32&amp;"|Umweltschutz",Daten_Motive!$A$1:$A$331,0),$BK$9)),NA()),"")</f>
        <v>-1</v>
      </c>
      <c r="BH32" s="50">
        <f>IFERROR(IF(INDEX(Daten_Motive!$A:$ZZ,MATCH($B32&amp;"|Kapazitätserweiterung",Daten_Motive!$A$1:$A$331,0),$BK$7)="","",INDEX(Daten_Motive!$A:$ZZ,MATCH($B32&amp;"|Kapazitätserweiterung",Daten_Motive!$A$1:$A$331,0),$BK$7)),"")</f>
        <v>23</v>
      </c>
      <c r="BI32" s="49">
        <f>IFERROR(BH32-IFERROR(IF(INDEX(Daten_Motive!$A:$ZZ,MATCH($B32&amp;"|Kapazitätserweiterung",Daten_Motive!$A$1:$A$331,0),$BK$8)="",NA(),INDEX(Daten_Motive!$A:$ZZ,MATCH($B32&amp;"|Kapazitätserweiterung",Daten_Motive!$A$1:$A$331,0),$BK$8)),NA()),"")</f>
        <v>0</v>
      </c>
      <c r="BJ32" s="49">
        <f>IFERROR(BH32-IFERROR(IF(INDEX(Daten_Motive!$A:$ZZ,MATCH($B32&amp;"|Kapazitätserweiterung",Daten_Motive!$A$1:$A$331,0),$BK$9)="",NA(),INDEX(Daten_Motive!$A:$ZZ,MATCH($B32&amp;"|Kapazitätserweiterung",Daten_Motive!$A$1:$A$331,0),$BK$9)),NA()),"")</f>
        <v>3</v>
      </c>
    </row>
    <row r="33" spans="1:62" x14ac:dyDescent="0.25">
      <c r="A33" s="42">
        <v>25</v>
      </c>
      <c r="B33" s="52" t="str">
        <f>Listen!A26</f>
        <v>Reparatur und Installation von Maschinen und Ausrüstungen</v>
      </c>
      <c r="C33" s="44" t="s">
        <v>4519</v>
      </c>
      <c r="D33" s="44" t="str">
        <f>Listen!B26</f>
        <v>Industrie</v>
      </c>
      <c r="E33" s="45">
        <f>IFERROR(IF(INDEX(Daten_Anteile!$A:$ZZ,MATCH($B33&amp;"|Lage|"&amp;$C$3,Daten_Anteile!$A$1:$A$2971,0),5)="","",INDEX(Daten_Anteile!$A:$ZZ,MATCH($B33&amp;"|Lage|"&amp;$C$3,Daten_Anteile!$A$1:$A$2971,0),5)),"")</f>
        <v>101</v>
      </c>
      <c r="F33" s="46">
        <f t="shared" si="0"/>
        <v>105.7</v>
      </c>
      <c r="G33" s="47">
        <f t="shared" si="1"/>
        <v>7.8</v>
      </c>
      <c r="H33" s="47">
        <f t="shared" si="2"/>
        <v>0.3</v>
      </c>
      <c r="I33" s="48">
        <f>IFERROR(IF(INDEX(Daten_Salden!$A:$ZZ,MATCH($B33&amp;"|Lage",Daten_Salden!$A$1:$A$331,0),$BK$1)="","",INDEX(Daten_Salden!$A:$ZZ,MATCH($B33&amp;"|Lage",Daten_Salden!$A$1:$A$331,0),$BK$1)),"")</f>
        <v>14</v>
      </c>
      <c r="J33" s="49">
        <f>IFERROR(I33-IFERROR(IF(INDEX(Daten_Salden!$A:$ZZ,MATCH($B33&amp;"|Lage",Daten_Salden!$A$1:$A$331,0),$BK$2)="",NA(),INDEX(Daten_Salden!$A:$ZZ,MATCH($B33&amp;"|Lage",Daten_Salden!$A$1:$A$331,0),$BK$2)),NA()),"")</f>
        <v>11</v>
      </c>
      <c r="K33" s="49">
        <f>IFERROR(I33-IFERROR(IF(INDEX(Daten_Salden!$A:$ZZ,MATCH($B33&amp;"|Lage",Daten_Salden!$A$1:$A$331,0),$BK$3)="",NA(),INDEX(Daten_Salden!$A:$ZZ,MATCH($B33&amp;"|Lage",Daten_Salden!$A$1:$A$331,0),$BK$3)),NA()),"")</f>
        <v>4</v>
      </c>
      <c r="L33" s="48">
        <f>IFERROR(IF(INDEX(Daten_Salden!$A:$ZZ,MATCH($B33&amp;"|Erwartungen",Daten_Salden!$A$1:$A$331,0),$BK$1)="","",INDEX(Daten_Salden!$A:$ZZ,MATCH($B33&amp;"|Erwartungen",Daten_Salden!$A$1:$A$331,0),$BK$1)),"")</f>
        <v>-2</v>
      </c>
      <c r="M33" s="49">
        <f>IFERROR(L33-IFERROR(IF(INDEX(Daten_Salden!$A:$ZZ,MATCH($B33&amp;"|Erwartungen",Daten_Salden!$A$1:$A$331,0),$BK$2)="",NA(),INDEX(Daten_Salden!$A:$ZZ,MATCH($B33&amp;"|Erwartungen",Daten_Salden!$A$1:$A$331,0),$BK$2)),NA()),"")</f>
        <v>5</v>
      </c>
      <c r="N33" s="49">
        <f>IFERROR(L33-IFERROR(IF(INDEX(Daten_Salden!$A:$ZZ,MATCH($B33&amp;"|Erwartungen",Daten_Salden!$A$1:$A$331,0),$BK$3)="",NA(),INDEX(Daten_Salden!$A:$ZZ,MATCH($B33&amp;"|Erwartungen",Daten_Salden!$A$1:$A$331,0),$BK$3)),NA()),"")</f>
        <v>-3</v>
      </c>
      <c r="O33" s="48">
        <f>IFERROR(IF(INDEX(Daten_Salden!$A:$ZZ,MATCH($B33&amp;"|Export",Daten_Salden!$A$1:$A$331,0),$BK$1)="","",INDEX(Daten_Salden!$A:$ZZ,MATCH($B33&amp;"|Export",Daten_Salden!$A$1:$A$331,0),$BK$1)),"")</f>
        <v>16</v>
      </c>
      <c r="P33" s="49">
        <f>IFERROR(O33-IFERROR(IF(INDEX(Daten_Salden!$A:$ZZ,MATCH($B33&amp;"|Export",Daten_Salden!$A$1:$A$331,0),$BK$2)="",NA(),INDEX(Daten_Salden!$A:$ZZ,MATCH($B33&amp;"|Export",Daten_Salden!$A$1:$A$331,0),$BK$2)),NA()),"")</f>
        <v>29</v>
      </c>
      <c r="Q33" s="49">
        <f>IFERROR(O33-IFERROR(IF(INDEX(Daten_Salden!$A:$ZZ,MATCH($B33&amp;"|Export",Daten_Salden!$A$1:$A$331,0),$BK$3)="",NA(),INDEX(Daten_Salden!$A:$ZZ,MATCH($B33&amp;"|Export",Daten_Salden!$A$1:$A$331,0),$BK$3)),NA()),"")</f>
        <v>9</v>
      </c>
      <c r="R33" s="48">
        <f>IFERROR(IF(INDEX(Daten_Salden!$A:$ZZ,MATCH($B33&amp;"|Investitionen",Daten_Salden!$A$1:$A$331,0),$BK$1)="","",INDEX(Daten_Salden!$A:$ZZ,MATCH($B33&amp;"|Investitionen",Daten_Salden!$A$1:$A$331,0),$BK$1)),"")</f>
        <v>-2</v>
      </c>
      <c r="S33" s="49">
        <f>IFERROR(R33-IFERROR(IF(INDEX(Daten_Salden!$A:$ZZ,MATCH($B33&amp;"|Investitionen",Daten_Salden!$A$1:$A$331,0),$BK$2)="",NA(),INDEX(Daten_Salden!$A:$ZZ,MATCH($B33&amp;"|Investitionen",Daten_Salden!$A$1:$A$331,0),$BK$2)),NA()),"")</f>
        <v>21</v>
      </c>
      <c r="T33" s="49">
        <f>IFERROR(R33-IFERROR(IF(INDEX(Daten_Salden!$A:$ZZ,MATCH($B33&amp;"|Investitionen",Daten_Salden!$A$1:$A$331,0),$BK$3)="",NA(),INDEX(Daten_Salden!$A:$ZZ,MATCH($B33&amp;"|Investitionen",Daten_Salden!$A$1:$A$331,0),$BK$3)),NA()),"")</f>
        <v>4</v>
      </c>
      <c r="U33" s="48">
        <f>IFERROR(IF(INDEX(Daten_Salden!$A:$ZZ,MATCH($B33&amp;"|Beschäftigung",Daten_Salden!$A$1:$A$331,0),$BK$1)="","",INDEX(Daten_Salden!$A:$ZZ,MATCH($B33&amp;"|Beschäftigung",Daten_Salden!$A$1:$A$331,0),$BK$1)),"")</f>
        <v>-10</v>
      </c>
      <c r="V33" s="49">
        <f>IFERROR(U33-IFERROR(IF(INDEX(Daten_Salden!$A:$ZZ,MATCH($B33&amp;"|Beschäftigung",Daten_Salden!$A$1:$A$331,0),$BK$2)="",NA(),INDEX(Daten_Salden!$A:$ZZ,MATCH($B33&amp;"|Beschäftigung",Daten_Salden!$A$1:$A$331,0),$BK$2)),NA()),"")</f>
        <v>3</v>
      </c>
      <c r="W33" s="49">
        <f>IFERROR(U33-IFERROR(IF(INDEX(Daten_Salden!$A:$ZZ,MATCH($B33&amp;"|Beschäftigung",Daten_Salden!$A$1:$A$331,0),$BK$3)="",NA(),INDEX(Daten_Salden!$A:$ZZ,MATCH($B33&amp;"|Beschäftigung",Daten_Salden!$A$1:$A$331,0),$BK$3)),NA()),"")</f>
        <v>-4</v>
      </c>
      <c r="X33" s="50">
        <f>IFERROR(IF(INDEX(Daten_Risiken!$A:$ZZ,MATCH($B33&amp;"|Energie- und Rohstoffpreise",Daten_Risiken!$A$1:$A$529,0),$BK$4)="","",INDEX(Daten_Risiken!$A:$ZZ,MATCH($B33&amp;"|Energie- und Rohstoffpreise",Daten_Risiken!$A$1:$A$529,0),$BK$4)),"")</f>
        <v>63</v>
      </c>
      <c r="Y33" s="49">
        <f>IFERROR(X33-IFERROR(IF(INDEX(Daten_Risiken!$A:$ZZ,MATCH($B33&amp;"|Energie- und Rohstoffpreise",Daten_Risiken!$A$1:$A$529,0),$BK$5)="",NA(),INDEX(Daten_Risiken!$A:$ZZ,MATCH($B33&amp;"|Energie- und Rohstoffpreise",Daten_Risiken!$A$1:$A$529,0),$BK$5)),NA()),"")</f>
        <v>-20</v>
      </c>
      <c r="Z33" s="49">
        <f>IFERROR(X33-IFERROR(IF(INDEX(Daten_Risiken!$A:$ZZ,MATCH($B33&amp;"|Energie- und Rohstoffpreise",Daten_Risiken!$A$1:$A$529,0),$BK$6)="",NA(),INDEX(Daten_Risiken!$A:$ZZ,MATCH($B33&amp;"|Energie- und Rohstoffpreise",Daten_Risiken!$A$1:$A$529,0),$BK$6)),NA()),"")</f>
        <v>7</v>
      </c>
      <c r="AA33" s="50">
        <f>IFERROR(IF(INDEX(Daten_Risiken!$A:$ZZ,MATCH($B33&amp;"|Arbeitskosten",Daten_Risiken!$A$1:$A$529,0),$BK$4)="","",INDEX(Daten_Risiken!$A:$ZZ,MATCH($B33&amp;"|Arbeitskosten",Daten_Risiken!$A$1:$A$529,0),$BK$4)),"")</f>
        <v>50</v>
      </c>
      <c r="AB33" s="49">
        <f>IFERROR(AA33-IFERROR(IF(INDEX(Daten_Risiken!$A:$ZZ,MATCH($B33&amp;"|Arbeitskosten",Daten_Risiken!$A$1:$A$529,0),$BK$5)="",NA(),INDEX(Daten_Risiken!$A:$ZZ,MATCH($B33&amp;"|Arbeitskosten",Daten_Risiken!$A$1:$A$529,0),$BK$5)),NA()),"")</f>
        <v>-3</v>
      </c>
      <c r="AC33" s="49">
        <f>IFERROR(AA33-IFERROR(IF(INDEX(Daten_Risiken!$A:$ZZ,MATCH($B33&amp;"|Arbeitskosten",Daten_Risiken!$A$1:$A$529,0),$BK$6)="",NA(),INDEX(Daten_Risiken!$A:$ZZ,MATCH($B33&amp;"|Arbeitskosten",Daten_Risiken!$A$1:$A$529,0),$BK$6)),NA()),"")</f>
        <v>-10</v>
      </c>
      <c r="AD33" s="50">
        <f>IFERROR(IF(INDEX(Daten_Risiken!$A:$ZZ,MATCH($B33&amp;"|Inlandsnachfrage",Daten_Risiken!$A$1:$A$529,0),$BK$4)="","",INDEX(Daten_Risiken!$A:$ZZ,MATCH($B33&amp;"|Inlandsnachfrage",Daten_Risiken!$A$1:$A$529,0),$BK$4)),"")</f>
        <v>50</v>
      </c>
      <c r="AE33" s="49">
        <f>IFERROR(AD33-IFERROR(IF(INDEX(Daten_Risiken!$A:$ZZ,MATCH($B33&amp;"|Inlandsnachfrage",Daten_Risiken!$A$1:$A$529,0),$BK$5)="",NA(),INDEX(Daten_Risiken!$A:$ZZ,MATCH($B33&amp;"|Inlandsnachfrage",Daten_Risiken!$A$1:$A$529,0),$BK$5)),NA()),"")</f>
        <v>-12</v>
      </c>
      <c r="AF33" s="49">
        <f>IFERROR(AD33-IFERROR(IF(INDEX(Daten_Risiken!$A:$ZZ,MATCH($B33&amp;"|Inlandsnachfrage",Daten_Risiken!$A$1:$A$529,0),$BK$6)="",NA(),INDEX(Daten_Risiken!$A:$ZZ,MATCH($B33&amp;"|Inlandsnachfrage",Daten_Risiken!$A$1:$A$529,0),$BK$6)),NA()),"")</f>
        <v>-9</v>
      </c>
      <c r="AG33" s="50">
        <f>IFERROR(IF(INDEX(Daten_Risiken!$A:$ZZ,MATCH($B33&amp;"|Wirtschaftspolitische Rahmenbedingungen",Daten_Risiken!$A$1:$A$529,0),$BK$4)="","",INDEX(Daten_Risiken!$A:$ZZ,MATCH($B33&amp;"|Wirtschaftspolitische Rahmenbedingungen",Daten_Risiken!$A$1:$A$529,0),$BK$4)),"")</f>
        <v>59</v>
      </c>
      <c r="AH33" s="49">
        <f>IFERROR(AG33-IFERROR(IF(INDEX(Daten_Risiken!$A:$ZZ,MATCH($B33&amp;"|Wirtschaftspolitische Rahmenbedingungen",Daten_Risiken!$A$1:$A$529,0),$BK$5)="",NA(),INDEX(Daten_Risiken!$A:$ZZ,MATCH($B33&amp;"|Wirtschaftspolitische Rahmenbedingungen",Daten_Risiken!$A$1:$A$529,0),$BK$5)),NA()),"")</f>
        <v>-1</v>
      </c>
      <c r="AI33" s="49">
        <f>IFERROR(AG33-IFERROR(IF(INDEX(Daten_Risiken!$A:$ZZ,MATCH($B33&amp;"|Wirtschaftspolitische Rahmenbedingungen",Daten_Risiken!$A$1:$A$529,0),$BK$6)="",NA(),INDEX(Daten_Risiken!$A:$ZZ,MATCH($B33&amp;"|Wirtschaftspolitische Rahmenbedingungen",Daten_Risiken!$A$1:$A$529,0),$BK$6)),NA()),"")</f>
        <v>-2</v>
      </c>
      <c r="AJ33" s="50">
        <f>IFERROR(IF(INDEX(Daten_Risiken!$A:$ZZ,MATCH($B33&amp;"|Fachkräftemangel",Daten_Risiken!$A$1:$A$529,0),$BK$4)="","",INDEX(Daten_Risiken!$A:$ZZ,MATCH($B33&amp;"|Fachkräftemangel",Daten_Risiken!$A$1:$A$529,0),$BK$4)),"")</f>
        <v>46</v>
      </c>
      <c r="AK33" s="49">
        <f>IFERROR(AJ33-IFERROR(IF(INDEX(Daten_Risiken!$A:$ZZ,MATCH($B33&amp;"|Fachkräftemangel",Daten_Risiken!$A$1:$A$529,0),$BK$5)="",NA(),INDEX(Daten_Risiken!$A:$ZZ,MATCH($B33&amp;"|Fachkräftemangel",Daten_Risiken!$A$1:$A$529,0),$BK$5)),NA()),"")</f>
        <v>5</v>
      </c>
      <c r="AL33" s="49">
        <f>IFERROR(AJ33-IFERROR(IF(INDEX(Daten_Risiken!$A:$ZZ,MATCH($B33&amp;"|Fachkräftemangel",Daten_Risiken!$A$1:$A$529,0),$BK$6)="",NA(),INDEX(Daten_Risiken!$A:$ZZ,MATCH($B33&amp;"|Fachkräftemangel",Daten_Risiken!$A$1:$A$529,0),$BK$6)),NA()),"")</f>
        <v>-7</v>
      </c>
      <c r="AM33" s="50">
        <f>IFERROR(IF(INDEX(Daten_Risiken!$A:$ZZ,MATCH($B33&amp;"|Auslandsnachfrage",Daten_Risiken!$A$1:$A$529,0),$BK$4)="","",INDEX(Daten_Risiken!$A:$ZZ,MATCH($B33&amp;"|Auslandsnachfrage",Daten_Risiken!$A$1:$A$529,0),$BK$4)),"")</f>
        <v>19</v>
      </c>
      <c r="AN33" s="49">
        <f>IFERROR(AM33-IFERROR(IF(INDEX(Daten_Risiken!$A:$ZZ,MATCH($B33&amp;"|Auslandsnachfrage",Daten_Risiken!$A$1:$A$529,0),$BK$5)="",NA(),INDEX(Daten_Risiken!$A:$ZZ,MATCH($B33&amp;"|Auslandsnachfrage",Daten_Risiken!$A$1:$A$529,0),$BK$5)),NA()),"")</f>
        <v>-2</v>
      </c>
      <c r="AO33" s="49">
        <f>IFERROR(AM33-IFERROR(IF(INDEX(Daten_Risiken!$A:$ZZ,MATCH($B33&amp;"|Auslandsnachfrage",Daten_Risiken!$A$1:$A$529,0),$BK$6)="",NA(),INDEX(Daten_Risiken!$A:$ZZ,MATCH($B33&amp;"|Auslandsnachfrage",Daten_Risiken!$A$1:$A$529,0),$BK$6)),NA()),"")</f>
        <v>2</v>
      </c>
      <c r="AP33" s="50">
        <f>IFERROR(IF(INDEX(Daten_Risiken!$A:$ZZ,MATCH($B33&amp;"|Finanzierung",Daten_Risiken!$A$1:$A$529,0),$BK$4)="","",INDEX(Daten_Risiken!$A:$ZZ,MATCH($B33&amp;"|Finanzierung",Daten_Risiken!$A$1:$A$529,0),$BK$4)),"")</f>
        <v>15</v>
      </c>
      <c r="AQ33" s="49">
        <f>IFERROR(AP33-IFERROR(IF(INDEX(Daten_Risiken!$A:$ZZ,MATCH($B33&amp;"|Finanzierung",Daten_Risiken!$A$1:$A$529,0),$BK$5)="",NA(),INDEX(Daten_Risiken!$A:$ZZ,MATCH($B33&amp;"|Finanzierung",Daten_Risiken!$A$1:$A$529,0),$BK$5)),NA()),"")</f>
        <v>-3</v>
      </c>
      <c r="AR33" s="49">
        <f>IFERROR(AP33-IFERROR(IF(INDEX(Daten_Risiken!$A:$ZZ,MATCH($B33&amp;"|Finanzierung",Daten_Risiken!$A$1:$A$529,0),$BK$6)="",NA(),INDEX(Daten_Risiken!$A:$ZZ,MATCH($B33&amp;"|Finanzierung",Daten_Risiken!$A$1:$A$529,0),$BK$6)),NA()),"")</f>
        <v>1</v>
      </c>
      <c r="AS33" s="50">
        <f>IFERROR(IF(INDEX(Daten_Risiken!$A:$ZZ,MATCH($B33&amp;"|Wechselkurs",Daten_Risiken!$A$1:$A$529,0),$BK$4)="","",INDEX(Daten_Risiken!$A:$ZZ,MATCH($B33&amp;"|Wechselkurs",Daten_Risiken!$A$1:$A$529,0),$BK$4)),"")</f>
        <v>3</v>
      </c>
      <c r="AT33" s="49">
        <f>IFERROR(AS33-IFERROR(IF(INDEX(Daten_Risiken!$A:$ZZ,MATCH($B33&amp;"|Wechselkurs",Daten_Risiken!$A$1:$A$529,0),$BK$5)="",NA(),INDEX(Daten_Risiken!$A:$ZZ,MATCH($B33&amp;"|Wechselkurs",Daten_Risiken!$A$1:$A$529,0),$BK$5)),NA()),"")</f>
        <v>1</v>
      </c>
      <c r="AU33" s="49">
        <f>IFERROR(AS33-IFERROR(IF(INDEX(Daten_Risiken!$A:$ZZ,MATCH($B33&amp;"|Wechselkurs",Daten_Risiken!$A$1:$A$529,0),$BK$6)="",NA(),INDEX(Daten_Risiken!$A:$ZZ,MATCH($B33&amp;"|Wechselkurs",Daten_Risiken!$A$1:$A$529,0),$BK$6)),NA()),"")</f>
        <v>1</v>
      </c>
      <c r="AV33" s="50">
        <f>IFERROR(IF(INDEX(Daten_Motive!$A:$ZZ,MATCH($B33&amp;"|Ersatzbedarf",Daten_Motive!$A$1:$A$331,0),$BK$7)="","",INDEX(Daten_Motive!$A:$ZZ,MATCH($B33&amp;"|Ersatzbedarf",Daten_Motive!$A$1:$A$331,0),$BK$7)),"")</f>
        <v>64</v>
      </c>
      <c r="AW33" s="49">
        <f>IFERROR(AV33-IFERROR(IF(INDEX(Daten_Motive!$A:$ZZ,MATCH($B33&amp;"|Ersatzbedarf",Daten_Motive!$A$1:$A$331,0),$BK$8)="",NA(),INDEX(Daten_Motive!$A:$ZZ,MATCH($B33&amp;"|Ersatzbedarf",Daten_Motive!$A$1:$A$331,0),$BK$8)),NA()),"")</f>
        <v>5</v>
      </c>
      <c r="AX33" s="49">
        <f>IFERROR(AV33-IFERROR(IF(INDEX(Daten_Motive!$A:$ZZ,MATCH($B33&amp;"|Ersatzbedarf",Daten_Motive!$A$1:$A$331,0),$BK$9)="",NA(),INDEX(Daten_Motive!$A:$ZZ,MATCH($B33&amp;"|Ersatzbedarf",Daten_Motive!$A$1:$A$331,0),$BK$9)),NA()),"")</f>
        <v>13</v>
      </c>
      <c r="AY33" s="50">
        <f>IFERROR(IF(INDEX(Daten_Motive!$A:$ZZ,MATCH($B33&amp;"|Rationalisierung",Daten_Motive!$A$1:$A$331,0),$BK$7)="","",INDEX(Daten_Motive!$A:$ZZ,MATCH($B33&amp;"|Rationalisierung",Daten_Motive!$A$1:$A$331,0),$BK$7)),"")</f>
        <v>34</v>
      </c>
      <c r="AZ33" s="49">
        <f>IFERROR(AY33-IFERROR(IF(INDEX(Daten_Motive!$A:$ZZ,MATCH($B33&amp;"|Rationalisierung",Daten_Motive!$A$1:$A$331,0),$BK$8)="",NA(),INDEX(Daten_Motive!$A:$ZZ,MATCH($B33&amp;"|Rationalisierung",Daten_Motive!$A$1:$A$331,0),$BK$8)),NA()),"")</f>
        <v>1</v>
      </c>
      <c r="BA33" s="49">
        <f>IFERROR(AY33-IFERROR(IF(INDEX(Daten_Motive!$A:$ZZ,MATCH($B33&amp;"|Rationalisierung",Daten_Motive!$A$1:$A$331,0),$BK$9)="",NA(),INDEX(Daten_Motive!$A:$ZZ,MATCH($B33&amp;"|Rationalisierung",Daten_Motive!$A$1:$A$331,0),$BK$9)),NA()),"")</f>
        <v>8</v>
      </c>
      <c r="BB33" s="50">
        <f>IFERROR(IF(INDEX(Daten_Motive!$A:$ZZ,MATCH($B33&amp;"|Produktinnovation",Daten_Motive!$A$1:$A$331,0),$BK$7)="","",INDEX(Daten_Motive!$A:$ZZ,MATCH($B33&amp;"|Produktinnovation",Daten_Motive!$A$1:$A$331,0),$BK$7)),"")</f>
        <v>23</v>
      </c>
      <c r="BC33" s="49">
        <f>IFERROR(BB33-IFERROR(IF(INDEX(Daten_Motive!$A:$ZZ,MATCH($B33&amp;"|Produktinnovation",Daten_Motive!$A$1:$A$331,0),$BK$8)="",NA(),INDEX(Daten_Motive!$A:$ZZ,MATCH($B33&amp;"|Produktinnovation",Daten_Motive!$A$1:$A$331,0),$BK$8)),NA()),"")</f>
        <v>-1</v>
      </c>
      <c r="BD33" s="49">
        <f>IFERROR(BB33-IFERROR(IF(INDEX(Daten_Motive!$A:$ZZ,MATCH($B33&amp;"|Produktinnovation",Daten_Motive!$A$1:$A$331,0),$BK$9)="",NA(),INDEX(Daten_Motive!$A:$ZZ,MATCH($B33&amp;"|Produktinnovation",Daten_Motive!$A$1:$A$331,0),$BK$9)),NA()),"")</f>
        <v>-6</v>
      </c>
      <c r="BE33" s="50">
        <f>IFERROR(IF(INDEX(Daten_Motive!$A:$ZZ,MATCH($B33&amp;"|Umweltschutz",Daten_Motive!$A$1:$A$331,0),$BK$7)="","",INDEX(Daten_Motive!$A:$ZZ,MATCH($B33&amp;"|Umweltschutz",Daten_Motive!$A$1:$A$331,0),$BK$7)),"")</f>
        <v>9</v>
      </c>
      <c r="BF33" s="49">
        <f>IFERROR(BE33-IFERROR(IF(INDEX(Daten_Motive!$A:$ZZ,MATCH($B33&amp;"|Umweltschutz",Daten_Motive!$A$1:$A$331,0),$BK$8)="",NA(),INDEX(Daten_Motive!$A:$ZZ,MATCH($B33&amp;"|Umweltschutz",Daten_Motive!$A$1:$A$331,0),$BK$8)),NA()),"")</f>
        <v>-5</v>
      </c>
      <c r="BG33" s="49">
        <f>IFERROR(BE33-IFERROR(IF(INDEX(Daten_Motive!$A:$ZZ,MATCH($B33&amp;"|Umweltschutz",Daten_Motive!$A$1:$A$331,0),$BK$9)="",NA(),INDEX(Daten_Motive!$A:$ZZ,MATCH($B33&amp;"|Umweltschutz",Daten_Motive!$A$1:$A$331,0),$BK$9)),NA()),"")</f>
        <v>-6</v>
      </c>
      <c r="BH33" s="50">
        <f>IFERROR(IF(INDEX(Daten_Motive!$A:$ZZ,MATCH($B33&amp;"|Kapazitätserweiterung",Daten_Motive!$A$1:$A$331,0),$BK$7)="","",INDEX(Daten_Motive!$A:$ZZ,MATCH($B33&amp;"|Kapazitätserweiterung",Daten_Motive!$A$1:$A$331,0),$BK$7)),"")</f>
        <v>36</v>
      </c>
      <c r="BI33" s="49">
        <f>IFERROR(BH33-IFERROR(IF(INDEX(Daten_Motive!$A:$ZZ,MATCH($B33&amp;"|Kapazitätserweiterung",Daten_Motive!$A$1:$A$331,0),$BK$8)="",NA(),INDEX(Daten_Motive!$A:$ZZ,MATCH($B33&amp;"|Kapazitätserweiterung",Daten_Motive!$A$1:$A$331,0),$BK$8)),NA()),"")</f>
        <v>12</v>
      </c>
      <c r="BJ33" s="49">
        <f>IFERROR(BH33-IFERROR(IF(INDEX(Daten_Motive!$A:$ZZ,MATCH($B33&amp;"|Kapazitätserweiterung",Daten_Motive!$A$1:$A$331,0),$BK$9)="",NA(),INDEX(Daten_Motive!$A:$ZZ,MATCH($B33&amp;"|Kapazitätserweiterung",Daten_Motive!$A$1:$A$331,0),$BK$9)),NA()),"")</f>
        <v>11</v>
      </c>
    </row>
    <row r="34" spans="1:62" x14ac:dyDescent="0.25">
      <c r="A34" s="42">
        <v>26</v>
      </c>
      <c r="B34" s="52" t="str">
        <f>Listen!A27</f>
        <v>Energieversorgung</v>
      </c>
      <c r="C34" s="44" t="s">
        <v>4520</v>
      </c>
      <c r="D34" s="44" t="str">
        <f>Listen!B27</f>
        <v>Industrie</v>
      </c>
      <c r="E34" s="45">
        <f>IFERROR(IF(INDEX(Daten_Anteile!$A:$ZZ,MATCH($B34&amp;"|Lage|"&amp;$C$3,Daten_Anteile!$A$1:$A$2971,0),5)="","",INDEX(Daten_Anteile!$A:$ZZ,MATCH($B34&amp;"|Lage|"&amp;$C$3,Daten_Anteile!$A$1:$A$2971,0),5)),"")</f>
        <v>140</v>
      </c>
      <c r="F34" s="46">
        <f t="shared" si="0"/>
        <v>101.3</v>
      </c>
      <c r="G34" s="47">
        <f t="shared" si="1"/>
        <v>-6.8</v>
      </c>
      <c r="H34" s="47">
        <f t="shared" si="2"/>
        <v>-9.6999999999999993</v>
      </c>
      <c r="I34" s="48">
        <f>IFERROR(IF(INDEX(Daten_Salden!$A:$ZZ,MATCH($B34&amp;"|Lage",Daten_Salden!$A$1:$A$331,0),$BK$1)="","",INDEX(Daten_Salden!$A:$ZZ,MATCH($B34&amp;"|Lage",Daten_Salden!$A$1:$A$331,0),$BK$1)),"")</f>
        <v>30</v>
      </c>
      <c r="J34" s="49">
        <f>IFERROR(I34-IFERROR(IF(INDEX(Daten_Salden!$A:$ZZ,MATCH($B34&amp;"|Lage",Daten_Salden!$A$1:$A$331,0),$BK$2)="",NA(),INDEX(Daten_Salden!$A:$ZZ,MATCH($B34&amp;"|Lage",Daten_Salden!$A$1:$A$331,0),$BK$2)),NA()),"")</f>
        <v>-9</v>
      </c>
      <c r="K34" s="49">
        <f>IFERROR(I34-IFERROR(IF(INDEX(Daten_Salden!$A:$ZZ,MATCH($B34&amp;"|Lage",Daten_Salden!$A$1:$A$331,0),$BK$3)="",NA(),INDEX(Daten_Salden!$A:$ZZ,MATCH($B34&amp;"|Lage",Daten_Salden!$A$1:$A$331,0),$BK$3)),NA()),"")</f>
        <v>-1</v>
      </c>
      <c r="L34" s="48">
        <f>IFERROR(IF(INDEX(Daten_Salden!$A:$ZZ,MATCH($B34&amp;"|Erwartungen",Daten_Salden!$A$1:$A$331,0),$BK$1)="","",INDEX(Daten_Salden!$A:$ZZ,MATCH($B34&amp;"|Erwartungen",Daten_Salden!$A$1:$A$331,0),$BK$1)),"")</f>
        <v>-21</v>
      </c>
      <c r="M34" s="49">
        <f>IFERROR(L34-IFERROR(IF(INDEX(Daten_Salden!$A:$ZZ,MATCH($B34&amp;"|Erwartungen",Daten_Salden!$A$1:$A$331,0),$BK$2)="",NA(),INDEX(Daten_Salden!$A:$ZZ,MATCH($B34&amp;"|Erwartungen",Daten_Salden!$A$1:$A$331,0),$BK$2)),NA()),"")</f>
        <v>-5</v>
      </c>
      <c r="N34" s="49">
        <f>IFERROR(L34-IFERROR(IF(INDEX(Daten_Salden!$A:$ZZ,MATCH($B34&amp;"|Erwartungen",Daten_Salden!$A$1:$A$331,0),$BK$3)="",NA(),INDEX(Daten_Salden!$A:$ZZ,MATCH($B34&amp;"|Erwartungen",Daten_Salden!$A$1:$A$331,0),$BK$3)),NA()),"")</f>
        <v>-15</v>
      </c>
      <c r="O34" s="48">
        <f>IFERROR(IF(INDEX(Daten_Salden!$A:$ZZ,MATCH($B34&amp;"|Export",Daten_Salden!$A$1:$A$331,0),$BK$1)="","",INDEX(Daten_Salden!$A:$ZZ,MATCH($B34&amp;"|Export",Daten_Salden!$A$1:$A$331,0),$BK$1)),"")</f>
        <v>4</v>
      </c>
      <c r="P34" s="49">
        <f>IFERROR(O34-IFERROR(IF(INDEX(Daten_Salden!$A:$ZZ,MATCH($B34&amp;"|Export",Daten_Salden!$A$1:$A$331,0),$BK$2)="",NA(),INDEX(Daten_Salden!$A:$ZZ,MATCH($B34&amp;"|Export",Daten_Salden!$A$1:$A$331,0),$BK$2)),NA()),"")</f>
        <v>-4</v>
      </c>
      <c r="Q34" s="49">
        <f>IFERROR(O34-IFERROR(IF(INDEX(Daten_Salden!$A:$ZZ,MATCH($B34&amp;"|Export",Daten_Salden!$A$1:$A$331,0),$BK$3)="",NA(),INDEX(Daten_Salden!$A:$ZZ,MATCH($B34&amp;"|Export",Daten_Salden!$A$1:$A$331,0),$BK$3)),NA()),"")</f>
        <v>-5</v>
      </c>
      <c r="R34" s="48">
        <f>IFERROR(IF(INDEX(Daten_Salden!$A:$ZZ,MATCH($B34&amp;"|Investitionen",Daten_Salden!$A$1:$A$331,0),$BK$1)="","",INDEX(Daten_Salden!$A:$ZZ,MATCH($B34&amp;"|Investitionen",Daten_Salden!$A$1:$A$331,0),$BK$1)),"")</f>
        <v>42</v>
      </c>
      <c r="S34" s="49">
        <f>IFERROR(R34-IFERROR(IF(INDEX(Daten_Salden!$A:$ZZ,MATCH($B34&amp;"|Investitionen",Daten_Salden!$A$1:$A$331,0),$BK$2)="",NA(),INDEX(Daten_Salden!$A:$ZZ,MATCH($B34&amp;"|Investitionen",Daten_Salden!$A$1:$A$331,0),$BK$2)),NA()),"")</f>
        <v>5</v>
      </c>
      <c r="T34" s="49">
        <f>IFERROR(R34-IFERROR(IF(INDEX(Daten_Salden!$A:$ZZ,MATCH($B34&amp;"|Investitionen",Daten_Salden!$A$1:$A$331,0),$BK$3)="",NA(),INDEX(Daten_Salden!$A:$ZZ,MATCH($B34&amp;"|Investitionen",Daten_Salden!$A$1:$A$331,0),$BK$3)),NA()),"")</f>
        <v>8</v>
      </c>
      <c r="U34" s="48">
        <f>IFERROR(IF(INDEX(Daten_Salden!$A:$ZZ,MATCH($B34&amp;"|Beschäftigung",Daten_Salden!$A$1:$A$331,0),$BK$1)="","",INDEX(Daten_Salden!$A:$ZZ,MATCH($B34&amp;"|Beschäftigung",Daten_Salden!$A$1:$A$331,0),$BK$1)),"")</f>
        <v>-7</v>
      </c>
      <c r="V34" s="49">
        <f>IFERROR(U34-IFERROR(IF(INDEX(Daten_Salden!$A:$ZZ,MATCH($B34&amp;"|Beschäftigung",Daten_Salden!$A$1:$A$331,0),$BK$2)="",NA(),INDEX(Daten_Salden!$A:$ZZ,MATCH($B34&amp;"|Beschäftigung",Daten_Salden!$A$1:$A$331,0),$BK$2)),NA()),"")</f>
        <v>-8</v>
      </c>
      <c r="W34" s="49">
        <f>IFERROR(U34-IFERROR(IF(INDEX(Daten_Salden!$A:$ZZ,MATCH($B34&amp;"|Beschäftigung",Daten_Salden!$A$1:$A$331,0),$BK$3)="",NA(),INDEX(Daten_Salden!$A:$ZZ,MATCH($B34&amp;"|Beschäftigung",Daten_Salden!$A$1:$A$331,0),$BK$3)),NA()),"")</f>
        <v>-14</v>
      </c>
      <c r="X34" s="50">
        <f>IFERROR(IF(INDEX(Daten_Risiken!$A:$ZZ,MATCH($B34&amp;"|Energie- und Rohstoffpreise",Daten_Risiken!$A$1:$A$529,0),$BK$4)="","",INDEX(Daten_Risiken!$A:$ZZ,MATCH($B34&amp;"|Energie- und Rohstoffpreise",Daten_Risiken!$A$1:$A$529,0),$BK$4)),"")</f>
        <v>66</v>
      </c>
      <c r="Y34" s="49">
        <f>IFERROR(X34-IFERROR(IF(INDEX(Daten_Risiken!$A:$ZZ,MATCH($B34&amp;"|Energie- und Rohstoffpreise",Daten_Risiken!$A$1:$A$529,0),$BK$5)="",NA(),INDEX(Daten_Risiken!$A:$ZZ,MATCH($B34&amp;"|Energie- und Rohstoffpreise",Daten_Risiken!$A$1:$A$529,0),$BK$5)),NA()),"")</f>
        <v>-5</v>
      </c>
      <c r="Z34" s="49">
        <f>IFERROR(X34-IFERROR(IF(INDEX(Daten_Risiken!$A:$ZZ,MATCH($B34&amp;"|Energie- und Rohstoffpreise",Daten_Risiken!$A$1:$A$529,0),$BK$6)="",NA(),INDEX(Daten_Risiken!$A:$ZZ,MATCH($B34&amp;"|Energie- und Rohstoffpreise",Daten_Risiken!$A$1:$A$529,0),$BK$6)),NA()),"")</f>
        <v>14</v>
      </c>
      <c r="AA34" s="50">
        <f>IFERROR(IF(INDEX(Daten_Risiken!$A:$ZZ,MATCH($B34&amp;"|Arbeitskosten",Daten_Risiken!$A$1:$A$529,0),$BK$4)="","",INDEX(Daten_Risiken!$A:$ZZ,MATCH($B34&amp;"|Arbeitskosten",Daten_Risiken!$A$1:$A$529,0),$BK$4)),"")</f>
        <v>32</v>
      </c>
      <c r="AB34" s="49">
        <f>IFERROR(AA34-IFERROR(IF(INDEX(Daten_Risiken!$A:$ZZ,MATCH($B34&amp;"|Arbeitskosten",Daten_Risiken!$A$1:$A$529,0),$BK$5)="",NA(),INDEX(Daten_Risiken!$A:$ZZ,MATCH($B34&amp;"|Arbeitskosten",Daten_Risiken!$A$1:$A$529,0),$BK$5)),NA()),"")</f>
        <v>-4</v>
      </c>
      <c r="AC34" s="49">
        <f>IFERROR(AA34-IFERROR(IF(INDEX(Daten_Risiken!$A:$ZZ,MATCH($B34&amp;"|Arbeitskosten",Daten_Risiken!$A$1:$A$529,0),$BK$6)="",NA(),INDEX(Daten_Risiken!$A:$ZZ,MATCH($B34&amp;"|Arbeitskosten",Daten_Risiken!$A$1:$A$529,0),$BK$6)),NA()),"")</f>
        <v>-3</v>
      </c>
      <c r="AD34" s="50">
        <f>IFERROR(IF(INDEX(Daten_Risiken!$A:$ZZ,MATCH($B34&amp;"|Inlandsnachfrage",Daten_Risiken!$A$1:$A$529,0),$BK$4)="","",INDEX(Daten_Risiken!$A:$ZZ,MATCH($B34&amp;"|Inlandsnachfrage",Daten_Risiken!$A$1:$A$529,0),$BK$4)),"")</f>
        <v>22</v>
      </c>
      <c r="AE34" s="49">
        <f>IFERROR(AD34-IFERROR(IF(INDEX(Daten_Risiken!$A:$ZZ,MATCH($B34&amp;"|Inlandsnachfrage",Daten_Risiken!$A$1:$A$529,0),$BK$5)="",NA(),INDEX(Daten_Risiken!$A:$ZZ,MATCH($B34&amp;"|Inlandsnachfrage",Daten_Risiken!$A$1:$A$529,0),$BK$5)),NA()),"")</f>
        <v>-5</v>
      </c>
      <c r="AF34" s="49">
        <f>IFERROR(AD34-IFERROR(IF(INDEX(Daten_Risiken!$A:$ZZ,MATCH($B34&amp;"|Inlandsnachfrage",Daten_Risiken!$A$1:$A$529,0),$BK$6)="",NA(),INDEX(Daten_Risiken!$A:$ZZ,MATCH($B34&amp;"|Inlandsnachfrage",Daten_Risiken!$A$1:$A$529,0),$BK$6)),NA()),"")</f>
        <v>-11</v>
      </c>
      <c r="AG34" s="50">
        <f>IFERROR(IF(INDEX(Daten_Risiken!$A:$ZZ,MATCH($B34&amp;"|Wirtschaftspolitische Rahmenbedingungen",Daten_Risiken!$A$1:$A$529,0),$BK$4)="","",INDEX(Daten_Risiken!$A:$ZZ,MATCH($B34&amp;"|Wirtschaftspolitische Rahmenbedingungen",Daten_Risiken!$A$1:$A$529,0),$BK$4)),"")</f>
        <v>72</v>
      </c>
      <c r="AH34" s="49">
        <f>IFERROR(AG34-IFERROR(IF(INDEX(Daten_Risiken!$A:$ZZ,MATCH($B34&amp;"|Wirtschaftspolitische Rahmenbedingungen",Daten_Risiken!$A$1:$A$529,0),$BK$5)="",NA(),INDEX(Daten_Risiken!$A:$ZZ,MATCH($B34&amp;"|Wirtschaftspolitische Rahmenbedingungen",Daten_Risiken!$A$1:$A$529,0),$BK$5)),NA()),"")</f>
        <v>4</v>
      </c>
      <c r="AI34" s="49">
        <f>IFERROR(AG34-IFERROR(IF(INDEX(Daten_Risiken!$A:$ZZ,MATCH($B34&amp;"|Wirtschaftspolitische Rahmenbedingungen",Daten_Risiken!$A$1:$A$529,0),$BK$6)="",NA(),INDEX(Daten_Risiken!$A:$ZZ,MATCH($B34&amp;"|Wirtschaftspolitische Rahmenbedingungen",Daten_Risiken!$A$1:$A$529,0),$BK$6)),NA()),"")</f>
        <v>-6</v>
      </c>
      <c r="AJ34" s="50">
        <f>IFERROR(IF(INDEX(Daten_Risiken!$A:$ZZ,MATCH($B34&amp;"|Fachkräftemangel",Daten_Risiken!$A$1:$A$529,0),$BK$4)="","",INDEX(Daten_Risiken!$A:$ZZ,MATCH($B34&amp;"|Fachkräftemangel",Daten_Risiken!$A$1:$A$529,0),$BK$4)),"")</f>
        <v>27</v>
      </c>
      <c r="AK34" s="49">
        <f>IFERROR(AJ34-IFERROR(IF(INDEX(Daten_Risiken!$A:$ZZ,MATCH($B34&amp;"|Fachkräftemangel",Daten_Risiken!$A$1:$A$529,0),$BK$5)="",NA(),INDEX(Daten_Risiken!$A:$ZZ,MATCH($B34&amp;"|Fachkräftemangel",Daten_Risiken!$A$1:$A$529,0),$BK$5)),NA()),"")</f>
        <v>-13</v>
      </c>
      <c r="AL34" s="49">
        <f>IFERROR(AJ34-IFERROR(IF(INDEX(Daten_Risiken!$A:$ZZ,MATCH($B34&amp;"|Fachkräftemangel",Daten_Risiken!$A$1:$A$529,0),$BK$6)="",NA(),INDEX(Daten_Risiken!$A:$ZZ,MATCH($B34&amp;"|Fachkräftemangel",Daten_Risiken!$A$1:$A$529,0),$BK$6)),NA()),"")</f>
        <v>-12</v>
      </c>
      <c r="AM34" s="50">
        <f>IFERROR(IF(INDEX(Daten_Risiken!$A:$ZZ,MATCH($B34&amp;"|Auslandsnachfrage",Daten_Risiken!$A$1:$A$529,0),$BK$4)="","",INDEX(Daten_Risiken!$A:$ZZ,MATCH($B34&amp;"|Auslandsnachfrage",Daten_Risiken!$A$1:$A$529,0),$BK$4)),"")</f>
        <v>4</v>
      </c>
      <c r="AN34" s="49">
        <f>IFERROR(AM34-IFERROR(IF(INDEX(Daten_Risiken!$A:$ZZ,MATCH($B34&amp;"|Auslandsnachfrage",Daten_Risiken!$A$1:$A$529,0),$BK$5)="",NA(),INDEX(Daten_Risiken!$A:$ZZ,MATCH($B34&amp;"|Auslandsnachfrage",Daten_Risiken!$A$1:$A$529,0),$BK$5)),NA()),"")</f>
        <v>0</v>
      </c>
      <c r="AO34" s="49">
        <f>IFERROR(AM34-IFERROR(IF(INDEX(Daten_Risiken!$A:$ZZ,MATCH($B34&amp;"|Auslandsnachfrage",Daten_Risiken!$A$1:$A$529,0),$BK$6)="",NA(),INDEX(Daten_Risiken!$A:$ZZ,MATCH($B34&amp;"|Auslandsnachfrage",Daten_Risiken!$A$1:$A$529,0),$BK$6)),NA()),"")</f>
        <v>4</v>
      </c>
      <c r="AP34" s="50">
        <f>IFERROR(IF(INDEX(Daten_Risiken!$A:$ZZ,MATCH($B34&amp;"|Finanzierung",Daten_Risiken!$A$1:$A$529,0),$BK$4)="","",INDEX(Daten_Risiken!$A:$ZZ,MATCH($B34&amp;"|Finanzierung",Daten_Risiken!$A$1:$A$529,0),$BK$4)),"")</f>
        <v>44</v>
      </c>
      <c r="AQ34" s="49">
        <f>IFERROR(AP34-IFERROR(IF(INDEX(Daten_Risiken!$A:$ZZ,MATCH($B34&amp;"|Finanzierung",Daten_Risiken!$A$1:$A$529,0),$BK$5)="",NA(),INDEX(Daten_Risiken!$A:$ZZ,MATCH($B34&amp;"|Finanzierung",Daten_Risiken!$A$1:$A$529,0),$BK$5)),NA()),"")</f>
        <v>11</v>
      </c>
      <c r="AR34" s="49">
        <f>IFERROR(AP34-IFERROR(IF(INDEX(Daten_Risiken!$A:$ZZ,MATCH($B34&amp;"|Finanzierung",Daten_Risiken!$A$1:$A$529,0),$BK$6)="",NA(),INDEX(Daten_Risiken!$A:$ZZ,MATCH($B34&amp;"|Finanzierung",Daten_Risiken!$A$1:$A$529,0),$BK$6)),NA()),"")</f>
        <v>11</v>
      </c>
      <c r="AS34" s="50">
        <f>IFERROR(IF(INDEX(Daten_Risiken!$A:$ZZ,MATCH($B34&amp;"|Wechselkurs",Daten_Risiken!$A$1:$A$529,0),$BK$4)="","",INDEX(Daten_Risiken!$A:$ZZ,MATCH($B34&amp;"|Wechselkurs",Daten_Risiken!$A$1:$A$529,0),$BK$4)),"")</f>
        <v>0</v>
      </c>
      <c r="AT34" s="49">
        <f>IFERROR(AS34-IFERROR(IF(INDEX(Daten_Risiken!$A:$ZZ,MATCH($B34&amp;"|Wechselkurs",Daten_Risiken!$A$1:$A$529,0),$BK$5)="",NA(),INDEX(Daten_Risiken!$A:$ZZ,MATCH($B34&amp;"|Wechselkurs",Daten_Risiken!$A$1:$A$529,0),$BK$5)),NA()),"")</f>
        <v>-2</v>
      </c>
      <c r="AU34" s="49">
        <f>IFERROR(AS34-IFERROR(IF(INDEX(Daten_Risiken!$A:$ZZ,MATCH($B34&amp;"|Wechselkurs",Daten_Risiken!$A$1:$A$529,0),$BK$6)="",NA(),INDEX(Daten_Risiken!$A:$ZZ,MATCH($B34&amp;"|Wechselkurs",Daten_Risiken!$A$1:$A$529,0),$BK$6)),NA()),"")</f>
        <v>-1</v>
      </c>
      <c r="AV34" s="50">
        <f>IFERROR(IF(INDEX(Daten_Motive!$A:$ZZ,MATCH($B34&amp;"|Ersatzbedarf",Daten_Motive!$A$1:$A$331,0),$BK$7)="","",INDEX(Daten_Motive!$A:$ZZ,MATCH($B34&amp;"|Ersatzbedarf",Daten_Motive!$A$1:$A$331,0),$BK$7)),"")</f>
        <v>67</v>
      </c>
      <c r="AW34" s="49">
        <f>IFERROR(AV34-IFERROR(IF(INDEX(Daten_Motive!$A:$ZZ,MATCH($B34&amp;"|Ersatzbedarf",Daten_Motive!$A$1:$A$331,0),$BK$8)="",NA(),INDEX(Daten_Motive!$A:$ZZ,MATCH($B34&amp;"|Ersatzbedarf",Daten_Motive!$A$1:$A$331,0),$BK$8)),NA()),"")</f>
        <v>2</v>
      </c>
      <c r="AX34" s="49">
        <f>IFERROR(AV34-IFERROR(IF(INDEX(Daten_Motive!$A:$ZZ,MATCH($B34&amp;"|Ersatzbedarf",Daten_Motive!$A$1:$A$331,0),$BK$9)="",NA(),INDEX(Daten_Motive!$A:$ZZ,MATCH($B34&amp;"|Ersatzbedarf",Daten_Motive!$A$1:$A$331,0),$BK$9)),NA()),"")</f>
        <v>12</v>
      </c>
      <c r="AY34" s="50">
        <f>IFERROR(IF(INDEX(Daten_Motive!$A:$ZZ,MATCH($B34&amp;"|Rationalisierung",Daten_Motive!$A$1:$A$331,0),$BK$7)="","",INDEX(Daten_Motive!$A:$ZZ,MATCH($B34&amp;"|Rationalisierung",Daten_Motive!$A$1:$A$331,0),$BK$7)),"")</f>
        <v>13</v>
      </c>
      <c r="AZ34" s="49">
        <f>IFERROR(AY34-IFERROR(IF(INDEX(Daten_Motive!$A:$ZZ,MATCH($B34&amp;"|Rationalisierung",Daten_Motive!$A$1:$A$331,0),$BK$8)="",NA(),INDEX(Daten_Motive!$A:$ZZ,MATCH($B34&amp;"|Rationalisierung",Daten_Motive!$A$1:$A$331,0),$BK$8)),NA()),"")</f>
        <v>-1</v>
      </c>
      <c r="BA34" s="49">
        <f>IFERROR(AY34-IFERROR(IF(INDEX(Daten_Motive!$A:$ZZ,MATCH($B34&amp;"|Rationalisierung",Daten_Motive!$A$1:$A$331,0),$BK$9)="",NA(),INDEX(Daten_Motive!$A:$ZZ,MATCH($B34&amp;"|Rationalisierung",Daten_Motive!$A$1:$A$331,0),$BK$9)),NA()),"")</f>
        <v>-8</v>
      </c>
      <c r="BB34" s="50">
        <f>IFERROR(IF(INDEX(Daten_Motive!$A:$ZZ,MATCH($B34&amp;"|Produktinnovation",Daten_Motive!$A$1:$A$331,0),$BK$7)="","",INDEX(Daten_Motive!$A:$ZZ,MATCH($B34&amp;"|Produktinnovation",Daten_Motive!$A$1:$A$331,0),$BK$7)),"")</f>
        <v>18</v>
      </c>
      <c r="BC34" s="49">
        <f>IFERROR(BB34-IFERROR(IF(INDEX(Daten_Motive!$A:$ZZ,MATCH($B34&amp;"|Produktinnovation",Daten_Motive!$A$1:$A$331,0),$BK$8)="",NA(),INDEX(Daten_Motive!$A:$ZZ,MATCH($B34&amp;"|Produktinnovation",Daten_Motive!$A$1:$A$331,0),$BK$8)),NA()),"")</f>
        <v>4</v>
      </c>
      <c r="BD34" s="49">
        <f>IFERROR(BB34-IFERROR(IF(INDEX(Daten_Motive!$A:$ZZ,MATCH($B34&amp;"|Produktinnovation",Daten_Motive!$A$1:$A$331,0),$BK$9)="",NA(),INDEX(Daten_Motive!$A:$ZZ,MATCH($B34&amp;"|Produktinnovation",Daten_Motive!$A$1:$A$331,0),$BK$9)),NA()),"")</f>
        <v>-6</v>
      </c>
      <c r="BE34" s="50">
        <f>IFERROR(IF(INDEX(Daten_Motive!$A:$ZZ,MATCH($B34&amp;"|Umweltschutz",Daten_Motive!$A$1:$A$331,0),$BK$7)="","",INDEX(Daten_Motive!$A:$ZZ,MATCH($B34&amp;"|Umweltschutz",Daten_Motive!$A$1:$A$331,0),$BK$7)),"")</f>
        <v>42</v>
      </c>
      <c r="BF34" s="49">
        <f>IFERROR(BE34-IFERROR(IF(INDEX(Daten_Motive!$A:$ZZ,MATCH($B34&amp;"|Umweltschutz",Daten_Motive!$A$1:$A$331,0),$BK$8)="",NA(),INDEX(Daten_Motive!$A:$ZZ,MATCH($B34&amp;"|Umweltschutz",Daten_Motive!$A$1:$A$331,0),$BK$8)),NA()),"")</f>
        <v>-2</v>
      </c>
      <c r="BG34" s="49">
        <f>IFERROR(BE34-IFERROR(IF(INDEX(Daten_Motive!$A:$ZZ,MATCH($B34&amp;"|Umweltschutz",Daten_Motive!$A$1:$A$331,0),$BK$9)="",NA(),INDEX(Daten_Motive!$A:$ZZ,MATCH($B34&amp;"|Umweltschutz",Daten_Motive!$A$1:$A$331,0),$BK$9)),NA()),"")</f>
        <v>-4</v>
      </c>
      <c r="BH34" s="50">
        <f>IFERROR(IF(INDEX(Daten_Motive!$A:$ZZ,MATCH($B34&amp;"|Kapazitätserweiterung",Daten_Motive!$A$1:$A$331,0),$BK$7)="","",INDEX(Daten_Motive!$A:$ZZ,MATCH($B34&amp;"|Kapazitätserweiterung",Daten_Motive!$A$1:$A$331,0),$BK$7)),"")</f>
        <v>47</v>
      </c>
      <c r="BI34" s="49">
        <f>IFERROR(BH34-IFERROR(IF(INDEX(Daten_Motive!$A:$ZZ,MATCH($B34&amp;"|Kapazitätserweiterung",Daten_Motive!$A$1:$A$331,0),$BK$8)="",NA(),INDEX(Daten_Motive!$A:$ZZ,MATCH($B34&amp;"|Kapazitätserweiterung",Daten_Motive!$A$1:$A$331,0),$BK$8)),NA()),"")</f>
        <v>-2</v>
      </c>
      <c r="BJ34" s="49">
        <f>IFERROR(BH34-IFERROR(IF(INDEX(Daten_Motive!$A:$ZZ,MATCH($B34&amp;"|Kapazitätserweiterung",Daten_Motive!$A$1:$A$331,0),$BK$9)="",NA(),INDEX(Daten_Motive!$A:$ZZ,MATCH($B34&amp;"|Kapazitätserweiterung",Daten_Motive!$A$1:$A$331,0),$BK$9)),NA()),"")</f>
        <v>-1</v>
      </c>
    </row>
    <row r="35" spans="1:62" x14ac:dyDescent="0.25">
      <c r="A35" s="42">
        <v>27</v>
      </c>
      <c r="B35" s="52" t="str">
        <f>Listen!A28</f>
        <v>Abwasser- und Abfallentsorgung, Beseitigung von Umweltverschmutzungen</v>
      </c>
      <c r="C35" s="44" t="s">
        <v>4521</v>
      </c>
      <c r="D35" s="44" t="str">
        <f>Listen!B28</f>
        <v>Industrie</v>
      </c>
      <c r="E35" s="45">
        <f>IFERROR(IF(INDEX(Daten_Anteile!$A:$ZZ,MATCH($B35&amp;"|Lage|"&amp;$C$3,Daten_Anteile!$A$1:$A$2971,0),5)="","",INDEX(Daten_Anteile!$A:$ZZ,MATCH($B35&amp;"|Lage|"&amp;$C$3,Daten_Anteile!$A$1:$A$2971,0),5)),"")</f>
        <v>211</v>
      </c>
      <c r="F35" s="46">
        <f t="shared" si="0"/>
        <v>94.7</v>
      </c>
      <c r="G35" s="47">
        <f t="shared" si="1"/>
        <v>6.3</v>
      </c>
      <c r="H35" s="47">
        <f t="shared" si="2"/>
        <v>-6.3</v>
      </c>
      <c r="I35" s="48">
        <f>IFERROR(IF(INDEX(Daten_Salden!$A:$ZZ,MATCH($B35&amp;"|Lage",Daten_Salden!$A$1:$A$331,0),$BK$1)="","",INDEX(Daten_Salden!$A:$ZZ,MATCH($B35&amp;"|Lage",Daten_Salden!$A$1:$A$331,0),$BK$1)),"")</f>
        <v>12</v>
      </c>
      <c r="J35" s="49">
        <f>IFERROR(I35-IFERROR(IF(INDEX(Daten_Salden!$A:$ZZ,MATCH($B35&amp;"|Lage",Daten_Salden!$A$1:$A$331,0),$BK$2)="",NA(),INDEX(Daten_Salden!$A:$ZZ,MATCH($B35&amp;"|Lage",Daten_Salden!$A$1:$A$331,0),$BK$2)),NA()),"")</f>
        <v>2</v>
      </c>
      <c r="K35" s="49">
        <f>IFERROR(I35-IFERROR(IF(INDEX(Daten_Salden!$A:$ZZ,MATCH($B35&amp;"|Lage",Daten_Salden!$A$1:$A$331,0),$BK$3)="",NA(),INDEX(Daten_Salden!$A:$ZZ,MATCH($B35&amp;"|Lage",Daten_Salden!$A$1:$A$331,0),$BK$3)),NA()),"")</f>
        <v>-4</v>
      </c>
      <c r="L35" s="48">
        <f>IFERROR(IF(INDEX(Daten_Salden!$A:$ZZ,MATCH($B35&amp;"|Erwartungen",Daten_Salden!$A$1:$A$331,0),$BK$1)="","",INDEX(Daten_Salden!$A:$ZZ,MATCH($B35&amp;"|Erwartungen",Daten_Salden!$A$1:$A$331,0),$BK$1)),"")</f>
        <v>-20</v>
      </c>
      <c r="M35" s="49">
        <f>IFERROR(L35-IFERROR(IF(INDEX(Daten_Salden!$A:$ZZ,MATCH($B35&amp;"|Erwartungen",Daten_Salden!$A$1:$A$331,0),$BK$2)="",NA(),INDEX(Daten_Salden!$A:$ZZ,MATCH($B35&amp;"|Erwartungen",Daten_Salden!$A$1:$A$331,0),$BK$2)),NA()),"")</f>
        <v>9</v>
      </c>
      <c r="N35" s="49">
        <f>IFERROR(L35-IFERROR(IF(INDEX(Daten_Salden!$A:$ZZ,MATCH($B35&amp;"|Erwartungen",Daten_Salden!$A$1:$A$331,0),$BK$3)="",NA(),INDEX(Daten_Salden!$A:$ZZ,MATCH($B35&amp;"|Erwartungen",Daten_Salden!$A$1:$A$331,0),$BK$3)),NA()),"")</f>
        <v>-8</v>
      </c>
      <c r="O35" s="48">
        <f>IFERROR(IF(INDEX(Daten_Salden!$A:$ZZ,MATCH($B35&amp;"|Export",Daten_Salden!$A$1:$A$331,0),$BK$1)="","",INDEX(Daten_Salden!$A:$ZZ,MATCH($B35&amp;"|Export",Daten_Salden!$A$1:$A$331,0),$BK$1)),"")</f>
        <v>-3</v>
      </c>
      <c r="P35" s="49">
        <f>IFERROR(O35-IFERROR(IF(INDEX(Daten_Salden!$A:$ZZ,MATCH($B35&amp;"|Export",Daten_Salden!$A$1:$A$331,0),$BK$2)="",NA(),INDEX(Daten_Salden!$A:$ZZ,MATCH($B35&amp;"|Export",Daten_Salden!$A$1:$A$331,0),$BK$2)),NA()),"")</f>
        <v>22</v>
      </c>
      <c r="Q35" s="49">
        <f>IFERROR(O35-IFERROR(IF(INDEX(Daten_Salden!$A:$ZZ,MATCH($B35&amp;"|Export",Daten_Salden!$A$1:$A$331,0),$BK$3)="",NA(),INDEX(Daten_Salden!$A:$ZZ,MATCH($B35&amp;"|Export",Daten_Salden!$A$1:$A$331,0),$BK$3)),NA()),"")</f>
        <v>17</v>
      </c>
      <c r="R35" s="48">
        <f>IFERROR(IF(INDEX(Daten_Salden!$A:$ZZ,MATCH($B35&amp;"|Investitionen",Daten_Salden!$A$1:$A$331,0),$BK$1)="","",INDEX(Daten_Salden!$A:$ZZ,MATCH($B35&amp;"|Investitionen",Daten_Salden!$A$1:$A$331,0),$BK$1)),"")</f>
        <v>3</v>
      </c>
      <c r="S35" s="49">
        <f>IFERROR(R35-IFERROR(IF(INDEX(Daten_Salden!$A:$ZZ,MATCH($B35&amp;"|Investitionen",Daten_Salden!$A$1:$A$331,0),$BK$2)="",NA(),INDEX(Daten_Salden!$A:$ZZ,MATCH($B35&amp;"|Investitionen",Daten_Salden!$A$1:$A$331,0),$BK$2)),NA()),"")</f>
        <v>19</v>
      </c>
      <c r="T35" s="49">
        <f>IFERROR(R35-IFERROR(IF(INDEX(Daten_Salden!$A:$ZZ,MATCH($B35&amp;"|Investitionen",Daten_Salden!$A$1:$A$331,0),$BK$3)="",NA(),INDEX(Daten_Salden!$A:$ZZ,MATCH($B35&amp;"|Investitionen",Daten_Salden!$A$1:$A$331,0),$BK$3)),NA()),"")</f>
        <v>0</v>
      </c>
      <c r="U35" s="48">
        <f>IFERROR(IF(INDEX(Daten_Salden!$A:$ZZ,MATCH($B35&amp;"|Beschäftigung",Daten_Salden!$A$1:$A$331,0),$BK$1)="","",INDEX(Daten_Salden!$A:$ZZ,MATCH($B35&amp;"|Beschäftigung",Daten_Salden!$A$1:$A$331,0),$BK$1)),"")</f>
        <v>-9</v>
      </c>
      <c r="V35" s="49">
        <f>IFERROR(U35-IFERROR(IF(INDEX(Daten_Salden!$A:$ZZ,MATCH($B35&amp;"|Beschäftigung",Daten_Salden!$A$1:$A$331,0),$BK$2)="",NA(),INDEX(Daten_Salden!$A:$ZZ,MATCH($B35&amp;"|Beschäftigung",Daten_Salden!$A$1:$A$331,0),$BK$2)),NA()),"")</f>
        <v>-4</v>
      </c>
      <c r="W35" s="49">
        <f>IFERROR(U35-IFERROR(IF(INDEX(Daten_Salden!$A:$ZZ,MATCH($B35&amp;"|Beschäftigung",Daten_Salden!$A$1:$A$331,0),$BK$3)="",NA(),INDEX(Daten_Salden!$A:$ZZ,MATCH($B35&amp;"|Beschäftigung",Daten_Salden!$A$1:$A$331,0),$BK$3)),NA()),"")</f>
        <v>-5</v>
      </c>
      <c r="X35" s="50">
        <f>IFERROR(IF(INDEX(Daten_Risiken!$A:$ZZ,MATCH($B35&amp;"|Energie- und Rohstoffpreise",Daten_Risiken!$A$1:$A$529,0),$BK$4)="","",INDEX(Daten_Risiken!$A:$ZZ,MATCH($B35&amp;"|Energie- und Rohstoffpreise",Daten_Risiken!$A$1:$A$529,0),$BK$4)),"")</f>
        <v>89</v>
      </c>
      <c r="Y35" s="49">
        <f>IFERROR(X35-IFERROR(IF(INDEX(Daten_Risiken!$A:$ZZ,MATCH($B35&amp;"|Energie- und Rohstoffpreise",Daten_Risiken!$A$1:$A$529,0),$BK$5)="",NA(),INDEX(Daten_Risiken!$A:$ZZ,MATCH($B35&amp;"|Energie- und Rohstoffpreise",Daten_Risiken!$A$1:$A$529,0),$BK$5)),NA()),"")</f>
        <v>-1</v>
      </c>
      <c r="Z35" s="49">
        <f>IFERROR(X35-IFERROR(IF(INDEX(Daten_Risiken!$A:$ZZ,MATCH($B35&amp;"|Energie- und Rohstoffpreise",Daten_Risiken!$A$1:$A$529,0),$BK$6)="",NA(),INDEX(Daten_Risiken!$A:$ZZ,MATCH($B35&amp;"|Energie- und Rohstoffpreise",Daten_Risiken!$A$1:$A$529,0),$BK$6)),NA()),"")</f>
        <v>21</v>
      </c>
      <c r="AA35" s="50">
        <f>IFERROR(IF(INDEX(Daten_Risiken!$A:$ZZ,MATCH($B35&amp;"|Arbeitskosten",Daten_Risiken!$A$1:$A$529,0),$BK$4)="","",INDEX(Daten_Risiken!$A:$ZZ,MATCH($B35&amp;"|Arbeitskosten",Daten_Risiken!$A$1:$A$529,0),$BK$4)),"")</f>
        <v>60</v>
      </c>
      <c r="AB35" s="49">
        <f>IFERROR(AA35-IFERROR(IF(INDEX(Daten_Risiken!$A:$ZZ,MATCH($B35&amp;"|Arbeitskosten",Daten_Risiken!$A$1:$A$529,0),$BK$5)="",NA(),INDEX(Daten_Risiken!$A:$ZZ,MATCH($B35&amp;"|Arbeitskosten",Daten_Risiken!$A$1:$A$529,0),$BK$5)),NA()),"")</f>
        <v>0</v>
      </c>
      <c r="AC35" s="49">
        <f>IFERROR(AA35-IFERROR(IF(INDEX(Daten_Risiken!$A:$ZZ,MATCH($B35&amp;"|Arbeitskosten",Daten_Risiken!$A$1:$A$529,0),$BK$6)="",NA(),INDEX(Daten_Risiken!$A:$ZZ,MATCH($B35&amp;"|Arbeitskosten",Daten_Risiken!$A$1:$A$529,0),$BK$6)),NA()),"")</f>
        <v>-1</v>
      </c>
      <c r="AD35" s="50">
        <f>IFERROR(IF(INDEX(Daten_Risiken!$A:$ZZ,MATCH($B35&amp;"|Inlandsnachfrage",Daten_Risiken!$A$1:$A$529,0),$BK$4)="","",INDEX(Daten_Risiken!$A:$ZZ,MATCH($B35&amp;"|Inlandsnachfrage",Daten_Risiken!$A$1:$A$529,0),$BK$4)),"")</f>
        <v>41</v>
      </c>
      <c r="AE35" s="49">
        <f>IFERROR(AD35-IFERROR(IF(INDEX(Daten_Risiken!$A:$ZZ,MATCH($B35&amp;"|Inlandsnachfrage",Daten_Risiken!$A$1:$A$529,0),$BK$5)="",NA(),INDEX(Daten_Risiken!$A:$ZZ,MATCH($B35&amp;"|Inlandsnachfrage",Daten_Risiken!$A$1:$A$529,0),$BK$5)),NA()),"")</f>
        <v>-2</v>
      </c>
      <c r="AF35" s="49">
        <f>IFERROR(AD35-IFERROR(IF(INDEX(Daten_Risiken!$A:$ZZ,MATCH($B35&amp;"|Inlandsnachfrage",Daten_Risiken!$A$1:$A$529,0),$BK$6)="",NA(),INDEX(Daten_Risiken!$A:$ZZ,MATCH($B35&amp;"|Inlandsnachfrage",Daten_Risiken!$A$1:$A$529,0),$BK$6)),NA()),"")</f>
        <v>-5</v>
      </c>
      <c r="AG35" s="50">
        <f>IFERROR(IF(INDEX(Daten_Risiken!$A:$ZZ,MATCH($B35&amp;"|Wirtschaftspolitische Rahmenbedingungen",Daten_Risiken!$A$1:$A$529,0),$BK$4)="","",INDEX(Daten_Risiken!$A:$ZZ,MATCH($B35&amp;"|Wirtschaftspolitische Rahmenbedingungen",Daten_Risiken!$A$1:$A$529,0),$BK$4)),"")</f>
        <v>58</v>
      </c>
      <c r="AH35" s="49">
        <f>IFERROR(AG35-IFERROR(IF(INDEX(Daten_Risiken!$A:$ZZ,MATCH($B35&amp;"|Wirtschaftspolitische Rahmenbedingungen",Daten_Risiken!$A$1:$A$529,0),$BK$5)="",NA(),INDEX(Daten_Risiken!$A:$ZZ,MATCH($B35&amp;"|Wirtschaftspolitische Rahmenbedingungen",Daten_Risiken!$A$1:$A$529,0),$BK$5)),NA()),"")</f>
        <v>7</v>
      </c>
      <c r="AI35" s="49">
        <f>IFERROR(AG35-IFERROR(IF(INDEX(Daten_Risiken!$A:$ZZ,MATCH($B35&amp;"|Wirtschaftspolitische Rahmenbedingungen",Daten_Risiken!$A$1:$A$529,0),$BK$6)="",NA(),INDEX(Daten_Risiken!$A:$ZZ,MATCH($B35&amp;"|Wirtschaftspolitische Rahmenbedingungen",Daten_Risiken!$A$1:$A$529,0),$BK$6)),NA()),"")</f>
        <v>2</v>
      </c>
      <c r="AJ35" s="50">
        <f>IFERROR(IF(INDEX(Daten_Risiken!$A:$ZZ,MATCH($B35&amp;"|Fachkräftemangel",Daten_Risiken!$A$1:$A$529,0),$BK$4)="","",INDEX(Daten_Risiken!$A:$ZZ,MATCH($B35&amp;"|Fachkräftemangel",Daten_Risiken!$A$1:$A$529,0),$BK$4)),"")</f>
        <v>58</v>
      </c>
      <c r="AK35" s="49">
        <f>IFERROR(AJ35-IFERROR(IF(INDEX(Daten_Risiken!$A:$ZZ,MATCH($B35&amp;"|Fachkräftemangel",Daten_Risiken!$A$1:$A$529,0),$BK$5)="",NA(),INDEX(Daten_Risiken!$A:$ZZ,MATCH($B35&amp;"|Fachkräftemangel",Daten_Risiken!$A$1:$A$529,0),$BK$5)),NA()),"")</f>
        <v>-2</v>
      </c>
      <c r="AL35" s="49">
        <f>IFERROR(AJ35-IFERROR(IF(INDEX(Daten_Risiken!$A:$ZZ,MATCH($B35&amp;"|Fachkräftemangel",Daten_Risiken!$A$1:$A$529,0),$BK$6)="",NA(),INDEX(Daten_Risiken!$A:$ZZ,MATCH($B35&amp;"|Fachkräftemangel",Daten_Risiken!$A$1:$A$529,0),$BK$6)),NA()),"")</f>
        <v>-7</v>
      </c>
      <c r="AM35" s="50">
        <f>IFERROR(IF(INDEX(Daten_Risiken!$A:$ZZ,MATCH($B35&amp;"|Auslandsnachfrage",Daten_Risiken!$A$1:$A$529,0),$BK$4)="","",INDEX(Daten_Risiken!$A:$ZZ,MATCH($B35&amp;"|Auslandsnachfrage",Daten_Risiken!$A$1:$A$529,0),$BK$4)),"")</f>
        <v>3</v>
      </c>
      <c r="AN35" s="49">
        <f>IFERROR(AM35-IFERROR(IF(INDEX(Daten_Risiken!$A:$ZZ,MATCH($B35&amp;"|Auslandsnachfrage",Daten_Risiken!$A$1:$A$529,0),$BK$5)="",NA(),INDEX(Daten_Risiken!$A:$ZZ,MATCH($B35&amp;"|Auslandsnachfrage",Daten_Risiken!$A$1:$A$529,0),$BK$5)),NA()),"")</f>
        <v>-4</v>
      </c>
      <c r="AO35" s="49">
        <f>IFERROR(AM35-IFERROR(IF(INDEX(Daten_Risiken!$A:$ZZ,MATCH($B35&amp;"|Auslandsnachfrage",Daten_Risiken!$A$1:$A$529,0),$BK$6)="",NA(),INDEX(Daten_Risiken!$A:$ZZ,MATCH($B35&amp;"|Auslandsnachfrage",Daten_Risiken!$A$1:$A$529,0),$BK$6)),NA()),"")</f>
        <v>-2</v>
      </c>
      <c r="AP35" s="50">
        <f>IFERROR(IF(INDEX(Daten_Risiken!$A:$ZZ,MATCH($B35&amp;"|Finanzierung",Daten_Risiken!$A$1:$A$529,0),$BK$4)="","",INDEX(Daten_Risiken!$A:$ZZ,MATCH($B35&amp;"|Finanzierung",Daten_Risiken!$A$1:$A$529,0),$BK$4)),"")</f>
        <v>15</v>
      </c>
      <c r="AQ35" s="49">
        <f>IFERROR(AP35-IFERROR(IF(INDEX(Daten_Risiken!$A:$ZZ,MATCH($B35&amp;"|Finanzierung",Daten_Risiken!$A$1:$A$529,0),$BK$5)="",NA(),INDEX(Daten_Risiken!$A:$ZZ,MATCH($B35&amp;"|Finanzierung",Daten_Risiken!$A$1:$A$529,0),$BK$5)),NA()),"")</f>
        <v>4</v>
      </c>
      <c r="AR35" s="49">
        <f>IFERROR(AP35-IFERROR(IF(INDEX(Daten_Risiken!$A:$ZZ,MATCH($B35&amp;"|Finanzierung",Daten_Risiken!$A$1:$A$529,0),$BK$6)="",NA(),INDEX(Daten_Risiken!$A:$ZZ,MATCH($B35&amp;"|Finanzierung",Daten_Risiken!$A$1:$A$529,0),$BK$6)),NA()),"")</f>
        <v>6</v>
      </c>
      <c r="AS35" s="50">
        <f>IFERROR(IF(INDEX(Daten_Risiken!$A:$ZZ,MATCH($B35&amp;"|Wechselkurs",Daten_Risiken!$A$1:$A$529,0),$BK$4)="","",INDEX(Daten_Risiken!$A:$ZZ,MATCH($B35&amp;"|Wechselkurs",Daten_Risiken!$A$1:$A$529,0),$BK$4)),"")</f>
        <v>0</v>
      </c>
      <c r="AT35" s="49">
        <f>IFERROR(AS35-IFERROR(IF(INDEX(Daten_Risiken!$A:$ZZ,MATCH($B35&amp;"|Wechselkurs",Daten_Risiken!$A$1:$A$529,0),$BK$5)="",NA(),INDEX(Daten_Risiken!$A:$ZZ,MATCH($B35&amp;"|Wechselkurs",Daten_Risiken!$A$1:$A$529,0),$BK$5)),NA()),"")</f>
        <v>0</v>
      </c>
      <c r="AU35" s="49">
        <f>IFERROR(AS35-IFERROR(IF(INDEX(Daten_Risiken!$A:$ZZ,MATCH($B35&amp;"|Wechselkurs",Daten_Risiken!$A$1:$A$529,0),$BK$6)="",NA(),INDEX(Daten_Risiken!$A:$ZZ,MATCH($B35&amp;"|Wechselkurs",Daten_Risiken!$A$1:$A$529,0),$BK$6)),NA()),"")</f>
        <v>-2</v>
      </c>
      <c r="AV35" s="50">
        <f>IFERROR(IF(INDEX(Daten_Motive!$A:$ZZ,MATCH($B35&amp;"|Ersatzbedarf",Daten_Motive!$A$1:$A$331,0),$BK$7)="","",INDEX(Daten_Motive!$A:$ZZ,MATCH($B35&amp;"|Ersatzbedarf",Daten_Motive!$A$1:$A$331,0),$BK$7)),"")</f>
        <v>83</v>
      </c>
      <c r="AW35" s="49">
        <f>IFERROR(AV35-IFERROR(IF(INDEX(Daten_Motive!$A:$ZZ,MATCH($B35&amp;"|Ersatzbedarf",Daten_Motive!$A$1:$A$331,0),$BK$8)="",NA(),INDEX(Daten_Motive!$A:$ZZ,MATCH($B35&amp;"|Ersatzbedarf",Daten_Motive!$A$1:$A$331,0),$BK$8)),NA()),"")</f>
        <v>-4</v>
      </c>
      <c r="AX35" s="49">
        <f>IFERROR(AV35-IFERROR(IF(INDEX(Daten_Motive!$A:$ZZ,MATCH($B35&amp;"|Ersatzbedarf",Daten_Motive!$A$1:$A$331,0),$BK$9)="",NA(),INDEX(Daten_Motive!$A:$ZZ,MATCH($B35&amp;"|Ersatzbedarf",Daten_Motive!$A$1:$A$331,0),$BK$9)),NA()),"")</f>
        <v>-7</v>
      </c>
      <c r="AY35" s="50">
        <f>IFERROR(IF(INDEX(Daten_Motive!$A:$ZZ,MATCH($B35&amp;"|Rationalisierung",Daten_Motive!$A$1:$A$331,0),$BK$7)="","",INDEX(Daten_Motive!$A:$ZZ,MATCH($B35&amp;"|Rationalisierung",Daten_Motive!$A$1:$A$331,0),$BK$7)),"")</f>
        <v>15</v>
      </c>
      <c r="AZ35" s="49">
        <f>IFERROR(AY35-IFERROR(IF(INDEX(Daten_Motive!$A:$ZZ,MATCH($B35&amp;"|Rationalisierung",Daten_Motive!$A$1:$A$331,0),$BK$8)="",NA(),INDEX(Daten_Motive!$A:$ZZ,MATCH($B35&amp;"|Rationalisierung",Daten_Motive!$A$1:$A$331,0),$BK$8)),NA()),"")</f>
        <v>-2</v>
      </c>
      <c r="BA35" s="49">
        <f>IFERROR(AY35-IFERROR(IF(INDEX(Daten_Motive!$A:$ZZ,MATCH($B35&amp;"|Rationalisierung",Daten_Motive!$A$1:$A$331,0),$BK$9)="",NA(),INDEX(Daten_Motive!$A:$ZZ,MATCH($B35&amp;"|Rationalisierung",Daten_Motive!$A$1:$A$331,0),$BK$9)),NA()),"")</f>
        <v>-2</v>
      </c>
      <c r="BB35" s="50">
        <f>IFERROR(IF(INDEX(Daten_Motive!$A:$ZZ,MATCH($B35&amp;"|Produktinnovation",Daten_Motive!$A$1:$A$331,0),$BK$7)="","",INDEX(Daten_Motive!$A:$ZZ,MATCH($B35&amp;"|Produktinnovation",Daten_Motive!$A$1:$A$331,0),$BK$7)),"")</f>
        <v>10</v>
      </c>
      <c r="BC35" s="49">
        <f>IFERROR(BB35-IFERROR(IF(INDEX(Daten_Motive!$A:$ZZ,MATCH($B35&amp;"|Produktinnovation",Daten_Motive!$A$1:$A$331,0),$BK$8)="",NA(),INDEX(Daten_Motive!$A:$ZZ,MATCH($B35&amp;"|Produktinnovation",Daten_Motive!$A$1:$A$331,0),$BK$8)),NA()),"")</f>
        <v>-3</v>
      </c>
      <c r="BD35" s="49">
        <f>IFERROR(BB35-IFERROR(IF(INDEX(Daten_Motive!$A:$ZZ,MATCH($B35&amp;"|Produktinnovation",Daten_Motive!$A$1:$A$331,0),$BK$9)="",NA(),INDEX(Daten_Motive!$A:$ZZ,MATCH($B35&amp;"|Produktinnovation",Daten_Motive!$A$1:$A$331,0),$BK$9)),NA()),"")</f>
        <v>-7</v>
      </c>
      <c r="BE35" s="50">
        <f>IFERROR(IF(INDEX(Daten_Motive!$A:$ZZ,MATCH($B35&amp;"|Umweltschutz",Daten_Motive!$A$1:$A$331,0),$BK$7)="","",INDEX(Daten_Motive!$A:$ZZ,MATCH($B35&amp;"|Umweltschutz",Daten_Motive!$A$1:$A$331,0),$BK$7)),"")</f>
        <v>41</v>
      </c>
      <c r="BF35" s="49">
        <f>IFERROR(BE35-IFERROR(IF(INDEX(Daten_Motive!$A:$ZZ,MATCH($B35&amp;"|Umweltschutz",Daten_Motive!$A$1:$A$331,0),$BK$8)="",NA(),INDEX(Daten_Motive!$A:$ZZ,MATCH($B35&amp;"|Umweltschutz",Daten_Motive!$A$1:$A$331,0),$BK$8)),NA()),"")</f>
        <v>5</v>
      </c>
      <c r="BG35" s="49">
        <f>IFERROR(BE35-IFERROR(IF(INDEX(Daten_Motive!$A:$ZZ,MATCH($B35&amp;"|Umweltschutz",Daten_Motive!$A$1:$A$331,0),$BK$9)="",NA(),INDEX(Daten_Motive!$A:$ZZ,MATCH($B35&amp;"|Umweltschutz",Daten_Motive!$A$1:$A$331,0),$BK$9)),NA()),"")</f>
        <v>5</v>
      </c>
      <c r="BH35" s="50">
        <f>IFERROR(IF(INDEX(Daten_Motive!$A:$ZZ,MATCH($B35&amp;"|Kapazitätserweiterung",Daten_Motive!$A$1:$A$331,0),$BK$7)="","",INDEX(Daten_Motive!$A:$ZZ,MATCH($B35&amp;"|Kapazitätserweiterung",Daten_Motive!$A$1:$A$331,0),$BK$7)),"")</f>
        <v>21</v>
      </c>
      <c r="BI35" s="49">
        <f>IFERROR(BH35-IFERROR(IF(INDEX(Daten_Motive!$A:$ZZ,MATCH($B35&amp;"|Kapazitätserweiterung",Daten_Motive!$A$1:$A$331,0),$BK$8)="",NA(),INDEX(Daten_Motive!$A:$ZZ,MATCH($B35&amp;"|Kapazitätserweiterung",Daten_Motive!$A$1:$A$331,0),$BK$8)),NA()),"")</f>
        <v>8</v>
      </c>
      <c r="BJ35" s="49">
        <f>IFERROR(BH35-IFERROR(IF(INDEX(Daten_Motive!$A:$ZZ,MATCH($B35&amp;"|Kapazitätserweiterung",Daten_Motive!$A$1:$A$331,0),$BK$9)="",NA(),INDEX(Daten_Motive!$A:$ZZ,MATCH($B35&amp;"|Kapazitätserweiterung",Daten_Motive!$A$1:$A$331,0),$BK$9)),NA()),"")</f>
        <v>-2</v>
      </c>
    </row>
    <row r="36" spans="1:62" x14ac:dyDescent="0.25">
      <c r="A36" s="42">
        <v>28</v>
      </c>
      <c r="B36" s="51" t="str">
        <f>Listen!A29</f>
        <v>Baugewerbe</v>
      </c>
      <c r="C36" s="44" t="s">
        <v>4522</v>
      </c>
      <c r="D36" s="44" t="str">
        <f>Listen!B29</f>
        <v>Bau</v>
      </c>
      <c r="E36" s="45">
        <f>IFERROR(IF(INDEX(Daten_Anteile!$A:$ZZ,MATCH($B36&amp;"|Lage|"&amp;$C$3,Daten_Anteile!$A$1:$A$2971,0),5)="","",INDEX(Daten_Anteile!$A:$ZZ,MATCH($B36&amp;"|Lage|"&amp;$C$3,Daten_Anteile!$A$1:$A$2971,0),5)),"")</f>
        <v>1569</v>
      </c>
      <c r="F36" s="46">
        <f t="shared" si="0"/>
        <v>93.5</v>
      </c>
      <c r="G36" s="47">
        <f t="shared" si="1"/>
        <v>1</v>
      </c>
      <c r="H36" s="47">
        <f t="shared" si="2"/>
        <v>-3.8</v>
      </c>
      <c r="I36" s="48">
        <f>IFERROR(IF(INDEX(Daten_Salden!$A:$ZZ,MATCH($B36&amp;"|Lage",Daten_Salden!$A$1:$A$331,0),$BK$1)="","",INDEX(Daten_Salden!$A:$ZZ,MATCH($B36&amp;"|Lage",Daten_Salden!$A$1:$A$331,0),$BK$1)),"")</f>
        <v>12</v>
      </c>
      <c r="J36" s="49">
        <f>IFERROR(I36-IFERROR(IF(INDEX(Daten_Salden!$A:$ZZ,MATCH($B36&amp;"|Lage",Daten_Salden!$A$1:$A$331,0),$BK$2)="",NA(),INDEX(Daten_Salden!$A:$ZZ,MATCH($B36&amp;"|Lage",Daten_Salden!$A$1:$A$331,0),$BK$2)),NA()),"")</f>
        <v>5</v>
      </c>
      <c r="K36" s="49">
        <f>IFERROR(I36-IFERROR(IF(INDEX(Daten_Salden!$A:$ZZ,MATCH($B36&amp;"|Lage",Daten_Salden!$A$1:$A$331,0),$BK$3)="",NA(),INDEX(Daten_Salden!$A:$ZZ,MATCH($B36&amp;"|Lage",Daten_Salden!$A$1:$A$331,0),$BK$3)),NA()),"")</f>
        <v>-2</v>
      </c>
      <c r="L36" s="48">
        <f>IFERROR(IF(INDEX(Daten_Salden!$A:$ZZ,MATCH($B36&amp;"|Erwartungen",Daten_Salden!$A$1:$A$331,0),$BK$1)="","",INDEX(Daten_Salden!$A:$ZZ,MATCH($B36&amp;"|Erwartungen",Daten_Salden!$A$1:$A$331,0),$BK$1)),"")</f>
        <v>-22</v>
      </c>
      <c r="M36" s="49">
        <f>IFERROR(L36-IFERROR(IF(INDEX(Daten_Salden!$A:$ZZ,MATCH($B36&amp;"|Erwartungen",Daten_Salden!$A$1:$A$331,0),$BK$2)="",NA(),INDEX(Daten_Salden!$A:$ZZ,MATCH($B36&amp;"|Erwartungen",Daten_Salden!$A$1:$A$331,0),$BK$2)),NA()),"")</f>
        <v>-2</v>
      </c>
      <c r="N36" s="49">
        <f>IFERROR(L36-IFERROR(IF(INDEX(Daten_Salden!$A:$ZZ,MATCH($B36&amp;"|Erwartungen",Daten_Salden!$A$1:$A$331,0),$BK$3)="",NA(),INDEX(Daten_Salden!$A:$ZZ,MATCH($B36&amp;"|Erwartungen",Daten_Salden!$A$1:$A$331,0),$BK$3)),NA()),"")</f>
        <v>-5</v>
      </c>
      <c r="O36" s="48" t="str">
        <f>IFERROR(IF(INDEX(Daten_Salden!$A:$ZZ,MATCH($B36&amp;"|Export",Daten_Salden!$A$1:$A$331,0),$BK$1)="","",INDEX(Daten_Salden!$A:$ZZ,MATCH($B36&amp;"|Export",Daten_Salden!$A$1:$A$331,0),$BK$1)),"")</f>
        <v/>
      </c>
      <c r="P36" s="49" t="str">
        <f>IFERROR(O36-IFERROR(IF(INDEX(Daten_Salden!$A:$ZZ,MATCH($B36&amp;"|Export",Daten_Salden!$A$1:$A$331,0),$BK$2)="",NA(),INDEX(Daten_Salden!$A:$ZZ,MATCH($B36&amp;"|Export",Daten_Salden!$A$1:$A$331,0),$BK$2)),NA()),"")</f>
        <v/>
      </c>
      <c r="Q36" s="49" t="str">
        <f>IFERROR(O36-IFERROR(IF(INDEX(Daten_Salden!$A:$ZZ,MATCH($B36&amp;"|Export",Daten_Salden!$A$1:$A$331,0),$BK$3)="",NA(),INDEX(Daten_Salden!$A:$ZZ,MATCH($B36&amp;"|Export",Daten_Salden!$A$1:$A$331,0),$BK$3)),NA()),"")</f>
        <v/>
      </c>
      <c r="R36" s="48">
        <f>IFERROR(IF(INDEX(Daten_Salden!$A:$ZZ,MATCH($B36&amp;"|Investitionen",Daten_Salden!$A$1:$A$331,0),$BK$1)="","",INDEX(Daten_Salden!$A:$ZZ,MATCH($B36&amp;"|Investitionen",Daten_Salden!$A$1:$A$331,0),$BK$1)),"")</f>
        <v>-19</v>
      </c>
      <c r="S36" s="49">
        <f>IFERROR(R36-IFERROR(IF(INDEX(Daten_Salden!$A:$ZZ,MATCH($B36&amp;"|Investitionen",Daten_Salden!$A$1:$A$331,0),$BK$2)="",NA(),INDEX(Daten_Salden!$A:$ZZ,MATCH($B36&amp;"|Investitionen",Daten_Salden!$A$1:$A$331,0),$BK$2)),NA()),"")</f>
        <v>0</v>
      </c>
      <c r="T36" s="49">
        <f>IFERROR(R36-IFERROR(IF(INDEX(Daten_Salden!$A:$ZZ,MATCH($B36&amp;"|Investitionen",Daten_Salden!$A$1:$A$331,0),$BK$3)="",NA(),INDEX(Daten_Salden!$A:$ZZ,MATCH($B36&amp;"|Investitionen",Daten_Salden!$A$1:$A$331,0),$BK$3)),NA()),"")</f>
        <v>0</v>
      </c>
      <c r="U36" s="48">
        <f>IFERROR(IF(INDEX(Daten_Salden!$A:$ZZ,MATCH($B36&amp;"|Beschäftigung",Daten_Salden!$A$1:$A$331,0),$BK$1)="","",INDEX(Daten_Salden!$A:$ZZ,MATCH($B36&amp;"|Beschäftigung",Daten_Salden!$A$1:$A$331,0),$BK$1)),"")</f>
        <v>-12</v>
      </c>
      <c r="V36" s="49">
        <f>IFERROR(U36-IFERROR(IF(INDEX(Daten_Salden!$A:$ZZ,MATCH($B36&amp;"|Beschäftigung",Daten_Salden!$A$1:$A$331,0),$BK$2)="",NA(),INDEX(Daten_Salden!$A:$ZZ,MATCH($B36&amp;"|Beschäftigung",Daten_Salden!$A$1:$A$331,0),$BK$2)),NA()),"")</f>
        <v>-3</v>
      </c>
      <c r="W36" s="49">
        <f>IFERROR(U36-IFERROR(IF(INDEX(Daten_Salden!$A:$ZZ,MATCH($B36&amp;"|Beschäftigung",Daten_Salden!$A$1:$A$331,0),$BK$3)="",NA(),INDEX(Daten_Salden!$A:$ZZ,MATCH($B36&amp;"|Beschäftigung",Daten_Salden!$A$1:$A$331,0),$BK$3)),NA()),"")</f>
        <v>-1</v>
      </c>
      <c r="X36" s="50">
        <f>IFERROR(IF(INDEX(Daten_Risiken!$A:$ZZ,MATCH($B36&amp;"|Energie- und Rohstoffpreise",Daten_Risiken!$A$1:$A$529,0),$BK$4)="","",INDEX(Daten_Risiken!$A:$ZZ,MATCH($B36&amp;"|Energie- und Rohstoffpreise",Daten_Risiken!$A$1:$A$529,0),$BK$4)),"")</f>
        <v>78</v>
      </c>
      <c r="Y36" s="49">
        <f>IFERROR(X36-IFERROR(IF(INDEX(Daten_Risiken!$A:$ZZ,MATCH($B36&amp;"|Energie- und Rohstoffpreise",Daten_Risiken!$A$1:$A$529,0),$BK$5)="",NA(),INDEX(Daten_Risiken!$A:$ZZ,MATCH($B36&amp;"|Energie- und Rohstoffpreise",Daten_Risiken!$A$1:$A$529,0),$BK$5)),NA()),"")</f>
        <v>-4</v>
      </c>
      <c r="Z36" s="49">
        <f>IFERROR(X36-IFERROR(IF(INDEX(Daten_Risiken!$A:$ZZ,MATCH($B36&amp;"|Energie- und Rohstoffpreise",Daten_Risiken!$A$1:$A$529,0),$BK$6)="",NA(),INDEX(Daten_Risiken!$A:$ZZ,MATCH($B36&amp;"|Energie- und Rohstoffpreise",Daten_Risiken!$A$1:$A$529,0),$BK$6)),NA()),"")</f>
        <v>24</v>
      </c>
      <c r="AA36" s="50">
        <f>IFERROR(IF(INDEX(Daten_Risiken!$A:$ZZ,MATCH($B36&amp;"|Arbeitskosten",Daten_Risiken!$A$1:$A$529,0),$BK$4)="","",INDEX(Daten_Risiken!$A:$ZZ,MATCH($B36&amp;"|Arbeitskosten",Daten_Risiken!$A$1:$A$529,0),$BK$4)),"")</f>
        <v>60</v>
      </c>
      <c r="AB36" s="49">
        <f>IFERROR(AA36-IFERROR(IF(INDEX(Daten_Risiken!$A:$ZZ,MATCH($B36&amp;"|Arbeitskosten",Daten_Risiken!$A$1:$A$529,0),$BK$5)="",NA(),INDEX(Daten_Risiken!$A:$ZZ,MATCH($B36&amp;"|Arbeitskosten",Daten_Risiken!$A$1:$A$529,0),$BK$5)),NA()),"")</f>
        <v>1</v>
      </c>
      <c r="AC36" s="49">
        <f>IFERROR(AA36-IFERROR(IF(INDEX(Daten_Risiken!$A:$ZZ,MATCH($B36&amp;"|Arbeitskosten",Daten_Risiken!$A$1:$A$529,0),$BK$6)="",NA(),INDEX(Daten_Risiken!$A:$ZZ,MATCH($B36&amp;"|Arbeitskosten",Daten_Risiken!$A$1:$A$529,0),$BK$6)),NA()),"")</f>
        <v>3</v>
      </c>
      <c r="AD36" s="50">
        <f>IFERROR(IF(INDEX(Daten_Risiken!$A:$ZZ,MATCH($B36&amp;"|Inlandsnachfrage",Daten_Risiken!$A$1:$A$529,0),$BK$4)="","",INDEX(Daten_Risiken!$A:$ZZ,MATCH($B36&amp;"|Inlandsnachfrage",Daten_Risiken!$A$1:$A$529,0),$BK$4)),"")</f>
        <v>50</v>
      </c>
      <c r="AE36" s="49">
        <f>IFERROR(AD36-IFERROR(IF(INDEX(Daten_Risiken!$A:$ZZ,MATCH($B36&amp;"|Inlandsnachfrage",Daten_Risiken!$A$1:$A$529,0),$BK$5)="",NA(),INDEX(Daten_Risiken!$A:$ZZ,MATCH($B36&amp;"|Inlandsnachfrage",Daten_Risiken!$A$1:$A$529,0),$BK$5)),NA()),"")</f>
        <v>0</v>
      </c>
      <c r="AF36" s="49">
        <f>IFERROR(AD36-IFERROR(IF(INDEX(Daten_Risiken!$A:$ZZ,MATCH($B36&amp;"|Inlandsnachfrage",Daten_Risiken!$A$1:$A$529,0),$BK$6)="",NA(),INDEX(Daten_Risiken!$A:$ZZ,MATCH($B36&amp;"|Inlandsnachfrage",Daten_Risiken!$A$1:$A$529,0),$BK$6)),NA()),"")</f>
        <v>-2</v>
      </c>
      <c r="AG36" s="50">
        <f>IFERROR(IF(INDEX(Daten_Risiken!$A:$ZZ,MATCH($B36&amp;"|Wirtschaftspolitische Rahmenbedingungen",Daten_Risiken!$A$1:$A$529,0),$BK$4)="","",INDEX(Daten_Risiken!$A:$ZZ,MATCH($B36&amp;"|Wirtschaftspolitische Rahmenbedingungen",Daten_Risiken!$A$1:$A$529,0),$BK$4)),"")</f>
        <v>54</v>
      </c>
      <c r="AH36" s="49">
        <f>IFERROR(AG36-IFERROR(IF(INDEX(Daten_Risiken!$A:$ZZ,MATCH($B36&amp;"|Wirtschaftspolitische Rahmenbedingungen",Daten_Risiken!$A$1:$A$529,0),$BK$5)="",NA(),INDEX(Daten_Risiken!$A:$ZZ,MATCH($B36&amp;"|Wirtschaftspolitische Rahmenbedingungen",Daten_Risiken!$A$1:$A$529,0),$BK$5)),NA()),"")</f>
        <v>0</v>
      </c>
      <c r="AI36" s="49">
        <f>IFERROR(AG36-IFERROR(IF(INDEX(Daten_Risiken!$A:$ZZ,MATCH($B36&amp;"|Wirtschaftspolitische Rahmenbedingungen",Daten_Risiken!$A$1:$A$529,0),$BK$6)="",NA(),INDEX(Daten_Risiken!$A:$ZZ,MATCH($B36&amp;"|Wirtschaftspolitische Rahmenbedingungen",Daten_Risiken!$A$1:$A$529,0),$BK$6)),NA()),"")</f>
        <v>3</v>
      </c>
      <c r="AJ36" s="50">
        <f>IFERROR(IF(INDEX(Daten_Risiken!$A:$ZZ,MATCH($B36&amp;"|Fachkräftemangel",Daten_Risiken!$A$1:$A$529,0),$BK$4)="","",INDEX(Daten_Risiken!$A:$ZZ,MATCH($B36&amp;"|Fachkräftemangel",Daten_Risiken!$A$1:$A$529,0),$BK$4)),"")</f>
        <v>57</v>
      </c>
      <c r="AK36" s="49">
        <f>IFERROR(AJ36-IFERROR(IF(INDEX(Daten_Risiken!$A:$ZZ,MATCH($B36&amp;"|Fachkräftemangel",Daten_Risiken!$A$1:$A$529,0),$BK$5)="",NA(),INDEX(Daten_Risiken!$A:$ZZ,MATCH($B36&amp;"|Fachkräftemangel",Daten_Risiken!$A$1:$A$529,0),$BK$5)),NA()),"")</f>
        <v>3</v>
      </c>
      <c r="AL36" s="49">
        <f>IFERROR(AJ36-IFERROR(IF(INDEX(Daten_Risiken!$A:$ZZ,MATCH($B36&amp;"|Fachkräftemangel",Daten_Risiken!$A$1:$A$529,0),$BK$6)="",NA(),INDEX(Daten_Risiken!$A:$ZZ,MATCH($B36&amp;"|Fachkräftemangel",Daten_Risiken!$A$1:$A$529,0),$BK$6)),NA()),"")</f>
        <v>-2</v>
      </c>
      <c r="AM36" s="50" t="str">
        <f>IFERROR(IF(INDEX(Daten_Risiken!$A:$ZZ,MATCH($B36&amp;"|Auslandsnachfrage",Daten_Risiken!$A$1:$A$529,0),$BK$4)="","",INDEX(Daten_Risiken!$A:$ZZ,MATCH($B36&amp;"|Auslandsnachfrage",Daten_Risiken!$A$1:$A$529,0),$BK$4)),"")</f>
        <v/>
      </c>
      <c r="AN36" s="49" t="str">
        <f>IFERROR(AM36-IFERROR(IF(INDEX(Daten_Risiken!$A:$ZZ,MATCH($B36&amp;"|Auslandsnachfrage",Daten_Risiken!$A$1:$A$529,0),$BK$5)="",NA(),INDEX(Daten_Risiken!$A:$ZZ,MATCH($B36&amp;"|Auslandsnachfrage",Daten_Risiken!$A$1:$A$529,0),$BK$5)),NA()),"")</f>
        <v/>
      </c>
      <c r="AO36" s="49" t="str">
        <f>IFERROR(AM36-IFERROR(IF(INDEX(Daten_Risiken!$A:$ZZ,MATCH($B36&amp;"|Auslandsnachfrage",Daten_Risiken!$A$1:$A$529,0),$BK$6)="",NA(),INDEX(Daten_Risiken!$A:$ZZ,MATCH($B36&amp;"|Auslandsnachfrage",Daten_Risiken!$A$1:$A$529,0),$BK$6)),NA()),"")</f>
        <v/>
      </c>
      <c r="AP36" s="50">
        <f>IFERROR(IF(INDEX(Daten_Risiken!$A:$ZZ,MATCH($B36&amp;"|Finanzierung",Daten_Risiken!$A$1:$A$529,0),$BK$4)="","",INDEX(Daten_Risiken!$A:$ZZ,MATCH($B36&amp;"|Finanzierung",Daten_Risiken!$A$1:$A$529,0),$BK$4)),"")</f>
        <v>23</v>
      </c>
      <c r="AQ36" s="49">
        <f>IFERROR(AP36-IFERROR(IF(INDEX(Daten_Risiken!$A:$ZZ,MATCH($B36&amp;"|Finanzierung",Daten_Risiken!$A$1:$A$529,0),$BK$5)="",NA(),INDEX(Daten_Risiken!$A:$ZZ,MATCH($B36&amp;"|Finanzierung",Daten_Risiken!$A$1:$A$529,0),$BK$5)),NA()),"")</f>
        <v>3</v>
      </c>
      <c r="AR36" s="49">
        <f>IFERROR(AP36-IFERROR(IF(INDEX(Daten_Risiken!$A:$ZZ,MATCH($B36&amp;"|Finanzierung",Daten_Risiken!$A$1:$A$529,0),$BK$6)="",NA(),INDEX(Daten_Risiken!$A:$ZZ,MATCH($B36&amp;"|Finanzierung",Daten_Risiken!$A$1:$A$529,0),$BK$6)),NA()),"")</f>
        <v>3</v>
      </c>
      <c r="AS36" s="50" t="str">
        <f>IFERROR(IF(INDEX(Daten_Risiken!$A:$ZZ,MATCH($B36&amp;"|Wechselkurs",Daten_Risiken!$A$1:$A$529,0),$BK$4)="","",INDEX(Daten_Risiken!$A:$ZZ,MATCH($B36&amp;"|Wechselkurs",Daten_Risiken!$A$1:$A$529,0),$BK$4)),"")</f>
        <v/>
      </c>
      <c r="AT36" s="49" t="str">
        <f>IFERROR(AS36-IFERROR(IF(INDEX(Daten_Risiken!$A:$ZZ,MATCH($B36&amp;"|Wechselkurs",Daten_Risiken!$A$1:$A$529,0),$BK$5)="",NA(),INDEX(Daten_Risiken!$A:$ZZ,MATCH($B36&amp;"|Wechselkurs",Daten_Risiken!$A$1:$A$529,0),$BK$5)),NA()),"")</f>
        <v/>
      </c>
      <c r="AU36" s="49" t="str">
        <f>IFERROR(AS36-IFERROR(IF(INDEX(Daten_Risiken!$A:$ZZ,MATCH($B36&amp;"|Wechselkurs",Daten_Risiken!$A$1:$A$529,0),$BK$6)="",NA(),INDEX(Daten_Risiken!$A:$ZZ,MATCH($B36&amp;"|Wechselkurs",Daten_Risiken!$A$1:$A$529,0),$BK$6)),NA()),"")</f>
        <v/>
      </c>
      <c r="AV36" s="50">
        <f>IFERROR(IF(INDEX(Daten_Motive!$A:$ZZ,MATCH($B36&amp;"|Ersatzbedarf",Daten_Motive!$A$1:$A$331,0),$BK$7)="","",INDEX(Daten_Motive!$A:$ZZ,MATCH($B36&amp;"|Ersatzbedarf",Daten_Motive!$A$1:$A$331,0),$BK$7)),"")</f>
        <v>79</v>
      </c>
      <c r="AW36" s="49">
        <f>IFERROR(AV36-IFERROR(IF(INDEX(Daten_Motive!$A:$ZZ,MATCH($B36&amp;"|Ersatzbedarf",Daten_Motive!$A$1:$A$331,0),$BK$8)="",NA(),INDEX(Daten_Motive!$A:$ZZ,MATCH($B36&amp;"|Ersatzbedarf",Daten_Motive!$A$1:$A$331,0),$BK$8)),NA()),"")</f>
        <v>0</v>
      </c>
      <c r="AX36" s="49">
        <f>IFERROR(AV36-IFERROR(IF(INDEX(Daten_Motive!$A:$ZZ,MATCH($B36&amp;"|Ersatzbedarf",Daten_Motive!$A$1:$A$331,0),$BK$9)="",NA(),INDEX(Daten_Motive!$A:$ZZ,MATCH($B36&amp;"|Ersatzbedarf",Daten_Motive!$A$1:$A$331,0),$BK$9)),NA()),"")</f>
        <v>0</v>
      </c>
      <c r="AY36" s="50">
        <f>IFERROR(IF(INDEX(Daten_Motive!$A:$ZZ,MATCH($B36&amp;"|Rationalisierung",Daten_Motive!$A$1:$A$331,0),$BK$7)="","",INDEX(Daten_Motive!$A:$ZZ,MATCH($B36&amp;"|Rationalisierung",Daten_Motive!$A$1:$A$331,0),$BK$7)),"")</f>
        <v>25</v>
      </c>
      <c r="AZ36" s="49">
        <f>IFERROR(AY36-IFERROR(IF(INDEX(Daten_Motive!$A:$ZZ,MATCH($B36&amp;"|Rationalisierung",Daten_Motive!$A$1:$A$331,0),$BK$8)="",NA(),INDEX(Daten_Motive!$A:$ZZ,MATCH($B36&amp;"|Rationalisierung",Daten_Motive!$A$1:$A$331,0),$BK$8)),NA()),"")</f>
        <v>1</v>
      </c>
      <c r="BA36" s="49">
        <f>IFERROR(AY36-IFERROR(IF(INDEX(Daten_Motive!$A:$ZZ,MATCH($B36&amp;"|Rationalisierung",Daten_Motive!$A$1:$A$331,0),$BK$9)="",NA(),INDEX(Daten_Motive!$A:$ZZ,MATCH($B36&amp;"|Rationalisierung",Daten_Motive!$A$1:$A$331,0),$BK$9)),NA()),"")</f>
        <v>1</v>
      </c>
      <c r="BB36" s="50">
        <f>IFERROR(IF(INDEX(Daten_Motive!$A:$ZZ,MATCH($B36&amp;"|Produktinnovation",Daten_Motive!$A$1:$A$331,0),$BK$7)="","",INDEX(Daten_Motive!$A:$ZZ,MATCH($B36&amp;"|Produktinnovation",Daten_Motive!$A$1:$A$331,0),$BK$7)),"")</f>
        <v>19</v>
      </c>
      <c r="BC36" s="49">
        <f>IFERROR(BB36-IFERROR(IF(INDEX(Daten_Motive!$A:$ZZ,MATCH($B36&amp;"|Produktinnovation",Daten_Motive!$A$1:$A$331,0),$BK$8)="",NA(),INDEX(Daten_Motive!$A:$ZZ,MATCH($B36&amp;"|Produktinnovation",Daten_Motive!$A$1:$A$331,0),$BK$8)),NA()),"")</f>
        <v>2</v>
      </c>
      <c r="BD36" s="49">
        <f>IFERROR(BB36-IFERROR(IF(INDEX(Daten_Motive!$A:$ZZ,MATCH($B36&amp;"|Produktinnovation",Daten_Motive!$A$1:$A$331,0),$BK$9)="",NA(),INDEX(Daten_Motive!$A:$ZZ,MATCH($B36&amp;"|Produktinnovation",Daten_Motive!$A$1:$A$331,0),$BK$9)),NA()),"")</f>
        <v>2</v>
      </c>
      <c r="BE36" s="50">
        <f>IFERROR(IF(INDEX(Daten_Motive!$A:$ZZ,MATCH($B36&amp;"|Umweltschutz",Daten_Motive!$A$1:$A$331,0),$BK$7)="","",INDEX(Daten_Motive!$A:$ZZ,MATCH($B36&amp;"|Umweltschutz",Daten_Motive!$A$1:$A$331,0),$BK$7)),"")</f>
        <v>16</v>
      </c>
      <c r="BF36" s="49">
        <f>IFERROR(BE36-IFERROR(IF(INDEX(Daten_Motive!$A:$ZZ,MATCH($B36&amp;"|Umweltschutz",Daten_Motive!$A$1:$A$331,0),$BK$8)="",NA(),INDEX(Daten_Motive!$A:$ZZ,MATCH($B36&amp;"|Umweltschutz",Daten_Motive!$A$1:$A$331,0),$BK$8)),NA()),"")</f>
        <v>0</v>
      </c>
      <c r="BG36" s="49">
        <f>IFERROR(BE36-IFERROR(IF(INDEX(Daten_Motive!$A:$ZZ,MATCH($B36&amp;"|Umweltschutz",Daten_Motive!$A$1:$A$331,0),$BK$9)="",NA(),INDEX(Daten_Motive!$A:$ZZ,MATCH($B36&amp;"|Umweltschutz",Daten_Motive!$A$1:$A$331,0),$BK$9)),NA()),"")</f>
        <v>2</v>
      </c>
      <c r="BH36" s="50">
        <f>IFERROR(IF(INDEX(Daten_Motive!$A:$ZZ,MATCH($B36&amp;"|Kapazitätserweiterung",Daten_Motive!$A$1:$A$331,0),$BK$7)="","",INDEX(Daten_Motive!$A:$ZZ,MATCH($B36&amp;"|Kapazitätserweiterung",Daten_Motive!$A$1:$A$331,0),$BK$7)),"")</f>
        <v>16</v>
      </c>
      <c r="BI36" s="49">
        <f>IFERROR(BH36-IFERROR(IF(INDEX(Daten_Motive!$A:$ZZ,MATCH($B36&amp;"|Kapazitätserweiterung",Daten_Motive!$A$1:$A$331,0),$BK$8)="",NA(),INDEX(Daten_Motive!$A:$ZZ,MATCH($B36&amp;"|Kapazitätserweiterung",Daten_Motive!$A$1:$A$331,0),$BK$8)),NA()),"")</f>
        <v>-5</v>
      </c>
      <c r="BJ36" s="49">
        <f>IFERROR(BH36-IFERROR(IF(INDEX(Daten_Motive!$A:$ZZ,MATCH($B36&amp;"|Kapazitätserweiterung",Daten_Motive!$A$1:$A$331,0),$BK$9)="",NA(),INDEX(Daten_Motive!$A:$ZZ,MATCH($B36&amp;"|Kapazitätserweiterung",Daten_Motive!$A$1:$A$331,0),$BK$9)),NA()),"")</f>
        <v>-2</v>
      </c>
    </row>
    <row r="37" spans="1:62" x14ac:dyDescent="0.25">
      <c r="A37" s="42">
        <v>29</v>
      </c>
      <c r="B37" s="52" t="str">
        <f>Listen!A30</f>
        <v>Hochbau</v>
      </c>
      <c r="C37" s="44" t="s">
        <v>4523</v>
      </c>
      <c r="D37" s="44" t="str">
        <f>Listen!B30</f>
        <v>Bau</v>
      </c>
      <c r="E37" s="45">
        <f>IFERROR(IF(INDEX(Daten_Anteile!$A:$ZZ,MATCH($B37&amp;"|Lage|"&amp;$C$3,Daten_Anteile!$A$1:$A$2971,0),5)="","",INDEX(Daten_Anteile!$A:$ZZ,MATCH($B37&amp;"|Lage|"&amp;$C$3,Daten_Anteile!$A$1:$A$2971,0),5)),"")</f>
        <v>454</v>
      </c>
      <c r="F37" s="46">
        <f t="shared" si="0"/>
        <v>91.8</v>
      </c>
      <c r="G37" s="47">
        <f t="shared" si="1"/>
        <v>1.4</v>
      </c>
      <c r="H37" s="47">
        <f t="shared" si="2"/>
        <v>2.9</v>
      </c>
      <c r="I37" s="48">
        <f>IFERROR(IF(INDEX(Daten_Salden!$A:$ZZ,MATCH($B37&amp;"|Lage",Daten_Salden!$A$1:$A$331,0),$BK$1)="","",INDEX(Daten_Salden!$A:$ZZ,MATCH($B37&amp;"|Lage",Daten_Salden!$A$1:$A$331,0),$BK$1)),"")</f>
        <v>8</v>
      </c>
      <c r="J37" s="49">
        <f>IFERROR(I37-IFERROR(IF(INDEX(Daten_Salden!$A:$ZZ,MATCH($B37&amp;"|Lage",Daten_Salden!$A$1:$A$331,0),$BK$2)="",NA(),INDEX(Daten_Salden!$A:$ZZ,MATCH($B37&amp;"|Lage",Daten_Salden!$A$1:$A$331,0),$BK$2)),NA()),"")</f>
        <v>7</v>
      </c>
      <c r="K37" s="49">
        <f>IFERROR(I37-IFERROR(IF(INDEX(Daten_Salden!$A:$ZZ,MATCH($B37&amp;"|Lage",Daten_Salden!$A$1:$A$331,0),$BK$3)="",NA(),INDEX(Daten_Salden!$A:$ZZ,MATCH($B37&amp;"|Lage",Daten_Salden!$A$1:$A$331,0),$BK$3)),NA()),"")</f>
        <v>8</v>
      </c>
      <c r="L37" s="48">
        <f>IFERROR(IF(INDEX(Daten_Salden!$A:$ZZ,MATCH($B37&amp;"|Erwartungen",Daten_Salden!$A$1:$A$331,0),$BK$1)="","",INDEX(Daten_Salden!$A:$ZZ,MATCH($B37&amp;"|Erwartungen",Daten_Salden!$A$1:$A$331,0),$BK$1)),"")</f>
        <v>-22</v>
      </c>
      <c r="M37" s="49">
        <f>IFERROR(L37-IFERROR(IF(INDEX(Daten_Salden!$A:$ZZ,MATCH($B37&amp;"|Erwartungen",Daten_Salden!$A$1:$A$331,0),$BK$2)="",NA(),INDEX(Daten_Salden!$A:$ZZ,MATCH($B37&amp;"|Erwartungen",Daten_Salden!$A$1:$A$331,0),$BK$2)),NA()),"")</f>
        <v>-3</v>
      </c>
      <c r="N37" s="49">
        <f>IFERROR(L37-IFERROR(IF(INDEX(Daten_Salden!$A:$ZZ,MATCH($B37&amp;"|Erwartungen",Daten_Salden!$A$1:$A$331,0),$BK$3)="",NA(),INDEX(Daten_Salden!$A:$ZZ,MATCH($B37&amp;"|Erwartungen",Daten_Salden!$A$1:$A$331,0),$BK$3)),NA()),"")</f>
        <v>-1</v>
      </c>
      <c r="O37" s="48" t="str">
        <f>IFERROR(IF(INDEX(Daten_Salden!$A:$ZZ,MATCH($B37&amp;"|Export",Daten_Salden!$A$1:$A$331,0),$BK$1)="","",INDEX(Daten_Salden!$A:$ZZ,MATCH($B37&amp;"|Export",Daten_Salden!$A$1:$A$331,0),$BK$1)),"")</f>
        <v/>
      </c>
      <c r="P37" s="49" t="str">
        <f>IFERROR(O37-IFERROR(IF(INDEX(Daten_Salden!$A:$ZZ,MATCH($B37&amp;"|Export",Daten_Salden!$A$1:$A$331,0),$BK$2)="",NA(),INDEX(Daten_Salden!$A:$ZZ,MATCH($B37&amp;"|Export",Daten_Salden!$A$1:$A$331,0),$BK$2)),NA()),"")</f>
        <v/>
      </c>
      <c r="Q37" s="49" t="str">
        <f>IFERROR(O37-IFERROR(IF(INDEX(Daten_Salden!$A:$ZZ,MATCH($B37&amp;"|Export",Daten_Salden!$A$1:$A$331,0),$BK$3)="",NA(),INDEX(Daten_Salden!$A:$ZZ,MATCH($B37&amp;"|Export",Daten_Salden!$A$1:$A$331,0),$BK$3)),NA()),"")</f>
        <v/>
      </c>
      <c r="R37" s="48">
        <f>IFERROR(IF(INDEX(Daten_Salden!$A:$ZZ,MATCH($B37&amp;"|Investitionen",Daten_Salden!$A$1:$A$331,0),$BK$1)="","",INDEX(Daten_Salden!$A:$ZZ,MATCH($B37&amp;"|Investitionen",Daten_Salden!$A$1:$A$331,0),$BK$1)),"")</f>
        <v>-23</v>
      </c>
      <c r="S37" s="49">
        <f>IFERROR(R37-IFERROR(IF(INDEX(Daten_Salden!$A:$ZZ,MATCH($B37&amp;"|Investitionen",Daten_Salden!$A$1:$A$331,0),$BK$2)="",NA(),INDEX(Daten_Salden!$A:$ZZ,MATCH($B37&amp;"|Investitionen",Daten_Salden!$A$1:$A$331,0),$BK$2)),NA()),"")</f>
        <v>-6</v>
      </c>
      <c r="T37" s="49">
        <f>IFERROR(R37-IFERROR(IF(INDEX(Daten_Salden!$A:$ZZ,MATCH($B37&amp;"|Investitionen",Daten_Salden!$A$1:$A$331,0),$BK$3)="",NA(),INDEX(Daten_Salden!$A:$ZZ,MATCH($B37&amp;"|Investitionen",Daten_Salden!$A$1:$A$331,0),$BK$3)),NA()),"")</f>
        <v>2</v>
      </c>
      <c r="U37" s="48">
        <f>IFERROR(IF(INDEX(Daten_Salden!$A:$ZZ,MATCH($B37&amp;"|Beschäftigung",Daten_Salden!$A$1:$A$331,0),$BK$1)="","",INDEX(Daten_Salden!$A:$ZZ,MATCH($B37&amp;"|Beschäftigung",Daten_Salden!$A$1:$A$331,0),$BK$1)),"")</f>
        <v>-12</v>
      </c>
      <c r="V37" s="49">
        <f>IFERROR(U37-IFERROR(IF(INDEX(Daten_Salden!$A:$ZZ,MATCH($B37&amp;"|Beschäftigung",Daten_Salden!$A$1:$A$331,0),$BK$2)="",NA(),INDEX(Daten_Salden!$A:$ZZ,MATCH($B37&amp;"|Beschäftigung",Daten_Salden!$A$1:$A$331,0),$BK$2)),NA()),"")</f>
        <v>0</v>
      </c>
      <c r="W37" s="49">
        <f>IFERROR(U37-IFERROR(IF(INDEX(Daten_Salden!$A:$ZZ,MATCH($B37&amp;"|Beschäftigung",Daten_Salden!$A$1:$A$331,0),$BK$3)="",NA(),INDEX(Daten_Salden!$A:$ZZ,MATCH($B37&amp;"|Beschäftigung",Daten_Salden!$A$1:$A$331,0),$BK$3)),NA()),"")</f>
        <v>1</v>
      </c>
      <c r="X37" s="50">
        <f>IFERROR(IF(INDEX(Daten_Risiken!$A:$ZZ,MATCH($B37&amp;"|Energie- und Rohstoffpreise",Daten_Risiken!$A$1:$A$529,0),$BK$4)="","",INDEX(Daten_Risiken!$A:$ZZ,MATCH($B37&amp;"|Energie- und Rohstoffpreise",Daten_Risiken!$A$1:$A$529,0),$BK$4)),"")</f>
        <v>80</v>
      </c>
      <c r="Y37" s="49">
        <f>IFERROR(X37-IFERROR(IF(INDEX(Daten_Risiken!$A:$ZZ,MATCH($B37&amp;"|Energie- und Rohstoffpreise",Daten_Risiken!$A$1:$A$529,0),$BK$5)="",NA(),INDEX(Daten_Risiken!$A:$ZZ,MATCH($B37&amp;"|Energie- und Rohstoffpreise",Daten_Risiken!$A$1:$A$529,0),$BK$5)),NA()),"")</f>
        <v>-5</v>
      </c>
      <c r="Z37" s="49">
        <f>IFERROR(X37-IFERROR(IF(INDEX(Daten_Risiken!$A:$ZZ,MATCH($B37&amp;"|Energie- und Rohstoffpreise",Daten_Risiken!$A$1:$A$529,0),$BK$6)="",NA(),INDEX(Daten_Risiken!$A:$ZZ,MATCH($B37&amp;"|Energie- und Rohstoffpreise",Daten_Risiken!$A$1:$A$529,0),$BK$6)),NA()),"")</f>
        <v>26</v>
      </c>
      <c r="AA37" s="50">
        <f>IFERROR(IF(INDEX(Daten_Risiken!$A:$ZZ,MATCH($B37&amp;"|Arbeitskosten",Daten_Risiken!$A$1:$A$529,0),$BK$4)="","",INDEX(Daten_Risiken!$A:$ZZ,MATCH($B37&amp;"|Arbeitskosten",Daten_Risiken!$A$1:$A$529,0),$BK$4)),"")</f>
        <v>60</v>
      </c>
      <c r="AB37" s="49">
        <f>IFERROR(AA37-IFERROR(IF(INDEX(Daten_Risiken!$A:$ZZ,MATCH($B37&amp;"|Arbeitskosten",Daten_Risiken!$A$1:$A$529,0),$BK$5)="",NA(),INDEX(Daten_Risiken!$A:$ZZ,MATCH($B37&amp;"|Arbeitskosten",Daten_Risiken!$A$1:$A$529,0),$BK$5)),NA()),"")</f>
        <v>3</v>
      </c>
      <c r="AC37" s="49">
        <f>IFERROR(AA37-IFERROR(IF(INDEX(Daten_Risiken!$A:$ZZ,MATCH($B37&amp;"|Arbeitskosten",Daten_Risiken!$A$1:$A$529,0),$BK$6)="",NA(),INDEX(Daten_Risiken!$A:$ZZ,MATCH($B37&amp;"|Arbeitskosten",Daten_Risiken!$A$1:$A$529,0),$BK$6)),NA()),"")</f>
        <v>3</v>
      </c>
      <c r="AD37" s="50">
        <f>IFERROR(IF(INDEX(Daten_Risiken!$A:$ZZ,MATCH($B37&amp;"|Inlandsnachfrage",Daten_Risiken!$A$1:$A$529,0),$BK$4)="","",INDEX(Daten_Risiken!$A:$ZZ,MATCH($B37&amp;"|Inlandsnachfrage",Daten_Risiken!$A$1:$A$529,0),$BK$4)),"")</f>
        <v>57</v>
      </c>
      <c r="AE37" s="49">
        <f>IFERROR(AD37-IFERROR(IF(INDEX(Daten_Risiken!$A:$ZZ,MATCH($B37&amp;"|Inlandsnachfrage",Daten_Risiken!$A$1:$A$529,0),$BK$5)="",NA(),INDEX(Daten_Risiken!$A:$ZZ,MATCH($B37&amp;"|Inlandsnachfrage",Daten_Risiken!$A$1:$A$529,0),$BK$5)),NA()),"")</f>
        <v>2</v>
      </c>
      <c r="AF37" s="49">
        <f>IFERROR(AD37-IFERROR(IF(INDEX(Daten_Risiken!$A:$ZZ,MATCH($B37&amp;"|Inlandsnachfrage",Daten_Risiken!$A$1:$A$529,0),$BK$6)="",NA(),INDEX(Daten_Risiken!$A:$ZZ,MATCH($B37&amp;"|Inlandsnachfrage",Daten_Risiken!$A$1:$A$529,0),$BK$6)),NA()),"")</f>
        <v>-5</v>
      </c>
      <c r="AG37" s="50">
        <f>IFERROR(IF(INDEX(Daten_Risiken!$A:$ZZ,MATCH($B37&amp;"|Wirtschaftspolitische Rahmenbedingungen",Daten_Risiken!$A$1:$A$529,0),$BK$4)="","",INDEX(Daten_Risiken!$A:$ZZ,MATCH($B37&amp;"|Wirtschaftspolitische Rahmenbedingungen",Daten_Risiken!$A$1:$A$529,0),$BK$4)),"")</f>
        <v>55</v>
      </c>
      <c r="AH37" s="49">
        <f>IFERROR(AG37-IFERROR(IF(INDEX(Daten_Risiken!$A:$ZZ,MATCH($B37&amp;"|Wirtschaftspolitische Rahmenbedingungen",Daten_Risiken!$A$1:$A$529,0),$BK$5)="",NA(),INDEX(Daten_Risiken!$A:$ZZ,MATCH($B37&amp;"|Wirtschaftspolitische Rahmenbedingungen",Daten_Risiken!$A$1:$A$529,0),$BK$5)),NA()),"")</f>
        <v>2</v>
      </c>
      <c r="AI37" s="49">
        <f>IFERROR(AG37-IFERROR(IF(INDEX(Daten_Risiken!$A:$ZZ,MATCH($B37&amp;"|Wirtschaftspolitische Rahmenbedingungen",Daten_Risiken!$A$1:$A$529,0),$BK$6)="",NA(),INDEX(Daten_Risiken!$A:$ZZ,MATCH($B37&amp;"|Wirtschaftspolitische Rahmenbedingungen",Daten_Risiken!$A$1:$A$529,0),$BK$6)),NA()),"")</f>
        <v>2</v>
      </c>
      <c r="AJ37" s="50">
        <f>IFERROR(IF(INDEX(Daten_Risiken!$A:$ZZ,MATCH($B37&amp;"|Fachkräftemangel",Daten_Risiken!$A$1:$A$529,0),$BK$4)="","",INDEX(Daten_Risiken!$A:$ZZ,MATCH($B37&amp;"|Fachkräftemangel",Daten_Risiken!$A$1:$A$529,0),$BK$4)),"")</f>
        <v>61</v>
      </c>
      <c r="AK37" s="49">
        <f>IFERROR(AJ37-IFERROR(IF(INDEX(Daten_Risiken!$A:$ZZ,MATCH($B37&amp;"|Fachkräftemangel",Daten_Risiken!$A$1:$A$529,0),$BK$5)="",NA(),INDEX(Daten_Risiken!$A:$ZZ,MATCH($B37&amp;"|Fachkräftemangel",Daten_Risiken!$A$1:$A$529,0),$BK$5)),NA()),"")</f>
        <v>8</v>
      </c>
      <c r="AL37" s="49">
        <f>IFERROR(AJ37-IFERROR(IF(INDEX(Daten_Risiken!$A:$ZZ,MATCH($B37&amp;"|Fachkräftemangel",Daten_Risiken!$A$1:$A$529,0),$BK$6)="",NA(),INDEX(Daten_Risiken!$A:$ZZ,MATCH($B37&amp;"|Fachkräftemangel",Daten_Risiken!$A$1:$A$529,0),$BK$6)),NA()),"")</f>
        <v>0</v>
      </c>
      <c r="AM37" s="50" t="str">
        <f>IFERROR(IF(INDEX(Daten_Risiken!$A:$ZZ,MATCH($B37&amp;"|Auslandsnachfrage",Daten_Risiken!$A$1:$A$529,0),$BK$4)="","",INDEX(Daten_Risiken!$A:$ZZ,MATCH($B37&amp;"|Auslandsnachfrage",Daten_Risiken!$A$1:$A$529,0),$BK$4)),"")</f>
        <v/>
      </c>
      <c r="AN37" s="49" t="str">
        <f>IFERROR(AM37-IFERROR(IF(INDEX(Daten_Risiken!$A:$ZZ,MATCH($B37&amp;"|Auslandsnachfrage",Daten_Risiken!$A$1:$A$529,0),$BK$5)="",NA(),INDEX(Daten_Risiken!$A:$ZZ,MATCH($B37&amp;"|Auslandsnachfrage",Daten_Risiken!$A$1:$A$529,0),$BK$5)),NA()),"")</f>
        <v/>
      </c>
      <c r="AO37" s="49" t="str">
        <f>IFERROR(AM37-IFERROR(IF(INDEX(Daten_Risiken!$A:$ZZ,MATCH($B37&amp;"|Auslandsnachfrage",Daten_Risiken!$A$1:$A$529,0),$BK$6)="",NA(),INDEX(Daten_Risiken!$A:$ZZ,MATCH($B37&amp;"|Auslandsnachfrage",Daten_Risiken!$A$1:$A$529,0),$BK$6)),NA()),"")</f>
        <v/>
      </c>
      <c r="AP37" s="50">
        <f>IFERROR(IF(INDEX(Daten_Risiken!$A:$ZZ,MATCH($B37&amp;"|Finanzierung",Daten_Risiken!$A$1:$A$529,0),$BK$4)="","",INDEX(Daten_Risiken!$A:$ZZ,MATCH($B37&amp;"|Finanzierung",Daten_Risiken!$A$1:$A$529,0),$BK$4)),"")</f>
        <v>24</v>
      </c>
      <c r="AQ37" s="49">
        <f>IFERROR(AP37-IFERROR(IF(INDEX(Daten_Risiken!$A:$ZZ,MATCH($B37&amp;"|Finanzierung",Daten_Risiken!$A$1:$A$529,0),$BK$5)="",NA(),INDEX(Daten_Risiken!$A:$ZZ,MATCH($B37&amp;"|Finanzierung",Daten_Risiken!$A$1:$A$529,0),$BK$5)),NA()),"")</f>
        <v>1</v>
      </c>
      <c r="AR37" s="49">
        <f>IFERROR(AP37-IFERROR(IF(INDEX(Daten_Risiken!$A:$ZZ,MATCH($B37&amp;"|Finanzierung",Daten_Risiken!$A$1:$A$529,0),$BK$6)="",NA(),INDEX(Daten_Risiken!$A:$ZZ,MATCH($B37&amp;"|Finanzierung",Daten_Risiken!$A$1:$A$529,0),$BK$6)),NA()),"")</f>
        <v>5</v>
      </c>
      <c r="AS37" s="50" t="str">
        <f>IFERROR(IF(INDEX(Daten_Risiken!$A:$ZZ,MATCH($B37&amp;"|Wechselkurs",Daten_Risiken!$A$1:$A$529,0),$BK$4)="","",INDEX(Daten_Risiken!$A:$ZZ,MATCH($B37&amp;"|Wechselkurs",Daten_Risiken!$A$1:$A$529,0),$BK$4)),"")</f>
        <v/>
      </c>
      <c r="AT37" s="49" t="str">
        <f>IFERROR(AS37-IFERROR(IF(INDEX(Daten_Risiken!$A:$ZZ,MATCH($B37&amp;"|Wechselkurs",Daten_Risiken!$A$1:$A$529,0),$BK$5)="",NA(),INDEX(Daten_Risiken!$A:$ZZ,MATCH($B37&amp;"|Wechselkurs",Daten_Risiken!$A$1:$A$529,0),$BK$5)),NA()),"")</f>
        <v/>
      </c>
      <c r="AU37" s="49" t="str">
        <f>IFERROR(AS37-IFERROR(IF(INDEX(Daten_Risiken!$A:$ZZ,MATCH($B37&amp;"|Wechselkurs",Daten_Risiken!$A$1:$A$529,0),$BK$6)="",NA(),INDEX(Daten_Risiken!$A:$ZZ,MATCH($B37&amp;"|Wechselkurs",Daten_Risiken!$A$1:$A$529,0),$BK$6)),NA()),"")</f>
        <v/>
      </c>
      <c r="AV37" s="50">
        <f>IFERROR(IF(INDEX(Daten_Motive!$A:$ZZ,MATCH($B37&amp;"|Ersatzbedarf",Daten_Motive!$A$1:$A$331,0),$BK$7)="","",INDEX(Daten_Motive!$A:$ZZ,MATCH($B37&amp;"|Ersatzbedarf",Daten_Motive!$A$1:$A$331,0),$BK$7)),"")</f>
        <v>86</v>
      </c>
      <c r="AW37" s="49">
        <f>IFERROR(AV37-IFERROR(IF(INDEX(Daten_Motive!$A:$ZZ,MATCH($B37&amp;"|Ersatzbedarf",Daten_Motive!$A$1:$A$331,0),$BK$8)="",NA(),INDEX(Daten_Motive!$A:$ZZ,MATCH($B37&amp;"|Ersatzbedarf",Daten_Motive!$A$1:$A$331,0),$BK$8)),NA()),"")</f>
        <v>-3</v>
      </c>
      <c r="AX37" s="49">
        <f>IFERROR(AV37-IFERROR(IF(INDEX(Daten_Motive!$A:$ZZ,MATCH($B37&amp;"|Ersatzbedarf",Daten_Motive!$A$1:$A$331,0),$BK$9)="",NA(),INDEX(Daten_Motive!$A:$ZZ,MATCH($B37&amp;"|Ersatzbedarf",Daten_Motive!$A$1:$A$331,0),$BK$9)),NA()),"")</f>
        <v>1</v>
      </c>
      <c r="AY37" s="50">
        <f>IFERROR(IF(INDEX(Daten_Motive!$A:$ZZ,MATCH($B37&amp;"|Rationalisierung",Daten_Motive!$A$1:$A$331,0),$BK$7)="","",INDEX(Daten_Motive!$A:$ZZ,MATCH($B37&amp;"|Rationalisierung",Daten_Motive!$A$1:$A$331,0),$BK$7)),"")</f>
        <v>26</v>
      </c>
      <c r="AZ37" s="49">
        <f>IFERROR(AY37-IFERROR(IF(INDEX(Daten_Motive!$A:$ZZ,MATCH($B37&amp;"|Rationalisierung",Daten_Motive!$A$1:$A$331,0),$BK$8)="",NA(),INDEX(Daten_Motive!$A:$ZZ,MATCH($B37&amp;"|Rationalisierung",Daten_Motive!$A$1:$A$331,0),$BK$8)),NA()),"")</f>
        <v>4</v>
      </c>
      <c r="BA37" s="49">
        <f>IFERROR(AY37-IFERROR(IF(INDEX(Daten_Motive!$A:$ZZ,MATCH($B37&amp;"|Rationalisierung",Daten_Motive!$A$1:$A$331,0),$BK$9)="",NA(),INDEX(Daten_Motive!$A:$ZZ,MATCH($B37&amp;"|Rationalisierung",Daten_Motive!$A$1:$A$331,0),$BK$9)),NA()),"")</f>
        <v>1</v>
      </c>
      <c r="BB37" s="50">
        <f>IFERROR(IF(INDEX(Daten_Motive!$A:$ZZ,MATCH($B37&amp;"|Produktinnovation",Daten_Motive!$A$1:$A$331,0),$BK$7)="","",INDEX(Daten_Motive!$A:$ZZ,MATCH($B37&amp;"|Produktinnovation",Daten_Motive!$A$1:$A$331,0),$BK$7)),"")</f>
        <v>20</v>
      </c>
      <c r="BC37" s="49">
        <f>IFERROR(BB37-IFERROR(IF(INDEX(Daten_Motive!$A:$ZZ,MATCH($B37&amp;"|Produktinnovation",Daten_Motive!$A$1:$A$331,0),$BK$8)="",NA(),INDEX(Daten_Motive!$A:$ZZ,MATCH($B37&amp;"|Produktinnovation",Daten_Motive!$A$1:$A$331,0),$BK$8)),NA()),"")</f>
        <v>4</v>
      </c>
      <c r="BD37" s="49">
        <f>IFERROR(BB37-IFERROR(IF(INDEX(Daten_Motive!$A:$ZZ,MATCH($B37&amp;"|Produktinnovation",Daten_Motive!$A$1:$A$331,0),$BK$9)="",NA(),INDEX(Daten_Motive!$A:$ZZ,MATCH($B37&amp;"|Produktinnovation",Daten_Motive!$A$1:$A$331,0),$BK$9)),NA()),"")</f>
        <v>3</v>
      </c>
      <c r="BE37" s="50">
        <f>IFERROR(IF(INDEX(Daten_Motive!$A:$ZZ,MATCH($B37&amp;"|Umweltschutz",Daten_Motive!$A$1:$A$331,0),$BK$7)="","",INDEX(Daten_Motive!$A:$ZZ,MATCH($B37&amp;"|Umweltschutz",Daten_Motive!$A$1:$A$331,0),$BK$7)),"")</f>
        <v>17</v>
      </c>
      <c r="BF37" s="49">
        <f>IFERROR(BE37-IFERROR(IF(INDEX(Daten_Motive!$A:$ZZ,MATCH($B37&amp;"|Umweltschutz",Daten_Motive!$A$1:$A$331,0),$BK$8)="",NA(),INDEX(Daten_Motive!$A:$ZZ,MATCH($B37&amp;"|Umweltschutz",Daten_Motive!$A$1:$A$331,0),$BK$8)),NA()),"")</f>
        <v>1</v>
      </c>
      <c r="BG37" s="49">
        <f>IFERROR(BE37-IFERROR(IF(INDEX(Daten_Motive!$A:$ZZ,MATCH($B37&amp;"|Umweltschutz",Daten_Motive!$A$1:$A$331,0),$BK$9)="",NA(),INDEX(Daten_Motive!$A:$ZZ,MATCH($B37&amp;"|Umweltschutz",Daten_Motive!$A$1:$A$331,0),$BK$9)),NA()),"")</f>
        <v>4</v>
      </c>
      <c r="BH37" s="50">
        <f>IFERROR(IF(INDEX(Daten_Motive!$A:$ZZ,MATCH($B37&amp;"|Kapazitätserweiterung",Daten_Motive!$A$1:$A$331,0),$BK$7)="","",INDEX(Daten_Motive!$A:$ZZ,MATCH($B37&amp;"|Kapazitätserweiterung",Daten_Motive!$A$1:$A$331,0),$BK$7)),"")</f>
        <v>15</v>
      </c>
      <c r="BI37" s="49">
        <f>IFERROR(BH37-IFERROR(IF(INDEX(Daten_Motive!$A:$ZZ,MATCH($B37&amp;"|Kapazitätserweiterung",Daten_Motive!$A$1:$A$331,0),$BK$8)="",NA(),INDEX(Daten_Motive!$A:$ZZ,MATCH($B37&amp;"|Kapazitätserweiterung",Daten_Motive!$A$1:$A$331,0),$BK$8)),NA()),"")</f>
        <v>-6</v>
      </c>
      <c r="BJ37" s="49">
        <f>IFERROR(BH37-IFERROR(IF(INDEX(Daten_Motive!$A:$ZZ,MATCH($B37&amp;"|Kapazitätserweiterung",Daten_Motive!$A$1:$A$331,0),$BK$9)="",NA(),INDEX(Daten_Motive!$A:$ZZ,MATCH($B37&amp;"|Kapazitätserweiterung",Daten_Motive!$A$1:$A$331,0),$BK$9)),NA()),"")</f>
        <v>0</v>
      </c>
    </row>
    <row r="38" spans="1:62" x14ac:dyDescent="0.25">
      <c r="A38" s="42">
        <v>30</v>
      </c>
      <c r="B38" s="52" t="str">
        <f>Listen!A31</f>
        <v>Tiefbau</v>
      </c>
      <c r="C38" s="44" t="s">
        <v>4524</v>
      </c>
      <c r="D38" s="44" t="str">
        <f>Listen!B31</f>
        <v>Bau</v>
      </c>
      <c r="E38" s="45">
        <f>IFERROR(IF(INDEX(Daten_Anteile!$A:$ZZ,MATCH($B38&amp;"|Lage|"&amp;$C$3,Daten_Anteile!$A$1:$A$2971,0),5)="","",INDEX(Daten_Anteile!$A:$ZZ,MATCH($B38&amp;"|Lage|"&amp;$C$3,Daten_Anteile!$A$1:$A$2971,0),5)),"")</f>
        <v>199</v>
      </c>
      <c r="F38" s="46">
        <f t="shared" si="0"/>
        <v>92.8</v>
      </c>
      <c r="G38" s="47">
        <f t="shared" si="1"/>
        <v>-2.2999999999999998</v>
      </c>
      <c r="H38" s="47">
        <f t="shared" si="2"/>
        <v>-5</v>
      </c>
      <c r="I38" s="48">
        <f>IFERROR(IF(INDEX(Daten_Salden!$A:$ZZ,MATCH($B38&amp;"|Lage",Daten_Salden!$A$1:$A$331,0),$BK$1)="","",INDEX(Daten_Salden!$A:$ZZ,MATCH($B38&amp;"|Lage",Daten_Salden!$A$1:$A$331,0),$BK$1)),"")</f>
        <v>18</v>
      </c>
      <c r="J38" s="49">
        <f>IFERROR(I38-IFERROR(IF(INDEX(Daten_Salden!$A:$ZZ,MATCH($B38&amp;"|Lage",Daten_Salden!$A$1:$A$331,0),$BK$2)="",NA(),INDEX(Daten_Salden!$A:$ZZ,MATCH($B38&amp;"|Lage",Daten_Salden!$A$1:$A$331,0),$BK$2)),NA()),"")</f>
        <v>5</v>
      </c>
      <c r="K38" s="49">
        <f>IFERROR(I38-IFERROR(IF(INDEX(Daten_Salden!$A:$ZZ,MATCH($B38&amp;"|Lage",Daten_Salden!$A$1:$A$331,0),$BK$3)="",NA(),INDEX(Daten_Salden!$A:$ZZ,MATCH($B38&amp;"|Lage",Daten_Salden!$A$1:$A$331,0),$BK$3)),NA()),"")</f>
        <v>-3</v>
      </c>
      <c r="L38" s="48">
        <f>IFERROR(IF(INDEX(Daten_Salden!$A:$ZZ,MATCH($B38&amp;"|Erwartungen",Daten_Salden!$A$1:$A$331,0),$BK$1)="","",INDEX(Daten_Salden!$A:$ZZ,MATCH($B38&amp;"|Erwartungen",Daten_Salden!$A$1:$A$331,0),$BK$1)),"")</f>
        <v>-27</v>
      </c>
      <c r="M38" s="49">
        <f>IFERROR(L38-IFERROR(IF(INDEX(Daten_Salden!$A:$ZZ,MATCH($B38&amp;"|Erwartungen",Daten_Salden!$A$1:$A$331,0),$BK$2)="",NA(),INDEX(Daten_Salden!$A:$ZZ,MATCH($B38&amp;"|Erwartungen",Daten_Salden!$A$1:$A$331,0),$BK$2)),NA()),"")</f>
        <v>-7</v>
      </c>
      <c r="N38" s="49">
        <f>IFERROR(L38-IFERROR(IF(INDEX(Daten_Salden!$A:$ZZ,MATCH($B38&amp;"|Erwartungen",Daten_Salden!$A$1:$A$331,0),$BK$3)="",NA(),INDEX(Daten_Salden!$A:$ZZ,MATCH($B38&amp;"|Erwartungen",Daten_Salden!$A$1:$A$331,0),$BK$3)),NA()),"")</f>
        <v>-6</v>
      </c>
      <c r="O38" s="48" t="str">
        <f>IFERROR(IF(INDEX(Daten_Salden!$A:$ZZ,MATCH($B38&amp;"|Export",Daten_Salden!$A$1:$A$331,0),$BK$1)="","",INDEX(Daten_Salden!$A:$ZZ,MATCH($B38&amp;"|Export",Daten_Salden!$A$1:$A$331,0),$BK$1)),"")</f>
        <v/>
      </c>
      <c r="P38" s="49" t="str">
        <f>IFERROR(O38-IFERROR(IF(INDEX(Daten_Salden!$A:$ZZ,MATCH($B38&amp;"|Export",Daten_Salden!$A$1:$A$331,0),$BK$2)="",NA(),INDEX(Daten_Salden!$A:$ZZ,MATCH($B38&amp;"|Export",Daten_Salden!$A$1:$A$331,0),$BK$2)),NA()),"")</f>
        <v/>
      </c>
      <c r="Q38" s="49" t="str">
        <f>IFERROR(O38-IFERROR(IF(INDEX(Daten_Salden!$A:$ZZ,MATCH($B38&amp;"|Export",Daten_Salden!$A$1:$A$331,0),$BK$3)="",NA(),INDEX(Daten_Salden!$A:$ZZ,MATCH($B38&amp;"|Export",Daten_Salden!$A$1:$A$331,0),$BK$3)),NA()),"")</f>
        <v/>
      </c>
      <c r="R38" s="48">
        <f>IFERROR(IF(INDEX(Daten_Salden!$A:$ZZ,MATCH($B38&amp;"|Investitionen",Daten_Salden!$A$1:$A$331,0),$BK$1)="","",INDEX(Daten_Salden!$A:$ZZ,MATCH($B38&amp;"|Investitionen",Daten_Salden!$A$1:$A$331,0),$BK$1)),"")</f>
        <v>-18</v>
      </c>
      <c r="S38" s="49">
        <f>IFERROR(R38-IFERROR(IF(INDEX(Daten_Salden!$A:$ZZ,MATCH($B38&amp;"|Investitionen",Daten_Salden!$A$1:$A$331,0),$BK$2)="",NA(),INDEX(Daten_Salden!$A:$ZZ,MATCH($B38&amp;"|Investitionen",Daten_Salden!$A$1:$A$331,0),$BK$2)),NA()),"")</f>
        <v>-2</v>
      </c>
      <c r="T38" s="49">
        <f>IFERROR(R38-IFERROR(IF(INDEX(Daten_Salden!$A:$ZZ,MATCH($B38&amp;"|Investitionen",Daten_Salden!$A$1:$A$331,0),$BK$3)="",NA(),INDEX(Daten_Salden!$A:$ZZ,MATCH($B38&amp;"|Investitionen",Daten_Salden!$A$1:$A$331,0),$BK$3)),NA()),"")</f>
        <v>-7</v>
      </c>
      <c r="U38" s="48">
        <f>IFERROR(IF(INDEX(Daten_Salden!$A:$ZZ,MATCH($B38&amp;"|Beschäftigung",Daten_Salden!$A$1:$A$331,0),$BK$1)="","",INDEX(Daten_Salden!$A:$ZZ,MATCH($B38&amp;"|Beschäftigung",Daten_Salden!$A$1:$A$331,0),$BK$1)),"")</f>
        <v>-8</v>
      </c>
      <c r="V38" s="49">
        <f>IFERROR(U38-IFERROR(IF(INDEX(Daten_Salden!$A:$ZZ,MATCH($B38&amp;"|Beschäftigung",Daten_Salden!$A$1:$A$331,0),$BK$2)="",NA(),INDEX(Daten_Salden!$A:$ZZ,MATCH($B38&amp;"|Beschäftigung",Daten_Salden!$A$1:$A$331,0),$BK$2)),NA()),"")</f>
        <v>-4</v>
      </c>
      <c r="W38" s="49">
        <f>IFERROR(U38-IFERROR(IF(INDEX(Daten_Salden!$A:$ZZ,MATCH($B38&amp;"|Beschäftigung",Daten_Salden!$A$1:$A$331,0),$BK$3)="",NA(),INDEX(Daten_Salden!$A:$ZZ,MATCH($B38&amp;"|Beschäftigung",Daten_Salden!$A$1:$A$331,0),$BK$3)),NA()),"")</f>
        <v>0</v>
      </c>
      <c r="X38" s="50">
        <f>IFERROR(IF(INDEX(Daten_Risiken!$A:$ZZ,MATCH($B38&amp;"|Energie- und Rohstoffpreise",Daten_Risiken!$A$1:$A$529,0),$BK$4)="","",INDEX(Daten_Risiken!$A:$ZZ,MATCH($B38&amp;"|Energie- und Rohstoffpreise",Daten_Risiken!$A$1:$A$529,0),$BK$4)),"")</f>
        <v>85</v>
      </c>
      <c r="Y38" s="49">
        <f>IFERROR(X38-IFERROR(IF(INDEX(Daten_Risiken!$A:$ZZ,MATCH($B38&amp;"|Energie- und Rohstoffpreise",Daten_Risiken!$A$1:$A$529,0),$BK$5)="",NA(),INDEX(Daten_Risiken!$A:$ZZ,MATCH($B38&amp;"|Energie- und Rohstoffpreise",Daten_Risiken!$A$1:$A$529,0),$BK$5)),NA()),"")</f>
        <v>1</v>
      </c>
      <c r="Z38" s="49">
        <f>IFERROR(X38-IFERROR(IF(INDEX(Daten_Risiken!$A:$ZZ,MATCH($B38&amp;"|Energie- und Rohstoffpreise",Daten_Risiken!$A$1:$A$529,0),$BK$6)="",NA(),INDEX(Daten_Risiken!$A:$ZZ,MATCH($B38&amp;"|Energie- und Rohstoffpreise",Daten_Risiken!$A$1:$A$529,0),$BK$6)),NA()),"")</f>
        <v>29</v>
      </c>
      <c r="AA38" s="50">
        <f>IFERROR(IF(INDEX(Daten_Risiken!$A:$ZZ,MATCH($B38&amp;"|Arbeitskosten",Daten_Risiken!$A$1:$A$529,0),$BK$4)="","",INDEX(Daten_Risiken!$A:$ZZ,MATCH($B38&amp;"|Arbeitskosten",Daten_Risiken!$A$1:$A$529,0),$BK$4)),"")</f>
        <v>60</v>
      </c>
      <c r="AB38" s="49">
        <f>IFERROR(AA38-IFERROR(IF(INDEX(Daten_Risiken!$A:$ZZ,MATCH($B38&amp;"|Arbeitskosten",Daten_Risiken!$A$1:$A$529,0),$BK$5)="",NA(),INDEX(Daten_Risiken!$A:$ZZ,MATCH($B38&amp;"|Arbeitskosten",Daten_Risiken!$A$1:$A$529,0),$BK$5)),NA()),"")</f>
        <v>-5</v>
      </c>
      <c r="AC38" s="49">
        <f>IFERROR(AA38-IFERROR(IF(INDEX(Daten_Risiken!$A:$ZZ,MATCH($B38&amp;"|Arbeitskosten",Daten_Risiken!$A$1:$A$529,0),$BK$6)="",NA(),INDEX(Daten_Risiken!$A:$ZZ,MATCH($B38&amp;"|Arbeitskosten",Daten_Risiken!$A$1:$A$529,0),$BK$6)),NA()),"")</f>
        <v>-1</v>
      </c>
      <c r="AD38" s="50">
        <f>IFERROR(IF(INDEX(Daten_Risiken!$A:$ZZ,MATCH($B38&amp;"|Inlandsnachfrage",Daten_Risiken!$A$1:$A$529,0),$BK$4)="","",INDEX(Daten_Risiken!$A:$ZZ,MATCH($B38&amp;"|Inlandsnachfrage",Daten_Risiken!$A$1:$A$529,0),$BK$4)),"")</f>
        <v>45</v>
      </c>
      <c r="AE38" s="49">
        <f>IFERROR(AD38-IFERROR(IF(INDEX(Daten_Risiken!$A:$ZZ,MATCH($B38&amp;"|Inlandsnachfrage",Daten_Risiken!$A$1:$A$529,0),$BK$5)="",NA(),INDEX(Daten_Risiken!$A:$ZZ,MATCH($B38&amp;"|Inlandsnachfrage",Daten_Risiken!$A$1:$A$529,0),$BK$5)),NA()),"")</f>
        <v>-2</v>
      </c>
      <c r="AF38" s="49">
        <f>IFERROR(AD38-IFERROR(IF(INDEX(Daten_Risiken!$A:$ZZ,MATCH($B38&amp;"|Inlandsnachfrage",Daten_Risiken!$A$1:$A$529,0),$BK$6)="",NA(),INDEX(Daten_Risiken!$A:$ZZ,MATCH($B38&amp;"|Inlandsnachfrage",Daten_Risiken!$A$1:$A$529,0),$BK$6)),NA()),"")</f>
        <v>-6</v>
      </c>
      <c r="AG38" s="50">
        <f>IFERROR(IF(INDEX(Daten_Risiken!$A:$ZZ,MATCH($B38&amp;"|Wirtschaftspolitische Rahmenbedingungen",Daten_Risiken!$A$1:$A$529,0),$BK$4)="","",INDEX(Daten_Risiken!$A:$ZZ,MATCH($B38&amp;"|Wirtschaftspolitische Rahmenbedingungen",Daten_Risiken!$A$1:$A$529,0),$BK$4)),"")</f>
        <v>44</v>
      </c>
      <c r="AH38" s="49">
        <f>IFERROR(AG38-IFERROR(IF(INDEX(Daten_Risiken!$A:$ZZ,MATCH($B38&amp;"|Wirtschaftspolitische Rahmenbedingungen",Daten_Risiken!$A$1:$A$529,0),$BK$5)="",NA(),INDEX(Daten_Risiken!$A:$ZZ,MATCH($B38&amp;"|Wirtschaftspolitische Rahmenbedingungen",Daten_Risiken!$A$1:$A$529,0),$BK$5)),NA()),"")</f>
        <v>-8</v>
      </c>
      <c r="AI38" s="49">
        <f>IFERROR(AG38-IFERROR(IF(INDEX(Daten_Risiken!$A:$ZZ,MATCH($B38&amp;"|Wirtschaftspolitische Rahmenbedingungen",Daten_Risiken!$A$1:$A$529,0),$BK$6)="",NA(),INDEX(Daten_Risiken!$A:$ZZ,MATCH($B38&amp;"|Wirtschaftspolitische Rahmenbedingungen",Daten_Risiken!$A$1:$A$529,0),$BK$6)),NA()),"")</f>
        <v>-5</v>
      </c>
      <c r="AJ38" s="50">
        <f>IFERROR(IF(INDEX(Daten_Risiken!$A:$ZZ,MATCH($B38&amp;"|Fachkräftemangel",Daten_Risiken!$A$1:$A$529,0),$BK$4)="","",INDEX(Daten_Risiken!$A:$ZZ,MATCH($B38&amp;"|Fachkräftemangel",Daten_Risiken!$A$1:$A$529,0),$BK$4)),"")</f>
        <v>70</v>
      </c>
      <c r="AK38" s="49">
        <f>IFERROR(AJ38-IFERROR(IF(INDEX(Daten_Risiken!$A:$ZZ,MATCH($B38&amp;"|Fachkräftemangel",Daten_Risiken!$A$1:$A$529,0),$BK$5)="",NA(),INDEX(Daten_Risiken!$A:$ZZ,MATCH($B38&amp;"|Fachkräftemangel",Daten_Risiken!$A$1:$A$529,0),$BK$5)),NA()),"")</f>
        <v>12</v>
      </c>
      <c r="AL38" s="49">
        <f>IFERROR(AJ38-IFERROR(IF(INDEX(Daten_Risiken!$A:$ZZ,MATCH($B38&amp;"|Fachkräftemangel",Daten_Risiken!$A$1:$A$529,0),$BK$6)="",NA(),INDEX(Daten_Risiken!$A:$ZZ,MATCH($B38&amp;"|Fachkräftemangel",Daten_Risiken!$A$1:$A$529,0),$BK$6)),NA()),"")</f>
        <v>1</v>
      </c>
      <c r="AM38" s="50" t="str">
        <f>IFERROR(IF(INDEX(Daten_Risiken!$A:$ZZ,MATCH($B38&amp;"|Auslandsnachfrage",Daten_Risiken!$A$1:$A$529,0),$BK$4)="","",INDEX(Daten_Risiken!$A:$ZZ,MATCH($B38&amp;"|Auslandsnachfrage",Daten_Risiken!$A$1:$A$529,0),$BK$4)),"")</f>
        <v/>
      </c>
      <c r="AN38" s="49" t="str">
        <f>IFERROR(AM38-IFERROR(IF(INDEX(Daten_Risiken!$A:$ZZ,MATCH($B38&amp;"|Auslandsnachfrage",Daten_Risiken!$A$1:$A$529,0),$BK$5)="",NA(),INDEX(Daten_Risiken!$A:$ZZ,MATCH($B38&amp;"|Auslandsnachfrage",Daten_Risiken!$A$1:$A$529,0),$BK$5)),NA()),"")</f>
        <v/>
      </c>
      <c r="AO38" s="49" t="str">
        <f>IFERROR(AM38-IFERROR(IF(INDEX(Daten_Risiken!$A:$ZZ,MATCH($B38&amp;"|Auslandsnachfrage",Daten_Risiken!$A$1:$A$529,0),$BK$6)="",NA(),INDEX(Daten_Risiken!$A:$ZZ,MATCH($B38&amp;"|Auslandsnachfrage",Daten_Risiken!$A$1:$A$529,0),$BK$6)),NA()),"")</f>
        <v/>
      </c>
      <c r="AP38" s="50">
        <f>IFERROR(IF(INDEX(Daten_Risiken!$A:$ZZ,MATCH($B38&amp;"|Finanzierung",Daten_Risiken!$A$1:$A$529,0),$BK$4)="","",INDEX(Daten_Risiken!$A:$ZZ,MATCH($B38&amp;"|Finanzierung",Daten_Risiken!$A$1:$A$529,0),$BK$4)),"")</f>
        <v>10</v>
      </c>
      <c r="AQ38" s="49">
        <f>IFERROR(AP38-IFERROR(IF(INDEX(Daten_Risiken!$A:$ZZ,MATCH($B38&amp;"|Finanzierung",Daten_Risiken!$A$1:$A$529,0),$BK$5)="",NA(),INDEX(Daten_Risiken!$A:$ZZ,MATCH($B38&amp;"|Finanzierung",Daten_Risiken!$A$1:$A$529,0),$BK$5)),NA()),"")</f>
        <v>1</v>
      </c>
      <c r="AR38" s="49">
        <f>IFERROR(AP38-IFERROR(IF(INDEX(Daten_Risiken!$A:$ZZ,MATCH($B38&amp;"|Finanzierung",Daten_Risiken!$A$1:$A$529,0),$BK$6)="",NA(),INDEX(Daten_Risiken!$A:$ZZ,MATCH($B38&amp;"|Finanzierung",Daten_Risiken!$A$1:$A$529,0),$BK$6)),NA()),"")</f>
        <v>1</v>
      </c>
      <c r="AS38" s="50" t="str">
        <f>IFERROR(IF(INDEX(Daten_Risiken!$A:$ZZ,MATCH($B38&amp;"|Wechselkurs",Daten_Risiken!$A$1:$A$529,0),$BK$4)="","",INDEX(Daten_Risiken!$A:$ZZ,MATCH($B38&amp;"|Wechselkurs",Daten_Risiken!$A$1:$A$529,0),$BK$4)),"")</f>
        <v/>
      </c>
      <c r="AT38" s="49" t="str">
        <f>IFERROR(AS38-IFERROR(IF(INDEX(Daten_Risiken!$A:$ZZ,MATCH($B38&amp;"|Wechselkurs",Daten_Risiken!$A$1:$A$529,0),$BK$5)="",NA(),INDEX(Daten_Risiken!$A:$ZZ,MATCH($B38&amp;"|Wechselkurs",Daten_Risiken!$A$1:$A$529,0),$BK$5)),NA()),"")</f>
        <v/>
      </c>
      <c r="AU38" s="49" t="str">
        <f>IFERROR(AS38-IFERROR(IF(INDEX(Daten_Risiken!$A:$ZZ,MATCH($B38&amp;"|Wechselkurs",Daten_Risiken!$A$1:$A$529,0),$BK$6)="",NA(),INDEX(Daten_Risiken!$A:$ZZ,MATCH($B38&amp;"|Wechselkurs",Daten_Risiken!$A$1:$A$529,0),$BK$6)),NA()),"")</f>
        <v/>
      </c>
      <c r="AV38" s="50">
        <f>IFERROR(IF(INDEX(Daten_Motive!$A:$ZZ,MATCH($B38&amp;"|Ersatzbedarf",Daten_Motive!$A$1:$A$331,0),$BK$7)="","",INDEX(Daten_Motive!$A:$ZZ,MATCH($B38&amp;"|Ersatzbedarf",Daten_Motive!$A$1:$A$331,0),$BK$7)),"")</f>
        <v>87</v>
      </c>
      <c r="AW38" s="49">
        <f>IFERROR(AV38-IFERROR(IF(INDEX(Daten_Motive!$A:$ZZ,MATCH($B38&amp;"|Ersatzbedarf",Daten_Motive!$A$1:$A$331,0),$BK$8)="",NA(),INDEX(Daten_Motive!$A:$ZZ,MATCH($B38&amp;"|Ersatzbedarf",Daten_Motive!$A$1:$A$331,0),$BK$8)),NA()),"")</f>
        <v>7</v>
      </c>
      <c r="AX38" s="49">
        <f>IFERROR(AV38-IFERROR(IF(INDEX(Daten_Motive!$A:$ZZ,MATCH($B38&amp;"|Ersatzbedarf",Daten_Motive!$A$1:$A$331,0),$BK$9)="",NA(),INDEX(Daten_Motive!$A:$ZZ,MATCH($B38&amp;"|Ersatzbedarf",Daten_Motive!$A$1:$A$331,0),$BK$9)),NA()),"")</f>
        <v>1</v>
      </c>
      <c r="AY38" s="50">
        <f>IFERROR(IF(INDEX(Daten_Motive!$A:$ZZ,MATCH($B38&amp;"|Rationalisierung",Daten_Motive!$A$1:$A$331,0),$BK$7)="","",INDEX(Daten_Motive!$A:$ZZ,MATCH($B38&amp;"|Rationalisierung",Daten_Motive!$A$1:$A$331,0),$BK$7)),"")</f>
        <v>15</v>
      </c>
      <c r="AZ38" s="49">
        <f>IFERROR(AY38-IFERROR(IF(INDEX(Daten_Motive!$A:$ZZ,MATCH($B38&amp;"|Rationalisierung",Daten_Motive!$A$1:$A$331,0),$BK$8)="",NA(),INDEX(Daten_Motive!$A:$ZZ,MATCH($B38&amp;"|Rationalisierung",Daten_Motive!$A$1:$A$331,0),$BK$8)),NA()),"")</f>
        <v>-6</v>
      </c>
      <c r="BA38" s="49">
        <f>IFERROR(AY38-IFERROR(IF(INDEX(Daten_Motive!$A:$ZZ,MATCH($B38&amp;"|Rationalisierung",Daten_Motive!$A$1:$A$331,0),$BK$9)="",NA(),INDEX(Daten_Motive!$A:$ZZ,MATCH($B38&amp;"|Rationalisierung",Daten_Motive!$A$1:$A$331,0),$BK$9)),NA()),"")</f>
        <v>-5</v>
      </c>
      <c r="BB38" s="50">
        <f>IFERROR(IF(INDEX(Daten_Motive!$A:$ZZ,MATCH($B38&amp;"|Produktinnovation",Daten_Motive!$A$1:$A$331,0),$BK$7)="","",INDEX(Daten_Motive!$A:$ZZ,MATCH($B38&amp;"|Produktinnovation",Daten_Motive!$A$1:$A$331,0),$BK$7)),"")</f>
        <v>13</v>
      </c>
      <c r="BC38" s="49">
        <f>IFERROR(BB38-IFERROR(IF(INDEX(Daten_Motive!$A:$ZZ,MATCH($B38&amp;"|Produktinnovation",Daten_Motive!$A$1:$A$331,0),$BK$8)="",NA(),INDEX(Daten_Motive!$A:$ZZ,MATCH($B38&amp;"|Produktinnovation",Daten_Motive!$A$1:$A$331,0),$BK$8)),NA()),"")</f>
        <v>-7</v>
      </c>
      <c r="BD38" s="49">
        <f>IFERROR(BB38-IFERROR(IF(INDEX(Daten_Motive!$A:$ZZ,MATCH($B38&amp;"|Produktinnovation",Daten_Motive!$A$1:$A$331,0),$BK$9)="",NA(),INDEX(Daten_Motive!$A:$ZZ,MATCH($B38&amp;"|Produktinnovation",Daten_Motive!$A$1:$A$331,0),$BK$9)),NA()),"")</f>
        <v>-1</v>
      </c>
      <c r="BE38" s="50">
        <f>IFERROR(IF(INDEX(Daten_Motive!$A:$ZZ,MATCH($B38&amp;"|Umweltschutz",Daten_Motive!$A$1:$A$331,0),$BK$7)="","",INDEX(Daten_Motive!$A:$ZZ,MATCH($B38&amp;"|Umweltschutz",Daten_Motive!$A$1:$A$331,0),$BK$7)),"")</f>
        <v>14</v>
      </c>
      <c r="BF38" s="49">
        <f>IFERROR(BE38-IFERROR(IF(INDEX(Daten_Motive!$A:$ZZ,MATCH($B38&amp;"|Umweltschutz",Daten_Motive!$A$1:$A$331,0),$BK$8)="",NA(),INDEX(Daten_Motive!$A:$ZZ,MATCH($B38&amp;"|Umweltschutz",Daten_Motive!$A$1:$A$331,0),$BK$8)),NA()),"")</f>
        <v>-4</v>
      </c>
      <c r="BG38" s="49">
        <f>IFERROR(BE38-IFERROR(IF(INDEX(Daten_Motive!$A:$ZZ,MATCH($B38&amp;"|Umweltschutz",Daten_Motive!$A$1:$A$331,0),$BK$9)="",NA(),INDEX(Daten_Motive!$A:$ZZ,MATCH($B38&amp;"|Umweltschutz",Daten_Motive!$A$1:$A$331,0),$BK$9)),NA()),"")</f>
        <v>-6</v>
      </c>
      <c r="BH38" s="50">
        <f>IFERROR(IF(INDEX(Daten_Motive!$A:$ZZ,MATCH($B38&amp;"|Kapazitätserweiterung",Daten_Motive!$A$1:$A$331,0),$BK$7)="","",INDEX(Daten_Motive!$A:$ZZ,MATCH($B38&amp;"|Kapazitätserweiterung",Daten_Motive!$A$1:$A$331,0),$BK$7)),"")</f>
        <v>16</v>
      </c>
      <c r="BI38" s="49">
        <f>IFERROR(BH38-IFERROR(IF(INDEX(Daten_Motive!$A:$ZZ,MATCH($B38&amp;"|Kapazitätserweiterung",Daten_Motive!$A$1:$A$331,0),$BK$8)="",NA(),INDEX(Daten_Motive!$A:$ZZ,MATCH($B38&amp;"|Kapazitätserweiterung",Daten_Motive!$A$1:$A$331,0),$BK$8)),NA()),"")</f>
        <v>-3</v>
      </c>
      <c r="BJ38" s="49">
        <f>IFERROR(BH38-IFERROR(IF(INDEX(Daten_Motive!$A:$ZZ,MATCH($B38&amp;"|Kapazitätserweiterung",Daten_Motive!$A$1:$A$331,0),$BK$9)="",NA(),INDEX(Daten_Motive!$A:$ZZ,MATCH($B38&amp;"|Kapazitätserweiterung",Daten_Motive!$A$1:$A$331,0),$BK$9)),NA()),"")</f>
        <v>-6</v>
      </c>
    </row>
    <row r="39" spans="1:62" x14ac:dyDescent="0.25">
      <c r="A39" s="42">
        <v>31</v>
      </c>
      <c r="B39" s="52" t="str">
        <f>Listen!A32</f>
        <v>Ausbaugewerbe</v>
      </c>
      <c r="C39" s="44" t="s">
        <v>4525</v>
      </c>
      <c r="D39" s="44" t="str">
        <f>Listen!B32</f>
        <v>Bau</v>
      </c>
      <c r="E39" s="45">
        <f>IFERROR(IF(INDEX(Daten_Anteile!$A:$ZZ,MATCH($B39&amp;"|Lage|"&amp;$C$3,Daten_Anteile!$A$1:$A$2971,0),5)="","",INDEX(Daten_Anteile!$A:$ZZ,MATCH($B39&amp;"|Lage|"&amp;$C$3,Daten_Anteile!$A$1:$A$2971,0),5)),"")</f>
        <v>607</v>
      </c>
      <c r="F39" s="46">
        <f t="shared" si="0"/>
        <v>96.6</v>
      </c>
      <c r="G39" s="47">
        <f t="shared" si="1"/>
        <v>-1.6</v>
      </c>
      <c r="H39" s="47">
        <f t="shared" si="2"/>
        <v>-5.9</v>
      </c>
      <c r="I39" s="48">
        <f>IFERROR(IF(INDEX(Daten_Salden!$A:$ZZ,MATCH($B39&amp;"|Lage",Daten_Salden!$A$1:$A$331,0),$BK$1)="","",INDEX(Daten_Salden!$A:$ZZ,MATCH($B39&amp;"|Lage",Daten_Salden!$A$1:$A$331,0),$BK$1)),"")</f>
        <v>18</v>
      </c>
      <c r="J39" s="49">
        <f>IFERROR(I39-IFERROR(IF(INDEX(Daten_Salden!$A:$ZZ,MATCH($B39&amp;"|Lage",Daten_Salden!$A$1:$A$331,0),$BK$2)="",NA(),INDEX(Daten_Salden!$A:$ZZ,MATCH($B39&amp;"|Lage",Daten_Salden!$A$1:$A$331,0),$BK$2)),NA()),"")</f>
        <v>-1</v>
      </c>
      <c r="K39" s="49">
        <f>IFERROR(I39-IFERROR(IF(INDEX(Daten_Salden!$A:$ZZ,MATCH($B39&amp;"|Lage",Daten_Salden!$A$1:$A$331,0),$BK$3)="",NA(),INDEX(Daten_Salden!$A:$ZZ,MATCH($B39&amp;"|Lage",Daten_Salden!$A$1:$A$331,0),$BK$3)),NA()),"")</f>
        <v>-7</v>
      </c>
      <c r="L39" s="48">
        <f>IFERROR(IF(INDEX(Daten_Salden!$A:$ZZ,MATCH($B39&amp;"|Erwartungen",Daten_Salden!$A$1:$A$331,0),$BK$1)="","",INDEX(Daten_Salden!$A:$ZZ,MATCH($B39&amp;"|Erwartungen",Daten_Salden!$A$1:$A$331,0),$BK$1)),"")</f>
        <v>-21</v>
      </c>
      <c r="M39" s="49">
        <f>IFERROR(L39-IFERROR(IF(INDEX(Daten_Salden!$A:$ZZ,MATCH($B39&amp;"|Erwartungen",Daten_Salden!$A$1:$A$331,0),$BK$2)="",NA(),INDEX(Daten_Salden!$A:$ZZ,MATCH($B39&amp;"|Erwartungen",Daten_Salden!$A$1:$A$331,0),$BK$2)),NA()),"")</f>
        <v>-2</v>
      </c>
      <c r="N39" s="49">
        <f>IFERROR(L39-IFERROR(IF(INDEX(Daten_Salden!$A:$ZZ,MATCH($B39&amp;"|Erwartungen",Daten_Salden!$A$1:$A$331,0),$BK$3)="",NA(),INDEX(Daten_Salden!$A:$ZZ,MATCH($B39&amp;"|Erwartungen",Daten_Salden!$A$1:$A$331,0),$BK$3)),NA()),"")</f>
        <v>-5</v>
      </c>
      <c r="O39" s="48" t="str">
        <f>IFERROR(IF(INDEX(Daten_Salden!$A:$ZZ,MATCH($B39&amp;"|Export",Daten_Salden!$A$1:$A$331,0),$BK$1)="","",INDEX(Daten_Salden!$A:$ZZ,MATCH($B39&amp;"|Export",Daten_Salden!$A$1:$A$331,0),$BK$1)),"")</f>
        <v/>
      </c>
      <c r="P39" s="49" t="str">
        <f>IFERROR(O39-IFERROR(IF(INDEX(Daten_Salden!$A:$ZZ,MATCH($B39&amp;"|Export",Daten_Salden!$A$1:$A$331,0),$BK$2)="",NA(),INDEX(Daten_Salden!$A:$ZZ,MATCH($B39&amp;"|Export",Daten_Salden!$A$1:$A$331,0),$BK$2)),NA()),"")</f>
        <v/>
      </c>
      <c r="Q39" s="49" t="str">
        <f>IFERROR(O39-IFERROR(IF(INDEX(Daten_Salden!$A:$ZZ,MATCH($B39&amp;"|Export",Daten_Salden!$A$1:$A$331,0),$BK$3)="",NA(),INDEX(Daten_Salden!$A:$ZZ,MATCH($B39&amp;"|Export",Daten_Salden!$A$1:$A$331,0),$BK$3)),NA()),"")</f>
        <v/>
      </c>
      <c r="R39" s="48">
        <f>IFERROR(IF(INDEX(Daten_Salden!$A:$ZZ,MATCH($B39&amp;"|Investitionen",Daten_Salden!$A$1:$A$331,0),$BK$1)="","",INDEX(Daten_Salden!$A:$ZZ,MATCH($B39&amp;"|Investitionen",Daten_Salden!$A$1:$A$331,0),$BK$1)),"")</f>
        <v>-16</v>
      </c>
      <c r="S39" s="49">
        <f>IFERROR(R39-IFERROR(IF(INDEX(Daten_Salden!$A:$ZZ,MATCH($B39&amp;"|Investitionen",Daten_Salden!$A$1:$A$331,0),$BK$2)="",NA(),INDEX(Daten_Salden!$A:$ZZ,MATCH($B39&amp;"|Investitionen",Daten_Salden!$A$1:$A$331,0),$BK$2)),NA()),"")</f>
        <v>5</v>
      </c>
      <c r="T39" s="49">
        <f>IFERROR(R39-IFERROR(IF(INDEX(Daten_Salden!$A:$ZZ,MATCH($B39&amp;"|Investitionen",Daten_Salden!$A$1:$A$331,0),$BK$3)="",NA(),INDEX(Daten_Salden!$A:$ZZ,MATCH($B39&amp;"|Investitionen",Daten_Salden!$A$1:$A$331,0),$BK$3)),NA()),"")</f>
        <v>1</v>
      </c>
      <c r="U39" s="48">
        <f>IFERROR(IF(INDEX(Daten_Salden!$A:$ZZ,MATCH($B39&amp;"|Beschäftigung",Daten_Salden!$A$1:$A$331,0),$BK$1)="","",INDEX(Daten_Salden!$A:$ZZ,MATCH($B39&amp;"|Beschäftigung",Daten_Salden!$A$1:$A$331,0),$BK$1)),"")</f>
        <v>-14</v>
      </c>
      <c r="V39" s="49">
        <f>IFERROR(U39-IFERROR(IF(INDEX(Daten_Salden!$A:$ZZ,MATCH($B39&amp;"|Beschäftigung",Daten_Salden!$A$1:$A$331,0),$BK$2)="",NA(),INDEX(Daten_Salden!$A:$ZZ,MATCH($B39&amp;"|Beschäftigung",Daten_Salden!$A$1:$A$331,0),$BK$2)),NA()),"")</f>
        <v>-6</v>
      </c>
      <c r="W39" s="49">
        <f>IFERROR(U39-IFERROR(IF(INDEX(Daten_Salden!$A:$ZZ,MATCH($B39&amp;"|Beschäftigung",Daten_Salden!$A$1:$A$331,0),$BK$3)="",NA(),INDEX(Daten_Salden!$A:$ZZ,MATCH($B39&amp;"|Beschäftigung",Daten_Salden!$A$1:$A$331,0),$BK$3)),NA()),"")</f>
        <v>-5</v>
      </c>
      <c r="X39" s="50">
        <f>IFERROR(IF(INDEX(Daten_Risiken!$A:$ZZ,MATCH($B39&amp;"|Energie- und Rohstoffpreise",Daten_Risiken!$A$1:$A$529,0),$BK$4)="","",INDEX(Daten_Risiken!$A:$ZZ,MATCH($B39&amp;"|Energie- und Rohstoffpreise",Daten_Risiken!$A$1:$A$529,0),$BK$4)),"")</f>
        <v>77</v>
      </c>
      <c r="Y39" s="49">
        <f>IFERROR(X39-IFERROR(IF(INDEX(Daten_Risiken!$A:$ZZ,MATCH($B39&amp;"|Energie- und Rohstoffpreise",Daten_Risiken!$A$1:$A$529,0),$BK$5)="",NA(),INDEX(Daten_Risiken!$A:$ZZ,MATCH($B39&amp;"|Energie- und Rohstoffpreise",Daten_Risiken!$A$1:$A$529,0),$BK$5)),NA()),"")</f>
        <v>-3</v>
      </c>
      <c r="Z39" s="49">
        <f>IFERROR(X39-IFERROR(IF(INDEX(Daten_Risiken!$A:$ZZ,MATCH($B39&amp;"|Energie- und Rohstoffpreise",Daten_Risiken!$A$1:$A$529,0),$BK$6)="",NA(),INDEX(Daten_Risiken!$A:$ZZ,MATCH($B39&amp;"|Energie- und Rohstoffpreise",Daten_Risiken!$A$1:$A$529,0),$BK$6)),NA()),"")</f>
        <v>24</v>
      </c>
      <c r="AA39" s="50">
        <f>IFERROR(IF(INDEX(Daten_Risiken!$A:$ZZ,MATCH($B39&amp;"|Arbeitskosten",Daten_Risiken!$A$1:$A$529,0),$BK$4)="","",INDEX(Daten_Risiken!$A:$ZZ,MATCH($B39&amp;"|Arbeitskosten",Daten_Risiken!$A$1:$A$529,0),$BK$4)),"")</f>
        <v>66</v>
      </c>
      <c r="AB39" s="49">
        <f>IFERROR(AA39-IFERROR(IF(INDEX(Daten_Risiken!$A:$ZZ,MATCH($B39&amp;"|Arbeitskosten",Daten_Risiken!$A$1:$A$529,0),$BK$5)="",NA(),INDEX(Daten_Risiken!$A:$ZZ,MATCH($B39&amp;"|Arbeitskosten",Daten_Risiken!$A$1:$A$529,0),$BK$5)),NA()),"")</f>
        <v>3</v>
      </c>
      <c r="AC39" s="49">
        <f>IFERROR(AA39-IFERROR(IF(INDEX(Daten_Risiken!$A:$ZZ,MATCH($B39&amp;"|Arbeitskosten",Daten_Risiken!$A$1:$A$529,0),$BK$6)="",NA(),INDEX(Daten_Risiken!$A:$ZZ,MATCH($B39&amp;"|Arbeitskosten",Daten_Risiken!$A$1:$A$529,0),$BK$6)),NA()),"")</f>
        <v>5</v>
      </c>
      <c r="AD39" s="50">
        <f>IFERROR(IF(INDEX(Daten_Risiken!$A:$ZZ,MATCH($B39&amp;"|Inlandsnachfrage",Daten_Risiken!$A$1:$A$529,0),$BK$4)="","",INDEX(Daten_Risiken!$A:$ZZ,MATCH($B39&amp;"|Inlandsnachfrage",Daten_Risiken!$A$1:$A$529,0),$BK$4)),"")</f>
        <v>45</v>
      </c>
      <c r="AE39" s="49">
        <f>IFERROR(AD39-IFERROR(IF(INDEX(Daten_Risiken!$A:$ZZ,MATCH($B39&amp;"|Inlandsnachfrage",Daten_Risiken!$A$1:$A$529,0),$BK$5)="",NA(),INDEX(Daten_Risiken!$A:$ZZ,MATCH($B39&amp;"|Inlandsnachfrage",Daten_Risiken!$A$1:$A$529,0),$BK$5)),NA()),"")</f>
        <v>0</v>
      </c>
      <c r="AF39" s="49">
        <f>IFERROR(AD39-IFERROR(IF(INDEX(Daten_Risiken!$A:$ZZ,MATCH($B39&amp;"|Inlandsnachfrage",Daten_Risiken!$A$1:$A$529,0),$BK$6)="",NA(),INDEX(Daten_Risiken!$A:$ZZ,MATCH($B39&amp;"|Inlandsnachfrage",Daten_Risiken!$A$1:$A$529,0),$BK$6)),NA()),"")</f>
        <v>-1</v>
      </c>
      <c r="AG39" s="50">
        <f>IFERROR(IF(INDEX(Daten_Risiken!$A:$ZZ,MATCH($B39&amp;"|Wirtschaftspolitische Rahmenbedingungen",Daten_Risiken!$A$1:$A$529,0),$BK$4)="","",INDEX(Daten_Risiken!$A:$ZZ,MATCH($B39&amp;"|Wirtschaftspolitische Rahmenbedingungen",Daten_Risiken!$A$1:$A$529,0),$BK$4)),"")</f>
        <v>53</v>
      </c>
      <c r="AH39" s="49">
        <f>IFERROR(AG39-IFERROR(IF(INDEX(Daten_Risiken!$A:$ZZ,MATCH($B39&amp;"|Wirtschaftspolitische Rahmenbedingungen",Daten_Risiken!$A$1:$A$529,0),$BK$5)="",NA(),INDEX(Daten_Risiken!$A:$ZZ,MATCH($B39&amp;"|Wirtschaftspolitische Rahmenbedingungen",Daten_Risiken!$A$1:$A$529,0),$BK$5)),NA()),"")</f>
        <v>0</v>
      </c>
      <c r="AI39" s="49">
        <f>IFERROR(AG39-IFERROR(IF(INDEX(Daten_Risiken!$A:$ZZ,MATCH($B39&amp;"|Wirtschaftspolitische Rahmenbedingungen",Daten_Risiken!$A$1:$A$529,0),$BK$6)="",NA(),INDEX(Daten_Risiken!$A:$ZZ,MATCH($B39&amp;"|Wirtschaftspolitische Rahmenbedingungen",Daten_Risiken!$A$1:$A$529,0),$BK$6)),NA()),"")</f>
        <v>6</v>
      </c>
      <c r="AJ39" s="50">
        <f>IFERROR(IF(INDEX(Daten_Risiken!$A:$ZZ,MATCH($B39&amp;"|Fachkräftemangel",Daten_Risiken!$A$1:$A$529,0),$BK$4)="","",INDEX(Daten_Risiken!$A:$ZZ,MATCH($B39&amp;"|Fachkräftemangel",Daten_Risiken!$A$1:$A$529,0),$BK$4)),"")</f>
        <v>58</v>
      </c>
      <c r="AK39" s="49">
        <f>IFERROR(AJ39-IFERROR(IF(INDEX(Daten_Risiken!$A:$ZZ,MATCH($B39&amp;"|Fachkräftemangel",Daten_Risiken!$A$1:$A$529,0),$BK$5)="",NA(),INDEX(Daten_Risiken!$A:$ZZ,MATCH($B39&amp;"|Fachkräftemangel",Daten_Risiken!$A$1:$A$529,0),$BK$5)),NA()),"")</f>
        <v>-3</v>
      </c>
      <c r="AL39" s="49">
        <f>IFERROR(AJ39-IFERROR(IF(INDEX(Daten_Risiken!$A:$ZZ,MATCH($B39&amp;"|Fachkräftemangel",Daten_Risiken!$A$1:$A$529,0),$BK$6)="",NA(),INDEX(Daten_Risiken!$A:$ZZ,MATCH($B39&amp;"|Fachkräftemangel",Daten_Risiken!$A$1:$A$529,0),$BK$6)),NA()),"")</f>
        <v>-7</v>
      </c>
      <c r="AM39" s="50" t="str">
        <f>IFERROR(IF(INDEX(Daten_Risiken!$A:$ZZ,MATCH($B39&amp;"|Auslandsnachfrage",Daten_Risiken!$A$1:$A$529,0),$BK$4)="","",INDEX(Daten_Risiken!$A:$ZZ,MATCH($B39&amp;"|Auslandsnachfrage",Daten_Risiken!$A$1:$A$529,0),$BK$4)),"")</f>
        <v/>
      </c>
      <c r="AN39" s="49" t="str">
        <f>IFERROR(AM39-IFERROR(IF(INDEX(Daten_Risiken!$A:$ZZ,MATCH($B39&amp;"|Auslandsnachfrage",Daten_Risiken!$A$1:$A$529,0),$BK$5)="",NA(),INDEX(Daten_Risiken!$A:$ZZ,MATCH($B39&amp;"|Auslandsnachfrage",Daten_Risiken!$A$1:$A$529,0),$BK$5)),NA()),"")</f>
        <v/>
      </c>
      <c r="AO39" s="49" t="str">
        <f>IFERROR(AM39-IFERROR(IF(INDEX(Daten_Risiken!$A:$ZZ,MATCH($B39&amp;"|Auslandsnachfrage",Daten_Risiken!$A$1:$A$529,0),$BK$6)="",NA(),INDEX(Daten_Risiken!$A:$ZZ,MATCH($B39&amp;"|Auslandsnachfrage",Daten_Risiken!$A$1:$A$529,0),$BK$6)),NA()),"")</f>
        <v/>
      </c>
      <c r="AP39" s="50">
        <f>IFERROR(IF(INDEX(Daten_Risiken!$A:$ZZ,MATCH($B39&amp;"|Finanzierung",Daten_Risiken!$A$1:$A$529,0),$BK$4)="","",INDEX(Daten_Risiken!$A:$ZZ,MATCH($B39&amp;"|Finanzierung",Daten_Risiken!$A$1:$A$529,0),$BK$4)),"")</f>
        <v>16</v>
      </c>
      <c r="AQ39" s="49">
        <f>IFERROR(AP39-IFERROR(IF(INDEX(Daten_Risiken!$A:$ZZ,MATCH($B39&amp;"|Finanzierung",Daten_Risiken!$A$1:$A$529,0),$BK$5)="",NA(),INDEX(Daten_Risiken!$A:$ZZ,MATCH($B39&amp;"|Finanzierung",Daten_Risiken!$A$1:$A$529,0),$BK$5)),NA()),"")</f>
        <v>4</v>
      </c>
      <c r="AR39" s="49">
        <f>IFERROR(AP39-IFERROR(IF(INDEX(Daten_Risiken!$A:$ZZ,MATCH($B39&amp;"|Finanzierung",Daten_Risiken!$A$1:$A$529,0),$BK$6)="",NA(),INDEX(Daten_Risiken!$A:$ZZ,MATCH($B39&amp;"|Finanzierung",Daten_Risiken!$A$1:$A$529,0),$BK$6)),NA()),"")</f>
        <v>2</v>
      </c>
      <c r="AS39" s="50" t="str">
        <f>IFERROR(IF(INDEX(Daten_Risiken!$A:$ZZ,MATCH($B39&amp;"|Wechselkurs",Daten_Risiken!$A$1:$A$529,0),$BK$4)="","",INDEX(Daten_Risiken!$A:$ZZ,MATCH($B39&amp;"|Wechselkurs",Daten_Risiken!$A$1:$A$529,0),$BK$4)),"")</f>
        <v/>
      </c>
      <c r="AT39" s="49" t="str">
        <f>IFERROR(AS39-IFERROR(IF(INDEX(Daten_Risiken!$A:$ZZ,MATCH($B39&amp;"|Wechselkurs",Daten_Risiken!$A$1:$A$529,0),$BK$5)="",NA(),INDEX(Daten_Risiken!$A:$ZZ,MATCH($B39&amp;"|Wechselkurs",Daten_Risiken!$A$1:$A$529,0),$BK$5)),NA()),"")</f>
        <v/>
      </c>
      <c r="AU39" s="49" t="str">
        <f>IFERROR(AS39-IFERROR(IF(INDEX(Daten_Risiken!$A:$ZZ,MATCH($B39&amp;"|Wechselkurs",Daten_Risiken!$A$1:$A$529,0),$BK$6)="",NA(),INDEX(Daten_Risiken!$A:$ZZ,MATCH($B39&amp;"|Wechselkurs",Daten_Risiken!$A$1:$A$529,0),$BK$6)),NA()),"")</f>
        <v/>
      </c>
      <c r="AV39" s="50">
        <f>IFERROR(IF(INDEX(Daten_Motive!$A:$ZZ,MATCH($B39&amp;"|Ersatzbedarf",Daten_Motive!$A$1:$A$331,0),$BK$7)="","",INDEX(Daten_Motive!$A:$ZZ,MATCH($B39&amp;"|Ersatzbedarf",Daten_Motive!$A$1:$A$331,0),$BK$7)),"")</f>
        <v>77</v>
      </c>
      <c r="AW39" s="49">
        <f>IFERROR(AV39-IFERROR(IF(INDEX(Daten_Motive!$A:$ZZ,MATCH($B39&amp;"|Ersatzbedarf",Daten_Motive!$A$1:$A$331,0),$BK$8)="",NA(),INDEX(Daten_Motive!$A:$ZZ,MATCH($B39&amp;"|Ersatzbedarf",Daten_Motive!$A$1:$A$331,0),$BK$8)),NA()),"")</f>
        <v>2</v>
      </c>
      <c r="AX39" s="49">
        <f>IFERROR(AV39-IFERROR(IF(INDEX(Daten_Motive!$A:$ZZ,MATCH($B39&amp;"|Ersatzbedarf",Daten_Motive!$A$1:$A$331,0),$BK$9)="",NA(),INDEX(Daten_Motive!$A:$ZZ,MATCH($B39&amp;"|Ersatzbedarf",Daten_Motive!$A$1:$A$331,0),$BK$9)),NA()),"")</f>
        <v>0</v>
      </c>
      <c r="AY39" s="50">
        <f>IFERROR(IF(INDEX(Daten_Motive!$A:$ZZ,MATCH($B39&amp;"|Rationalisierung",Daten_Motive!$A$1:$A$331,0),$BK$7)="","",INDEX(Daten_Motive!$A:$ZZ,MATCH($B39&amp;"|Rationalisierung",Daten_Motive!$A$1:$A$331,0),$BK$7)),"")</f>
        <v>26</v>
      </c>
      <c r="AZ39" s="49">
        <f>IFERROR(AY39-IFERROR(IF(INDEX(Daten_Motive!$A:$ZZ,MATCH($B39&amp;"|Rationalisierung",Daten_Motive!$A$1:$A$331,0),$BK$8)="",NA(),INDEX(Daten_Motive!$A:$ZZ,MATCH($B39&amp;"|Rationalisierung",Daten_Motive!$A$1:$A$331,0),$BK$8)),NA()),"")</f>
        <v>1</v>
      </c>
      <c r="BA39" s="49">
        <f>IFERROR(AY39-IFERROR(IF(INDEX(Daten_Motive!$A:$ZZ,MATCH($B39&amp;"|Rationalisierung",Daten_Motive!$A$1:$A$331,0),$BK$9)="",NA(),INDEX(Daten_Motive!$A:$ZZ,MATCH($B39&amp;"|Rationalisierung",Daten_Motive!$A$1:$A$331,0),$BK$9)),NA()),"")</f>
        <v>3</v>
      </c>
      <c r="BB39" s="50">
        <f>IFERROR(IF(INDEX(Daten_Motive!$A:$ZZ,MATCH($B39&amp;"|Produktinnovation",Daten_Motive!$A$1:$A$331,0),$BK$7)="","",INDEX(Daten_Motive!$A:$ZZ,MATCH($B39&amp;"|Produktinnovation",Daten_Motive!$A$1:$A$331,0),$BK$7)),"")</f>
        <v>20</v>
      </c>
      <c r="BC39" s="49">
        <f>IFERROR(BB39-IFERROR(IF(INDEX(Daten_Motive!$A:$ZZ,MATCH($B39&amp;"|Produktinnovation",Daten_Motive!$A$1:$A$331,0),$BK$8)="",NA(),INDEX(Daten_Motive!$A:$ZZ,MATCH($B39&amp;"|Produktinnovation",Daten_Motive!$A$1:$A$331,0),$BK$8)),NA()),"")</f>
        <v>4</v>
      </c>
      <c r="BD39" s="49">
        <f>IFERROR(BB39-IFERROR(IF(INDEX(Daten_Motive!$A:$ZZ,MATCH($B39&amp;"|Produktinnovation",Daten_Motive!$A$1:$A$331,0),$BK$9)="",NA(),INDEX(Daten_Motive!$A:$ZZ,MATCH($B39&amp;"|Produktinnovation",Daten_Motive!$A$1:$A$331,0),$BK$9)),NA()),"")</f>
        <v>4</v>
      </c>
      <c r="BE39" s="50">
        <f>IFERROR(IF(INDEX(Daten_Motive!$A:$ZZ,MATCH($B39&amp;"|Umweltschutz",Daten_Motive!$A$1:$A$331,0),$BK$7)="","",INDEX(Daten_Motive!$A:$ZZ,MATCH($B39&amp;"|Umweltschutz",Daten_Motive!$A$1:$A$331,0),$BK$7)),"")</f>
        <v>15</v>
      </c>
      <c r="BF39" s="49">
        <f>IFERROR(BE39-IFERROR(IF(INDEX(Daten_Motive!$A:$ZZ,MATCH($B39&amp;"|Umweltschutz",Daten_Motive!$A$1:$A$331,0),$BK$8)="",NA(),INDEX(Daten_Motive!$A:$ZZ,MATCH($B39&amp;"|Umweltschutz",Daten_Motive!$A$1:$A$331,0),$BK$8)),NA()),"")</f>
        <v>1</v>
      </c>
      <c r="BG39" s="49">
        <f>IFERROR(BE39-IFERROR(IF(INDEX(Daten_Motive!$A:$ZZ,MATCH($B39&amp;"|Umweltschutz",Daten_Motive!$A$1:$A$331,0),$BK$9)="",NA(),INDEX(Daten_Motive!$A:$ZZ,MATCH($B39&amp;"|Umweltschutz",Daten_Motive!$A$1:$A$331,0),$BK$9)),NA()),"")</f>
        <v>4</v>
      </c>
      <c r="BH39" s="50">
        <f>IFERROR(IF(INDEX(Daten_Motive!$A:$ZZ,MATCH($B39&amp;"|Kapazitätserweiterung",Daten_Motive!$A$1:$A$331,0),$BK$7)="","",INDEX(Daten_Motive!$A:$ZZ,MATCH($B39&amp;"|Kapazitätserweiterung",Daten_Motive!$A$1:$A$331,0),$BK$7)),"")</f>
        <v>17</v>
      </c>
      <c r="BI39" s="49">
        <f>IFERROR(BH39-IFERROR(IF(INDEX(Daten_Motive!$A:$ZZ,MATCH($B39&amp;"|Kapazitätserweiterung",Daten_Motive!$A$1:$A$331,0),$BK$8)="",NA(),INDEX(Daten_Motive!$A:$ZZ,MATCH($B39&amp;"|Kapazitätserweiterung",Daten_Motive!$A$1:$A$331,0),$BK$8)),NA()),"")</f>
        <v>-3</v>
      </c>
      <c r="BJ39" s="49">
        <f>IFERROR(BH39-IFERROR(IF(INDEX(Daten_Motive!$A:$ZZ,MATCH($B39&amp;"|Kapazitätserweiterung",Daten_Motive!$A$1:$A$331,0),$BK$9)="",NA(),INDEX(Daten_Motive!$A:$ZZ,MATCH($B39&amp;"|Kapazitätserweiterung",Daten_Motive!$A$1:$A$331,0),$BK$9)),NA()),"")</f>
        <v>0</v>
      </c>
    </row>
    <row r="40" spans="1:62" x14ac:dyDescent="0.25">
      <c r="A40" s="42">
        <v>32</v>
      </c>
      <c r="B40" s="51" t="str">
        <f>Listen!A33</f>
        <v>Handel</v>
      </c>
      <c r="C40" s="44" t="s">
        <v>4526</v>
      </c>
      <c r="D40" s="44" t="str">
        <f>Listen!B33</f>
        <v>Handel</v>
      </c>
      <c r="E40" s="45">
        <f>IFERROR(IF(INDEX(Daten_Anteile!$A:$ZZ,MATCH($B40&amp;"|Lage|"&amp;$C$3,Daten_Anteile!$A$1:$A$2971,0),5)="","",INDEX(Daten_Anteile!$A:$ZZ,MATCH($B40&amp;"|Lage|"&amp;$C$3,Daten_Anteile!$A$1:$A$2971,0),5)),"")</f>
        <v>5075</v>
      </c>
      <c r="F40" s="46">
        <f t="shared" si="0"/>
        <v>79.5</v>
      </c>
      <c r="G40" s="47">
        <f t="shared" si="1"/>
        <v>5.7</v>
      </c>
      <c r="H40" s="47">
        <f t="shared" si="2"/>
        <v>-2.5</v>
      </c>
      <c r="I40" s="48">
        <f>IFERROR(IF(INDEX(Daten_Salden!$A:$ZZ,MATCH($B40&amp;"|Lage",Daten_Salden!$A$1:$A$331,0),$BK$1)="","",INDEX(Daten_Salden!$A:$ZZ,MATCH($B40&amp;"|Lage",Daten_Salden!$A$1:$A$331,0),$BK$1)),"")</f>
        <v>-18</v>
      </c>
      <c r="J40" s="49">
        <f>IFERROR(I40-IFERROR(IF(INDEX(Daten_Salden!$A:$ZZ,MATCH($B40&amp;"|Lage",Daten_Salden!$A$1:$A$331,0),$BK$2)="",NA(),INDEX(Daten_Salden!$A:$ZZ,MATCH($B40&amp;"|Lage",Daten_Salden!$A$1:$A$331,0),$BK$2)),NA()),"")</f>
        <v>3</v>
      </c>
      <c r="K40" s="49">
        <f>IFERROR(I40-IFERROR(IF(INDEX(Daten_Salden!$A:$ZZ,MATCH($B40&amp;"|Lage",Daten_Salden!$A$1:$A$331,0),$BK$3)="",NA(),INDEX(Daten_Salden!$A:$ZZ,MATCH($B40&amp;"|Lage",Daten_Salden!$A$1:$A$331,0),$BK$3)),NA()),"")</f>
        <v>-1</v>
      </c>
      <c r="L40" s="48">
        <f>IFERROR(IF(INDEX(Daten_Salden!$A:$ZZ,MATCH($B40&amp;"|Erwartungen",Daten_Salden!$A$1:$A$331,0),$BK$1)="","",INDEX(Daten_Salden!$A:$ZZ,MATCH($B40&amp;"|Erwartungen",Daten_Salden!$A$1:$A$331,0),$BK$1)),"")</f>
        <v>-23</v>
      </c>
      <c r="M40" s="49">
        <f>IFERROR(L40-IFERROR(IF(INDEX(Daten_Salden!$A:$ZZ,MATCH($B40&amp;"|Erwartungen",Daten_Salden!$A$1:$A$331,0),$BK$2)="",NA(),INDEX(Daten_Salden!$A:$ZZ,MATCH($B40&amp;"|Erwartungen",Daten_Salden!$A$1:$A$331,0),$BK$2)),NA()),"")</f>
        <v>8</v>
      </c>
      <c r="N40" s="49">
        <f>IFERROR(L40-IFERROR(IF(INDEX(Daten_Salden!$A:$ZZ,MATCH($B40&amp;"|Erwartungen",Daten_Salden!$A$1:$A$331,0),$BK$3)="",NA(),INDEX(Daten_Salden!$A:$ZZ,MATCH($B40&amp;"|Erwartungen",Daten_Salden!$A$1:$A$331,0),$BK$3)),NA()),"")</f>
        <v>-4</v>
      </c>
      <c r="O40" s="48" t="str">
        <f>IFERROR(IF(INDEX(Daten_Salden!$A:$ZZ,MATCH($B40&amp;"|Export",Daten_Salden!$A$1:$A$331,0),$BK$1)="","",INDEX(Daten_Salden!$A:$ZZ,MATCH($B40&amp;"|Export",Daten_Salden!$A$1:$A$331,0),$BK$1)),"")</f>
        <v/>
      </c>
      <c r="P40" s="49" t="str">
        <f>IFERROR(O40-IFERROR(IF(INDEX(Daten_Salden!$A:$ZZ,MATCH($B40&amp;"|Export",Daten_Salden!$A$1:$A$331,0),$BK$2)="",NA(),INDEX(Daten_Salden!$A:$ZZ,MATCH($B40&amp;"|Export",Daten_Salden!$A$1:$A$331,0),$BK$2)),NA()),"")</f>
        <v/>
      </c>
      <c r="Q40" s="49" t="str">
        <f>IFERROR(O40-IFERROR(IF(INDEX(Daten_Salden!$A:$ZZ,MATCH($B40&amp;"|Export",Daten_Salden!$A$1:$A$331,0),$BK$3)="",NA(),INDEX(Daten_Salden!$A:$ZZ,MATCH($B40&amp;"|Export",Daten_Salden!$A$1:$A$331,0),$BK$3)),NA()),"")</f>
        <v/>
      </c>
      <c r="R40" s="48">
        <f>IFERROR(IF(INDEX(Daten_Salden!$A:$ZZ,MATCH($B40&amp;"|Investitionen",Daten_Salden!$A$1:$A$331,0),$BK$1)="","",INDEX(Daten_Salden!$A:$ZZ,MATCH($B40&amp;"|Investitionen",Daten_Salden!$A$1:$A$331,0),$BK$1)),"")</f>
        <v>-17</v>
      </c>
      <c r="S40" s="49">
        <f>IFERROR(R40-IFERROR(IF(INDEX(Daten_Salden!$A:$ZZ,MATCH($B40&amp;"|Investitionen",Daten_Salden!$A$1:$A$331,0),$BK$2)="",NA(),INDEX(Daten_Salden!$A:$ZZ,MATCH($B40&amp;"|Investitionen",Daten_Salden!$A$1:$A$331,0),$BK$2)),NA()),"")</f>
        <v>5</v>
      </c>
      <c r="T40" s="49">
        <f>IFERROR(R40-IFERROR(IF(INDEX(Daten_Salden!$A:$ZZ,MATCH($B40&amp;"|Investitionen",Daten_Salden!$A$1:$A$331,0),$BK$3)="",NA(),INDEX(Daten_Salden!$A:$ZZ,MATCH($B40&amp;"|Investitionen",Daten_Salden!$A$1:$A$331,0),$BK$3)),NA()),"")</f>
        <v>-1</v>
      </c>
      <c r="U40" s="48">
        <f>IFERROR(IF(INDEX(Daten_Salden!$A:$ZZ,MATCH($B40&amp;"|Beschäftigung",Daten_Salden!$A$1:$A$331,0),$BK$1)="","",INDEX(Daten_Salden!$A:$ZZ,MATCH($B40&amp;"|Beschäftigung",Daten_Salden!$A$1:$A$331,0),$BK$1)),"")</f>
        <v>-20</v>
      </c>
      <c r="V40" s="49">
        <f>IFERROR(U40-IFERROR(IF(INDEX(Daten_Salden!$A:$ZZ,MATCH($B40&amp;"|Beschäftigung",Daten_Salden!$A$1:$A$331,0),$BK$2)="",NA(),INDEX(Daten_Salden!$A:$ZZ,MATCH($B40&amp;"|Beschäftigung",Daten_Salden!$A$1:$A$331,0),$BK$2)),NA()),"")</f>
        <v>0</v>
      </c>
      <c r="W40" s="49">
        <f>IFERROR(U40-IFERROR(IF(INDEX(Daten_Salden!$A:$ZZ,MATCH($B40&amp;"|Beschäftigung",Daten_Salden!$A$1:$A$331,0),$BK$3)="",NA(),INDEX(Daten_Salden!$A:$ZZ,MATCH($B40&amp;"|Beschäftigung",Daten_Salden!$A$1:$A$331,0),$BK$3)),NA()),"")</f>
        <v>-3</v>
      </c>
      <c r="X40" s="50">
        <f>IFERROR(IF(INDEX(Daten_Risiken!$A:$ZZ,MATCH($B40&amp;"|Energie- und Rohstoffpreise",Daten_Risiken!$A$1:$A$529,0),$BK$4)="","",INDEX(Daten_Risiken!$A:$ZZ,MATCH($B40&amp;"|Energie- und Rohstoffpreise",Daten_Risiken!$A$1:$A$529,0),$BK$4)),"")</f>
        <v>71</v>
      </c>
      <c r="Y40" s="49">
        <f>IFERROR(X40-IFERROR(IF(INDEX(Daten_Risiken!$A:$ZZ,MATCH($B40&amp;"|Energie- und Rohstoffpreise",Daten_Risiken!$A$1:$A$529,0),$BK$5)="",NA(),INDEX(Daten_Risiken!$A:$ZZ,MATCH($B40&amp;"|Energie- und Rohstoffpreise",Daten_Risiken!$A$1:$A$529,0),$BK$5)),NA()),"")</f>
        <v>-2</v>
      </c>
      <c r="Z40" s="49">
        <f>IFERROR(X40-IFERROR(IF(INDEX(Daten_Risiken!$A:$ZZ,MATCH($B40&amp;"|Energie- und Rohstoffpreise",Daten_Risiken!$A$1:$A$529,0),$BK$6)="",NA(),INDEX(Daten_Risiken!$A:$ZZ,MATCH($B40&amp;"|Energie- und Rohstoffpreise",Daten_Risiken!$A$1:$A$529,0),$BK$6)),NA()),"")</f>
        <v>23</v>
      </c>
      <c r="AA40" s="50">
        <f>IFERROR(IF(INDEX(Daten_Risiken!$A:$ZZ,MATCH($B40&amp;"|Arbeitskosten",Daten_Risiken!$A$1:$A$529,0),$BK$4)="","",INDEX(Daten_Risiken!$A:$ZZ,MATCH($B40&amp;"|Arbeitskosten",Daten_Risiken!$A$1:$A$529,0),$BK$4)),"")</f>
        <v>56</v>
      </c>
      <c r="AB40" s="49">
        <f>IFERROR(AA40-IFERROR(IF(INDEX(Daten_Risiken!$A:$ZZ,MATCH($B40&amp;"|Arbeitskosten",Daten_Risiken!$A$1:$A$529,0),$BK$5)="",NA(),INDEX(Daten_Risiken!$A:$ZZ,MATCH($B40&amp;"|Arbeitskosten",Daten_Risiken!$A$1:$A$529,0),$BK$5)),NA()),"")</f>
        <v>0</v>
      </c>
      <c r="AC40" s="49">
        <f>IFERROR(AA40-IFERROR(IF(INDEX(Daten_Risiken!$A:$ZZ,MATCH($B40&amp;"|Arbeitskosten",Daten_Risiken!$A$1:$A$529,0),$BK$6)="",NA(),INDEX(Daten_Risiken!$A:$ZZ,MATCH($B40&amp;"|Arbeitskosten",Daten_Risiken!$A$1:$A$529,0),$BK$6)),NA()),"")</f>
        <v>1</v>
      </c>
      <c r="AD40" s="50">
        <f>IFERROR(IF(INDEX(Daten_Risiken!$A:$ZZ,MATCH($B40&amp;"|Inlandsnachfrage",Daten_Risiken!$A$1:$A$529,0),$BK$4)="","",INDEX(Daten_Risiken!$A:$ZZ,MATCH($B40&amp;"|Inlandsnachfrage",Daten_Risiken!$A$1:$A$529,0),$BK$4)),"")</f>
        <v>67</v>
      </c>
      <c r="AE40" s="49">
        <f>IFERROR(AD40-IFERROR(IF(INDEX(Daten_Risiken!$A:$ZZ,MATCH($B40&amp;"|Inlandsnachfrage",Daten_Risiken!$A$1:$A$529,0),$BK$5)="",NA(),INDEX(Daten_Risiken!$A:$ZZ,MATCH($B40&amp;"|Inlandsnachfrage",Daten_Risiken!$A$1:$A$529,0),$BK$5)),NA()),"")</f>
        <v>-1</v>
      </c>
      <c r="AF40" s="49">
        <f>IFERROR(AD40-IFERROR(IF(INDEX(Daten_Risiken!$A:$ZZ,MATCH($B40&amp;"|Inlandsnachfrage",Daten_Risiken!$A$1:$A$529,0),$BK$6)="",NA(),INDEX(Daten_Risiken!$A:$ZZ,MATCH($B40&amp;"|Inlandsnachfrage",Daten_Risiken!$A$1:$A$529,0),$BK$6)),NA()),"")</f>
        <v>0</v>
      </c>
      <c r="AG40" s="50">
        <f>IFERROR(IF(INDEX(Daten_Risiken!$A:$ZZ,MATCH($B40&amp;"|Wirtschaftspolitische Rahmenbedingungen",Daten_Risiken!$A$1:$A$529,0),$BK$4)="","",INDEX(Daten_Risiken!$A:$ZZ,MATCH($B40&amp;"|Wirtschaftspolitische Rahmenbedingungen",Daten_Risiken!$A$1:$A$529,0),$BK$4)),"")</f>
        <v>60</v>
      </c>
      <c r="AH40" s="49">
        <f>IFERROR(AG40-IFERROR(IF(INDEX(Daten_Risiken!$A:$ZZ,MATCH($B40&amp;"|Wirtschaftspolitische Rahmenbedingungen",Daten_Risiken!$A$1:$A$529,0),$BK$5)="",NA(),INDEX(Daten_Risiken!$A:$ZZ,MATCH($B40&amp;"|Wirtschaftspolitische Rahmenbedingungen",Daten_Risiken!$A$1:$A$529,0),$BK$5)),NA()),"")</f>
        <v>1</v>
      </c>
      <c r="AI40" s="49">
        <f>IFERROR(AG40-IFERROR(IF(INDEX(Daten_Risiken!$A:$ZZ,MATCH($B40&amp;"|Wirtschaftspolitische Rahmenbedingungen",Daten_Risiken!$A$1:$A$529,0),$BK$6)="",NA(),INDEX(Daten_Risiken!$A:$ZZ,MATCH($B40&amp;"|Wirtschaftspolitische Rahmenbedingungen",Daten_Risiken!$A$1:$A$529,0),$BK$6)),NA()),"")</f>
        <v>3</v>
      </c>
      <c r="AJ40" s="50">
        <f>IFERROR(IF(INDEX(Daten_Risiken!$A:$ZZ,MATCH($B40&amp;"|Fachkräftemangel",Daten_Risiken!$A$1:$A$529,0),$BK$4)="","",INDEX(Daten_Risiken!$A:$ZZ,MATCH($B40&amp;"|Fachkräftemangel",Daten_Risiken!$A$1:$A$529,0),$BK$4)),"")</f>
        <v>33</v>
      </c>
      <c r="AK40" s="49">
        <f>IFERROR(AJ40-IFERROR(IF(INDEX(Daten_Risiken!$A:$ZZ,MATCH($B40&amp;"|Fachkräftemangel",Daten_Risiken!$A$1:$A$529,0),$BK$5)="",NA(),INDEX(Daten_Risiken!$A:$ZZ,MATCH($B40&amp;"|Fachkräftemangel",Daten_Risiken!$A$1:$A$529,0),$BK$5)),NA()),"")</f>
        <v>2</v>
      </c>
      <c r="AL40" s="49">
        <f>IFERROR(AJ40-IFERROR(IF(INDEX(Daten_Risiken!$A:$ZZ,MATCH($B40&amp;"|Fachkräftemangel",Daten_Risiken!$A$1:$A$529,0),$BK$6)="",NA(),INDEX(Daten_Risiken!$A:$ZZ,MATCH($B40&amp;"|Fachkräftemangel",Daten_Risiken!$A$1:$A$529,0),$BK$6)),NA()),"")</f>
        <v>-8</v>
      </c>
      <c r="AM40" s="50" t="str">
        <f>IFERROR(IF(INDEX(Daten_Risiken!$A:$ZZ,MATCH($B40&amp;"|Auslandsnachfrage",Daten_Risiken!$A$1:$A$529,0),$BK$4)="","",INDEX(Daten_Risiken!$A:$ZZ,MATCH($B40&amp;"|Auslandsnachfrage",Daten_Risiken!$A$1:$A$529,0),$BK$4)),"")</f>
        <v/>
      </c>
      <c r="AN40" s="49" t="str">
        <f>IFERROR(AM40-IFERROR(IF(INDEX(Daten_Risiken!$A:$ZZ,MATCH($B40&amp;"|Auslandsnachfrage",Daten_Risiken!$A$1:$A$529,0),$BK$5)="",NA(),INDEX(Daten_Risiken!$A:$ZZ,MATCH($B40&amp;"|Auslandsnachfrage",Daten_Risiken!$A$1:$A$529,0),$BK$5)),NA()),"")</f>
        <v/>
      </c>
      <c r="AO40" s="49" t="str">
        <f>IFERROR(AM40-IFERROR(IF(INDEX(Daten_Risiken!$A:$ZZ,MATCH($B40&amp;"|Auslandsnachfrage",Daten_Risiken!$A$1:$A$529,0),$BK$6)="",NA(),INDEX(Daten_Risiken!$A:$ZZ,MATCH($B40&amp;"|Auslandsnachfrage",Daten_Risiken!$A$1:$A$529,0),$BK$6)),NA()),"")</f>
        <v/>
      </c>
      <c r="AP40" s="50">
        <f>IFERROR(IF(INDEX(Daten_Risiken!$A:$ZZ,MATCH($B40&amp;"|Finanzierung",Daten_Risiken!$A$1:$A$529,0),$BK$4)="","",INDEX(Daten_Risiken!$A:$ZZ,MATCH($B40&amp;"|Finanzierung",Daten_Risiken!$A$1:$A$529,0),$BK$4)),"")</f>
        <v>16</v>
      </c>
      <c r="AQ40" s="49">
        <f>IFERROR(AP40-IFERROR(IF(INDEX(Daten_Risiken!$A:$ZZ,MATCH($B40&amp;"|Finanzierung",Daten_Risiken!$A$1:$A$529,0),$BK$5)="",NA(),INDEX(Daten_Risiken!$A:$ZZ,MATCH($B40&amp;"|Finanzierung",Daten_Risiken!$A$1:$A$529,0),$BK$5)),NA()),"")</f>
        <v>3</v>
      </c>
      <c r="AR40" s="49">
        <f>IFERROR(AP40-IFERROR(IF(INDEX(Daten_Risiken!$A:$ZZ,MATCH($B40&amp;"|Finanzierung",Daten_Risiken!$A$1:$A$529,0),$BK$6)="",NA(),INDEX(Daten_Risiken!$A:$ZZ,MATCH($B40&amp;"|Finanzierung",Daten_Risiken!$A$1:$A$529,0),$BK$6)),NA()),"")</f>
        <v>3</v>
      </c>
      <c r="AS40" s="50" t="str">
        <f>IFERROR(IF(INDEX(Daten_Risiken!$A:$ZZ,MATCH($B40&amp;"|Wechselkurs",Daten_Risiken!$A$1:$A$529,0),$BK$4)="","",INDEX(Daten_Risiken!$A:$ZZ,MATCH($B40&amp;"|Wechselkurs",Daten_Risiken!$A$1:$A$529,0),$BK$4)),"")</f>
        <v/>
      </c>
      <c r="AT40" s="49" t="str">
        <f>IFERROR(AS40-IFERROR(IF(INDEX(Daten_Risiken!$A:$ZZ,MATCH($B40&amp;"|Wechselkurs",Daten_Risiken!$A$1:$A$529,0),$BK$5)="",NA(),INDEX(Daten_Risiken!$A:$ZZ,MATCH($B40&amp;"|Wechselkurs",Daten_Risiken!$A$1:$A$529,0),$BK$5)),NA()),"")</f>
        <v/>
      </c>
      <c r="AU40" s="49" t="str">
        <f>IFERROR(AS40-IFERROR(IF(INDEX(Daten_Risiken!$A:$ZZ,MATCH($B40&amp;"|Wechselkurs",Daten_Risiken!$A$1:$A$529,0),$BK$6)="",NA(),INDEX(Daten_Risiken!$A:$ZZ,MATCH($B40&amp;"|Wechselkurs",Daten_Risiken!$A$1:$A$529,0),$BK$6)),NA()),"")</f>
        <v/>
      </c>
      <c r="AV40" s="50">
        <f>IFERROR(IF(INDEX(Daten_Motive!$A:$ZZ,MATCH($B40&amp;"|Ersatzbedarf",Daten_Motive!$A$1:$A$331,0),$BK$7)="","",INDEX(Daten_Motive!$A:$ZZ,MATCH($B40&amp;"|Ersatzbedarf",Daten_Motive!$A$1:$A$331,0),$BK$7)),"")</f>
        <v>67</v>
      </c>
      <c r="AW40" s="49">
        <f>IFERROR(AV40-IFERROR(IF(INDEX(Daten_Motive!$A:$ZZ,MATCH($B40&amp;"|Ersatzbedarf",Daten_Motive!$A$1:$A$331,0),$BK$8)="",NA(),INDEX(Daten_Motive!$A:$ZZ,MATCH($B40&amp;"|Ersatzbedarf",Daten_Motive!$A$1:$A$331,0),$BK$8)),NA()),"")</f>
        <v>0</v>
      </c>
      <c r="AX40" s="49">
        <f>IFERROR(AV40-IFERROR(IF(INDEX(Daten_Motive!$A:$ZZ,MATCH($B40&amp;"|Ersatzbedarf",Daten_Motive!$A$1:$A$331,0),$BK$9)="",NA(),INDEX(Daten_Motive!$A:$ZZ,MATCH($B40&amp;"|Ersatzbedarf",Daten_Motive!$A$1:$A$331,0),$BK$9)),NA()),"")</f>
        <v>1</v>
      </c>
      <c r="AY40" s="50">
        <f>IFERROR(IF(INDEX(Daten_Motive!$A:$ZZ,MATCH($B40&amp;"|Rationalisierung",Daten_Motive!$A$1:$A$331,0),$BK$7)="","",INDEX(Daten_Motive!$A:$ZZ,MATCH($B40&amp;"|Rationalisierung",Daten_Motive!$A$1:$A$331,0),$BK$7)),"")</f>
        <v>35</v>
      </c>
      <c r="AZ40" s="49">
        <f>IFERROR(AY40-IFERROR(IF(INDEX(Daten_Motive!$A:$ZZ,MATCH($B40&amp;"|Rationalisierung",Daten_Motive!$A$1:$A$331,0),$BK$8)="",NA(),INDEX(Daten_Motive!$A:$ZZ,MATCH($B40&amp;"|Rationalisierung",Daten_Motive!$A$1:$A$331,0),$BK$8)),NA()),"")</f>
        <v>0</v>
      </c>
      <c r="BA40" s="49">
        <f>IFERROR(AY40-IFERROR(IF(INDEX(Daten_Motive!$A:$ZZ,MATCH($B40&amp;"|Rationalisierung",Daten_Motive!$A$1:$A$331,0),$BK$9)="",NA(),INDEX(Daten_Motive!$A:$ZZ,MATCH($B40&amp;"|Rationalisierung",Daten_Motive!$A$1:$A$331,0),$BK$9)),NA()),"")</f>
        <v>1</v>
      </c>
      <c r="BB40" s="50">
        <f>IFERROR(IF(INDEX(Daten_Motive!$A:$ZZ,MATCH($B40&amp;"|Produktinnovation",Daten_Motive!$A$1:$A$331,0),$BK$7)="","",INDEX(Daten_Motive!$A:$ZZ,MATCH($B40&amp;"|Produktinnovation",Daten_Motive!$A$1:$A$331,0),$BK$7)),"")</f>
        <v>23</v>
      </c>
      <c r="BC40" s="49">
        <f>IFERROR(BB40-IFERROR(IF(INDEX(Daten_Motive!$A:$ZZ,MATCH($B40&amp;"|Produktinnovation",Daten_Motive!$A$1:$A$331,0),$BK$8)="",NA(),INDEX(Daten_Motive!$A:$ZZ,MATCH($B40&amp;"|Produktinnovation",Daten_Motive!$A$1:$A$331,0),$BK$8)),NA()),"")</f>
        <v>2</v>
      </c>
      <c r="BD40" s="49">
        <f>IFERROR(BB40-IFERROR(IF(INDEX(Daten_Motive!$A:$ZZ,MATCH($B40&amp;"|Produktinnovation",Daten_Motive!$A$1:$A$331,0),$BK$9)="",NA(),INDEX(Daten_Motive!$A:$ZZ,MATCH($B40&amp;"|Produktinnovation",Daten_Motive!$A$1:$A$331,0),$BK$9)),NA()),"")</f>
        <v>0</v>
      </c>
      <c r="BE40" s="50">
        <f>IFERROR(IF(INDEX(Daten_Motive!$A:$ZZ,MATCH($B40&amp;"|Umweltschutz",Daten_Motive!$A$1:$A$331,0),$BK$7)="","",INDEX(Daten_Motive!$A:$ZZ,MATCH($B40&amp;"|Umweltschutz",Daten_Motive!$A$1:$A$331,0),$BK$7)),"")</f>
        <v>13</v>
      </c>
      <c r="BF40" s="49">
        <f>IFERROR(BE40-IFERROR(IF(INDEX(Daten_Motive!$A:$ZZ,MATCH($B40&amp;"|Umweltschutz",Daten_Motive!$A$1:$A$331,0),$BK$8)="",NA(),INDEX(Daten_Motive!$A:$ZZ,MATCH($B40&amp;"|Umweltschutz",Daten_Motive!$A$1:$A$331,0),$BK$8)),NA()),"")</f>
        <v>2</v>
      </c>
      <c r="BG40" s="49">
        <f>IFERROR(BE40-IFERROR(IF(INDEX(Daten_Motive!$A:$ZZ,MATCH($B40&amp;"|Umweltschutz",Daten_Motive!$A$1:$A$331,0),$BK$9)="",NA(),INDEX(Daten_Motive!$A:$ZZ,MATCH($B40&amp;"|Umweltschutz",Daten_Motive!$A$1:$A$331,0),$BK$9)),NA()),"")</f>
        <v>0</v>
      </c>
      <c r="BH40" s="50">
        <f>IFERROR(IF(INDEX(Daten_Motive!$A:$ZZ,MATCH($B40&amp;"|Kapazitätserweiterung",Daten_Motive!$A$1:$A$331,0),$BK$7)="","",INDEX(Daten_Motive!$A:$ZZ,MATCH($B40&amp;"|Kapazitätserweiterung",Daten_Motive!$A$1:$A$331,0),$BK$7)),"")</f>
        <v>16</v>
      </c>
      <c r="BI40" s="49">
        <f>IFERROR(BH40-IFERROR(IF(INDEX(Daten_Motive!$A:$ZZ,MATCH($B40&amp;"|Kapazitätserweiterung",Daten_Motive!$A$1:$A$331,0),$BK$8)="",NA(),INDEX(Daten_Motive!$A:$ZZ,MATCH($B40&amp;"|Kapazitätserweiterung",Daten_Motive!$A$1:$A$331,0),$BK$8)),NA()),"")</f>
        <v>0</v>
      </c>
      <c r="BJ40" s="49">
        <f>IFERROR(BH40-IFERROR(IF(INDEX(Daten_Motive!$A:$ZZ,MATCH($B40&amp;"|Kapazitätserweiterung",Daten_Motive!$A$1:$A$331,0),$BK$9)="",NA(),INDEX(Daten_Motive!$A:$ZZ,MATCH($B40&amp;"|Kapazitätserweiterung",Daten_Motive!$A$1:$A$331,0),$BK$9)),NA()),"")</f>
        <v>-1</v>
      </c>
    </row>
    <row r="41" spans="1:62" x14ac:dyDescent="0.25">
      <c r="A41" s="42">
        <v>33</v>
      </c>
      <c r="B41" s="52" t="str">
        <f>Listen!A34</f>
        <v>Großhandel und Handelsvermittlung</v>
      </c>
      <c r="C41" s="44" t="s">
        <v>4527</v>
      </c>
      <c r="D41" s="44" t="str">
        <f>Listen!B34</f>
        <v>Handel</v>
      </c>
      <c r="E41" s="45">
        <f>IFERROR(IF(INDEX(Daten_Anteile!$A:$ZZ,MATCH($B41&amp;"|Lage|"&amp;$C$3,Daten_Anteile!$A$1:$A$2971,0),5)="","",INDEX(Daten_Anteile!$A:$ZZ,MATCH($B41&amp;"|Lage|"&amp;$C$3,Daten_Anteile!$A$1:$A$2971,0),5)),"")</f>
        <v>2362</v>
      </c>
      <c r="F41" s="46">
        <f t="shared" ref="F41:F74" si="3">IF(AND(ISNUMBER(I41),ISNUMBER(L41)),ROUND(SQRT((100+I41)*(100+L41)),1),"")</f>
        <v>84.5</v>
      </c>
      <c r="G41" s="47">
        <f t="shared" ref="G41:G72" si="4">IF(AND(ISNUMBER(F41),ISNUMBER(J41),ISNUMBER(M41)),ROUND(F41-SQRT((100+I41-J41)*(100+L41-M41)),1),"")</f>
        <v>7.6</v>
      </c>
      <c r="H41" s="47">
        <f t="shared" ref="H41:H72" si="5">IF(AND(ISNUMBER(F41),ISNUMBER(K41),ISNUMBER(N41)),ROUND(F41-SQRT((100+I41-K41)*(100+L41-N41)),1),"")</f>
        <v>1.1000000000000001</v>
      </c>
      <c r="I41" s="48">
        <f>IFERROR(IF(INDEX(Daten_Salden!$A:$ZZ,MATCH($B41&amp;"|Lage",Daten_Salden!$A$1:$A$331,0),$BK$1)="","",INDEX(Daten_Salden!$A:$ZZ,MATCH($B41&amp;"|Lage",Daten_Salden!$A$1:$A$331,0),$BK$1)),"")</f>
        <v>-15</v>
      </c>
      <c r="J41" s="49">
        <f>IFERROR(I41-IFERROR(IF(INDEX(Daten_Salden!$A:$ZZ,MATCH($B41&amp;"|Lage",Daten_Salden!$A$1:$A$331,0),$BK$2)="",NA(),INDEX(Daten_Salden!$A:$ZZ,MATCH($B41&amp;"|Lage",Daten_Salden!$A$1:$A$331,0),$BK$2)),NA()),"")</f>
        <v>5</v>
      </c>
      <c r="K41" s="49">
        <f>IFERROR(I41-IFERROR(IF(INDEX(Daten_Salden!$A:$ZZ,MATCH($B41&amp;"|Lage",Daten_Salden!$A$1:$A$331,0),$BK$3)="",NA(),INDEX(Daten_Salden!$A:$ZZ,MATCH($B41&amp;"|Lage",Daten_Salden!$A$1:$A$331,0),$BK$3)),NA()),"")</f>
        <v>5</v>
      </c>
      <c r="L41" s="48">
        <f>IFERROR(IF(INDEX(Daten_Salden!$A:$ZZ,MATCH($B41&amp;"|Erwartungen",Daten_Salden!$A$1:$A$331,0),$BK$1)="","",INDEX(Daten_Salden!$A:$ZZ,MATCH($B41&amp;"|Erwartungen",Daten_Salden!$A$1:$A$331,0),$BK$1)),"")</f>
        <v>-16</v>
      </c>
      <c r="M41" s="49">
        <f>IFERROR(L41-IFERROR(IF(INDEX(Daten_Salden!$A:$ZZ,MATCH($B41&amp;"|Erwartungen",Daten_Salden!$A$1:$A$331,0),$BK$2)="",NA(),INDEX(Daten_Salden!$A:$ZZ,MATCH($B41&amp;"|Erwartungen",Daten_Salden!$A$1:$A$331,0),$BK$2)),NA()),"")</f>
        <v>10</v>
      </c>
      <c r="N41" s="49">
        <f>IFERROR(L41-IFERROR(IF(INDEX(Daten_Salden!$A:$ZZ,MATCH($B41&amp;"|Erwartungen",Daten_Salden!$A$1:$A$331,0),$BK$3)="",NA(),INDEX(Daten_Salden!$A:$ZZ,MATCH($B41&amp;"|Erwartungen",Daten_Salden!$A$1:$A$331,0),$BK$3)),NA()),"")</f>
        <v>-3</v>
      </c>
      <c r="O41" s="48" t="str">
        <f>IFERROR(IF(INDEX(Daten_Salden!$A:$ZZ,MATCH($B41&amp;"|Export",Daten_Salden!$A$1:$A$331,0),$BK$1)="","",INDEX(Daten_Salden!$A:$ZZ,MATCH($B41&amp;"|Export",Daten_Salden!$A$1:$A$331,0),$BK$1)),"")</f>
        <v/>
      </c>
      <c r="P41" s="49" t="str">
        <f>IFERROR(O41-IFERROR(IF(INDEX(Daten_Salden!$A:$ZZ,MATCH($B41&amp;"|Export",Daten_Salden!$A$1:$A$331,0),$BK$2)="",NA(),INDEX(Daten_Salden!$A:$ZZ,MATCH($B41&amp;"|Export",Daten_Salden!$A$1:$A$331,0),$BK$2)),NA()),"")</f>
        <v/>
      </c>
      <c r="Q41" s="49" t="str">
        <f>IFERROR(O41-IFERROR(IF(INDEX(Daten_Salden!$A:$ZZ,MATCH($B41&amp;"|Export",Daten_Salden!$A$1:$A$331,0),$BK$3)="",NA(),INDEX(Daten_Salden!$A:$ZZ,MATCH($B41&amp;"|Export",Daten_Salden!$A$1:$A$331,0),$BK$3)),NA()),"")</f>
        <v/>
      </c>
      <c r="R41" s="48">
        <f>IFERROR(IF(INDEX(Daten_Salden!$A:$ZZ,MATCH($B41&amp;"|Investitionen",Daten_Salden!$A$1:$A$331,0),$BK$1)="","",INDEX(Daten_Salden!$A:$ZZ,MATCH($B41&amp;"|Investitionen",Daten_Salden!$A$1:$A$331,0),$BK$1)),"")</f>
        <v>-15</v>
      </c>
      <c r="S41" s="49">
        <f>IFERROR(R41-IFERROR(IF(INDEX(Daten_Salden!$A:$ZZ,MATCH($B41&amp;"|Investitionen",Daten_Salden!$A$1:$A$331,0),$BK$2)="",NA(),INDEX(Daten_Salden!$A:$ZZ,MATCH($B41&amp;"|Investitionen",Daten_Salden!$A$1:$A$331,0),$BK$2)),NA()),"")</f>
        <v>6</v>
      </c>
      <c r="T41" s="49">
        <f>IFERROR(R41-IFERROR(IF(INDEX(Daten_Salden!$A:$ZZ,MATCH($B41&amp;"|Investitionen",Daten_Salden!$A$1:$A$331,0),$BK$3)="",NA(),INDEX(Daten_Salden!$A:$ZZ,MATCH($B41&amp;"|Investitionen",Daten_Salden!$A$1:$A$331,0),$BK$3)),NA()),"")</f>
        <v>2</v>
      </c>
      <c r="U41" s="48">
        <f>IFERROR(IF(INDEX(Daten_Salden!$A:$ZZ,MATCH($B41&amp;"|Beschäftigung",Daten_Salden!$A$1:$A$331,0),$BK$1)="","",INDEX(Daten_Salden!$A:$ZZ,MATCH($B41&amp;"|Beschäftigung",Daten_Salden!$A$1:$A$331,0),$BK$1)),"")</f>
        <v>-17</v>
      </c>
      <c r="V41" s="49">
        <f>IFERROR(U41-IFERROR(IF(INDEX(Daten_Salden!$A:$ZZ,MATCH($B41&amp;"|Beschäftigung",Daten_Salden!$A$1:$A$331,0),$BK$2)="",NA(),INDEX(Daten_Salden!$A:$ZZ,MATCH($B41&amp;"|Beschäftigung",Daten_Salden!$A$1:$A$331,0),$BK$2)),NA()),"")</f>
        <v>2</v>
      </c>
      <c r="W41" s="49">
        <f>IFERROR(U41-IFERROR(IF(INDEX(Daten_Salden!$A:$ZZ,MATCH($B41&amp;"|Beschäftigung",Daten_Salden!$A$1:$A$331,0),$BK$3)="",NA(),INDEX(Daten_Salden!$A:$ZZ,MATCH($B41&amp;"|Beschäftigung",Daten_Salden!$A$1:$A$331,0),$BK$3)),NA()),"")</f>
        <v>0</v>
      </c>
      <c r="X41" s="50">
        <f>IFERROR(IF(INDEX(Daten_Risiken!$A:$ZZ,MATCH($B41&amp;"|Energie- und Rohstoffpreise",Daten_Risiken!$A$1:$A$529,0),$BK$4)="","",INDEX(Daten_Risiken!$A:$ZZ,MATCH($B41&amp;"|Energie- und Rohstoffpreise",Daten_Risiken!$A$1:$A$529,0),$BK$4)),"")</f>
        <v>73</v>
      </c>
      <c r="Y41" s="49">
        <f>IFERROR(X41-IFERROR(IF(INDEX(Daten_Risiken!$A:$ZZ,MATCH($B41&amp;"|Energie- und Rohstoffpreise",Daten_Risiken!$A$1:$A$529,0),$BK$5)="",NA(),INDEX(Daten_Risiken!$A:$ZZ,MATCH($B41&amp;"|Energie- und Rohstoffpreise",Daten_Risiken!$A$1:$A$529,0),$BK$5)),NA()),"")</f>
        <v>-2</v>
      </c>
      <c r="Z41" s="49">
        <f>IFERROR(X41-IFERROR(IF(INDEX(Daten_Risiken!$A:$ZZ,MATCH($B41&amp;"|Energie- und Rohstoffpreise",Daten_Risiken!$A$1:$A$529,0),$BK$6)="",NA(),INDEX(Daten_Risiken!$A:$ZZ,MATCH($B41&amp;"|Energie- und Rohstoffpreise",Daten_Risiken!$A$1:$A$529,0),$BK$6)),NA()),"")</f>
        <v>25</v>
      </c>
      <c r="AA41" s="50">
        <f>IFERROR(IF(INDEX(Daten_Risiken!$A:$ZZ,MATCH($B41&amp;"|Arbeitskosten",Daten_Risiken!$A$1:$A$529,0),$BK$4)="","",INDEX(Daten_Risiken!$A:$ZZ,MATCH($B41&amp;"|Arbeitskosten",Daten_Risiken!$A$1:$A$529,0),$BK$4)),"")</f>
        <v>52</v>
      </c>
      <c r="AB41" s="49">
        <f>IFERROR(AA41-IFERROR(IF(INDEX(Daten_Risiken!$A:$ZZ,MATCH($B41&amp;"|Arbeitskosten",Daten_Risiken!$A$1:$A$529,0),$BK$5)="",NA(),INDEX(Daten_Risiken!$A:$ZZ,MATCH($B41&amp;"|Arbeitskosten",Daten_Risiken!$A$1:$A$529,0),$BK$5)),NA()),"")</f>
        <v>0</v>
      </c>
      <c r="AC41" s="49">
        <f>IFERROR(AA41-IFERROR(IF(INDEX(Daten_Risiken!$A:$ZZ,MATCH($B41&amp;"|Arbeitskosten",Daten_Risiken!$A$1:$A$529,0),$BK$6)="",NA(),INDEX(Daten_Risiken!$A:$ZZ,MATCH($B41&amp;"|Arbeitskosten",Daten_Risiken!$A$1:$A$529,0),$BK$6)),NA()),"")</f>
        <v>1</v>
      </c>
      <c r="AD41" s="50">
        <f>IFERROR(IF(INDEX(Daten_Risiken!$A:$ZZ,MATCH($B41&amp;"|Inlandsnachfrage",Daten_Risiken!$A$1:$A$529,0),$BK$4)="","",INDEX(Daten_Risiken!$A:$ZZ,MATCH($B41&amp;"|Inlandsnachfrage",Daten_Risiken!$A$1:$A$529,0),$BK$4)),"")</f>
        <v>70</v>
      </c>
      <c r="AE41" s="49">
        <f>IFERROR(AD41-IFERROR(IF(INDEX(Daten_Risiken!$A:$ZZ,MATCH($B41&amp;"|Inlandsnachfrage",Daten_Risiken!$A$1:$A$529,0),$BK$5)="",NA(),INDEX(Daten_Risiken!$A:$ZZ,MATCH($B41&amp;"|Inlandsnachfrage",Daten_Risiken!$A$1:$A$529,0),$BK$5)),NA()),"")</f>
        <v>-3</v>
      </c>
      <c r="AF41" s="49">
        <f>IFERROR(AD41-IFERROR(IF(INDEX(Daten_Risiken!$A:$ZZ,MATCH($B41&amp;"|Inlandsnachfrage",Daten_Risiken!$A$1:$A$529,0),$BK$6)="",NA(),INDEX(Daten_Risiken!$A:$ZZ,MATCH($B41&amp;"|Inlandsnachfrage",Daten_Risiken!$A$1:$A$529,0),$BK$6)),NA()),"")</f>
        <v>-1</v>
      </c>
      <c r="AG41" s="50">
        <f>IFERROR(IF(INDEX(Daten_Risiken!$A:$ZZ,MATCH($B41&amp;"|Wirtschaftspolitische Rahmenbedingungen",Daten_Risiken!$A$1:$A$529,0),$BK$4)="","",INDEX(Daten_Risiken!$A:$ZZ,MATCH($B41&amp;"|Wirtschaftspolitische Rahmenbedingungen",Daten_Risiken!$A$1:$A$529,0),$BK$4)),"")</f>
        <v>62</v>
      </c>
      <c r="AH41" s="49">
        <f>IFERROR(AG41-IFERROR(IF(INDEX(Daten_Risiken!$A:$ZZ,MATCH($B41&amp;"|Wirtschaftspolitische Rahmenbedingungen",Daten_Risiken!$A$1:$A$529,0),$BK$5)="",NA(),INDEX(Daten_Risiken!$A:$ZZ,MATCH($B41&amp;"|Wirtschaftspolitische Rahmenbedingungen",Daten_Risiken!$A$1:$A$529,0),$BK$5)),NA()),"")</f>
        <v>2</v>
      </c>
      <c r="AI41" s="49">
        <f>IFERROR(AG41-IFERROR(IF(INDEX(Daten_Risiken!$A:$ZZ,MATCH($B41&amp;"|Wirtschaftspolitische Rahmenbedingungen",Daten_Risiken!$A$1:$A$529,0),$BK$6)="",NA(),INDEX(Daten_Risiken!$A:$ZZ,MATCH($B41&amp;"|Wirtschaftspolitische Rahmenbedingungen",Daten_Risiken!$A$1:$A$529,0),$BK$6)),NA()),"")</f>
        <v>2</v>
      </c>
      <c r="AJ41" s="50">
        <f>IFERROR(IF(INDEX(Daten_Risiken!$A:$ZZ,MATCH($B41&amp;"|Fachkräftemangel",Daten_Risiken!$A$1:$A$529,0),$BK$4)="","",INDEX(Daten_Risiken!$A:$ZZ,MATCH($B41&amp;"|Fachkräftemangel",Daten_Risiken!$A$1:$A$529,0),$BK$4)),"")</f>
        <v>31</v>
      </c>
      <c r="AK41" s="49">
        <f>IFERROR(AJ41-IFERROR(IF(INDEX(Daten_Risiken!$A:$ZZ,MATCH($B41&amp;"|Fachkräftemangel",Daten_Risiken!$A$1:$A$529,0),$BK$5)="",NA(),INDEX(Daten_Risiken!$A:$ZZ,MATCH($B41&amp;"|Fachkräftemangel",Daten_Risiken!$A$1:$A$529,0),$BK$5)),NA()),"")</f>
        <v>3</v>
      </c>
      <c r="AL41" s="49">
        <f>IFERROR(AJ41-IFERROR(IF(INDEX(Daten_Risiken!$A:$ZZ,MATCH($B41&amp;"|Fachkräftemangel",Daten_Risiken!$A$1:$A$529,0),$BK$6)="",NA(),INDEX(Daten_Risiken!$A:$ZZ,MATCH($B41&amp;"|Fachkräftemangel",Daten_Risiken!$A$1:$A$529,0),$BK$6)),NA()),"")</f>
        <v>-7</v>
      </c>
      <c r="AM41" s="50" t="str">
        <f>IFERROR(IF(INDEX(Daten_Risiken!$A:$ZZ,MATCH($B41&amp;"|Auslandsnachfrage",Daten_Risiken!$A$1:$A$529,0),$BK$4)="","",INDEX(Daten_Risiken!$A:$ZZ,MATCH($B41&amp;"|Auslandsnachfrage",Daten_Risiken!$A$1:$A$529,0),$BK$4)),"")</f>
        <v/>
      </c>
      <c r="AN41" s="49" t="str">
        <f>IFERROR(AM41-IFERROR(IF(INDEX(Daten_Risiken!$A:$ZZ,MATCH($B41&amp;"|Auslandsnachfrage",Daten_Risiken!$A$1:$A$529,0),$BK$5)="",NA(),INDEX(Daten_Risiken!$A:$ZZ,MATCH($B41&amp;"|Auslandsnachfrage",Daten_Risiken!$A$1:$A$529,0),$BK$5)),NA()),"")</f>
        <v/>
      </c>
      <c r="AO41" s="49" t="str">
        <f>IFERROR(AM41-IFERROR(IF(INDEX(Daten_Risiken!$A:$ZZ,MATCH($B41&amp;"|Auslandsnachfrage",Daten_Risiken!$A$1:$A$529,0),$BK$6)="",NA(),INDEX(Daten_Risiken!$A:$ZZ,MATCH($B41&amp;"|Auslandsnachfrage",Daten_Risiken!$A$1:$A$529,0),$BK$6)),NA()),"")</f>
        <v/>
      </c>
      <c r="AP41" s="50">
        <f>IFERROR(IF(INDEX(Daten_Risiken!$A:$ZZ,MATCH($B41&amp;"|Finanzierung",Daten_Risiken!$A$1:$A$529,0),$BK$4)="","",INDEX(Daten_Risiken!$A:$ZZ,MATCH($B41&amp;"|Finanzierung",Daten_Risiken!$A$1:$A$529,0),$BK$4)),"")</f>
        <v>16</v>
      </c>
      <c r="AQ41" s="49">
        <f>IFERROR(AP41-IFERROR(IF(INDEX(Daten_Risiken!$A:$ZZ,MATCH($B41&amp;"|Finanzierung",Daten_Risiken!$A$1:$A$529,0),$BK$5)="",NA(),INDEX(Daten_Risiken!$A:$ZZ,MATCH($B41&amp;"|Finanzierung",Daten_Risiken!$A$1:$A$529,0),$BK$5)),NA()),"")</f>
        <v>3</v>
      </c>
      <c r="AR41" s="49">
        <f>IFERROR(AP41-IFERROR(IF(INDEX(Daten_Risiken!$A:$ZZ,MATCH($B41&amp;"|Finanzierung",Daten_Risiken!$A$1:$A$529,0),$BK$6)="",NA(),INDEX(Daten_Risiken!$A:$ZZ,MATCH($B41&amp;"|Finanzierung",Daten_Risiken!$A$1:$A$529,0),$BK$6)),NA()),"")</f>
        <v>3</v>
      </c>
      <c r="AS41" s="50" t="str">
        <f>IFERROR(IF(INDEX(Daten_Risiken!$A:$ZZ,MATCH($B41&amp;"|Wechselkurs",Daten_Risiken!$A$1:$A$529,0),$BK$4)="","",INDEX(Daten_Risiken!$A:$ZZ,MATCH($B41&amp;"|Wechselkurs",Daten_Risiken!$A$1:$A$529,0),$BK$4)),"")</f>
        <v/>
      </c>
      <c r="AT41" s="49" t="str">
        <f>IFERROR(AS41-IFERROR(IF(INDEX(Daten_Risiken!$A:$ZZ,MATCH($B41&amp;"|Wechselkurs",Daten_Risiken!$A$1:$A$529,0),$BK$5)="",NA(),INDEX(Daten_Risiken!$A:$ZZ,MATCH($B41&amp;"|Wechselkurs",Daten_Risiken!$A$1:$A$529,0),$BK$5)),NA()),"")</f>
        <v/>
      </c>
      <c r="AU41" s="49" t="str">
        <f>IFERROR(AS41-IFERROR(IF(INDEX(Daten_Risiken!$A:$ZZ,MATCH($B41&amp;"|Wechselkurs",Daten_Risiken!$A$1:$A$529,0),$BK$6)="",NA(),INDEX(Daten_Risiken!$A:$ZZ,MATCH($B41&amp;"|Wechselkurs",Daten_Risiken!$A$1:$A$529,0),$BK$6)),NA()),"")</f>
        <v/>
      </c>
      <c r="AV41" s="50">
        <f>IFERROR(IF(INDEX(Daten_Motive!$A:$ZZ,MATCH($B41&amp;"|Ersatzbedarf",Daten_Motive!$A$1:$A$331,0),$BK$7)="","",INDEX(Daten_Motive!$A:$ZZ,MATCH($B41&amp;"|Ersatzbedarf",Daten_Motive!$A$1:$A$331,0),$BK$7)),"")</f>
        <v>65</v>
      </c>
      <c r="AW41" s="49">
        <f>IFERROR(AV41-IFERROR(IF(INDEX(Daten_Motive!$A:$ZZ,MATCH($B41&amp;"|Ersatzbedarf",Daten_Motive!$A$1:$A$331,0),$BK$8)="",NA(),INDEX(Daten_Motive!$A:$ZZ,MATCH($B41&amp;"|Ersatzbedarf",Daten_Motive!$A$1:$A$331,0),$BK$8)),NA()),"")</f>
        <v>-2</v>
      </c>
      <c r="AX41" s="49">
        <f>IFERROR(AV41-IFERROR(IF(INDEX(Daten_Motive!$A:$ZZ,MATCH($B41&amp;"|Ersatzbedarf",Daten_Motive!$A$1:$A$331,0),$BK$9)="",NA(),INDEX(Daten_Motive!$A:$ZZ,MATCH($B41&amp;"|Ersatzbedarf",Daten_Motive!$A$1:$A$331,0),$BK$9)),NA()),"")</f>
        <v>0</v>
      </c>
      <c r="AY41" s="50">
        <f>IFERROR(IF(INDEX(Daten_Motive!$A:$ZZ,MATCH($B41&amp;"|Rationalisierung",Daten_Motive!$A$1:$A$331,0),$BK$7)="","",INDEX(Daten_Motive!$A:$ZZ,MATCH($B41&amp;"|Rationalisierung",Daten_Motive!$A$1:$A$331,0),$BK$7)),"")</f>
        <v>38</v>
      </c>
      <c r="AZ41" s="49">
        <f>IFERROR(AY41-IFERROR(IF(INDEX(Daten_Motive!$A:$ZZ,MATCH($B41&amp;"|Rationalisierung",Daten_Motive!$A$1:$A$331,0),$BK$8)="",NA(),INDEX(Daten_Motive!$A:$ZZ,MATCH($B41&amp;"|Rationalisierung",Daten_Motive!$A$1:$A$331,0),$BK$8)),NA()),"")</f>
        <v>-2</v>
      </c>
      <c r="BA41" s="49">
        <f>IFERROR(AY41-IFERROR(IF(INDEX(Daten_Motive!$A:$ZZ,MATCH($B41&amp;"|Rationalisierung",Daten_Motive!$A$1:$A$331,0),$BK$9)="",NA(),INDEX(Daten_Motive!$A:$ZZ,MATCH($B41&amp;"|Rationalisierung",Daten_Motive!$A$1:$A$331,0),$BK$9)),NA()),"")</f>
        <v>0</v>
      </c>
      <c r="BB41" s="50">
        <f>IFERROR(IF(INDEX(Daten_Motive!$A:$ZZ,MATCH($B41&amp;"|Produktinnovation",Daten_Motive!$A$1:$A$331,0),$BK$7)="","",INDEX(Daten_Motive!$A:$ZZ,MATCH($B41&amp;"|Produktinnovation",Daten_Motive!$A$1:$A$331,0),$BK$7)),"")</f>
        <v>23</v>
      </c>
      <c r="BC41" s="49">
        <f>IFERROR(BB41-IFERROR(IF(INDEX(Daten_Motive!$A:$ZZ,MATCH($B41&amp;"|Produktinnovation",Daten_Motive!$A$1:$A$331,0),$BK$8)="",NA(),INDEX(Daten_Motive!$A:$ZZ,MATCH($B41&amp;"|Produktinnovation",Daten_Motive!$A$1:$A$331,0),$BK$8)),NA()),"")</f>
        <v>2</v>
      </c>
      <c r="BD41" s="49">
        <f>IFERROR(BB41-IFERROR(IF(INDEX(Daten_Motive!$A:$ZZ,MATCH($B41&amp;"|Produktinnovation",Daten_Motive!$A$1:$A$331,0),$BK$9)="",NA(),INDEX(Daten_Motive!$A:$ZZ,MATCH($B41&amp;"|Produktinnovation",Daten_Motive!$A$1:$A$331,0),$BK$9)),NA()),"")</f>
        <v>-1</v>
      </c>
      <c r="BE41" s="50">
        <f>IFERROR(IF(INDEX(Daten_Motive!$A:$ZZ,MATCH($B41&amp;"|Umweltschutz",Daten_Motive!$A$1:$A$331,0),$BK$7)="","",INDEX(Daten_Motive!$A:$ZZ,MATCH($B41&amp;"|Umweltschutz",Daten_Motive!$A$1:$A$331,0),$BK$7)),"")</f>
        <v>14</v>
      </c>
      <c r="BF41" s="49">
        <f>IFERROR(BE41-IFERROR(IF(INDEX(Daten_Motive!$A:$ZZ,MATCH($B41&amp;"|Umweltschutz",Daten_Motive!$A$1:$A$331,0),$BK$8)="",NA(),INDEX(Daten_Motive!$A:$ZZ,MATCH($B41&amp;"|Umweltschutz",Daten_Motive!$A$1:$A$331,0),$BK$8)),NA()),"")</f>
        <v>2</v>
      </c>
      <c r="BG41" s="49">
        <f>IFERROR(BE41-IFERROR(IF(INDEX(Daten_Motive!$A:$ZZ,MATCH($B41&amp;"|Umweltschutz",Daten_Motive!$A$1:$A$331,0),$BK$9)="",NA(),INDEX(Daten_Motive!$A:$ZZ,MATCH($B41&amp;"|Umweltschutz",Daten_Motive!$A$1:$A$331,0),$BK$9)),NA()),"")</f>
        <v>0</v>
      </c>
      <c r="BH41" s="50">
        <f>IFERROR(IF(INDEX(Daten_Motive!$A:$ZZ,MATCH($B41&amp;"|Kapazitätserweiterung",Daten_Motive!$A$1:$A$331,0),$BK$7)="","",INDEX(Daten_Motive!$A:$ZZ,MATCH($B41&amp;"|Kapazitätserweiterung",Daten_Motive!$A$1:$A$331,0),$BK$7)),"")</f>
        <v>19</v>
      </c>
      <c r="BI41" s="49">
        <f>IFERROR(BH41-IFERROR(IF(INDEX(Daten_Motive!$A:$ZZ,MATCH($B41&amp;"|Kapazitätserweiterung",Daten_Motive!$A$1:$A$331,0),$BK$8)="",NA(),INDEX(Daten_Motive!$A:$ZZ,MATCH($B41&amp;"|Kapazitätserweiterung",Daten_Motive!$A$1:$A$331,0),$BK$8)),NA()),"")</f>
        <v>0</v>
      </c>
      <c r="BJ41" s="49">
        <f>IFERROR(BH41-IFERROR(IF(INDEX(Daten_Motive!$A:$ZZ,MATCH($B41&amp;"|Kapazitätserweiterung",Daten_Motive!$A$1:$A$331,0),$BK$9)="",NA(),INDEX(Daten_Motive!$A:$ZZ,MATCH($B41&amp;"|Kapazitätserweiterung",Daten_Motive!$A$1:$A$331,0),$BK$9)),NA()),"")</f>
        <v>1</v>
      </c>
    </row>
    <row r="42" spans="1:62" x14ac:dyDescent="0.25">
      <c r="A42" s="42">
        <v>34</v>
      </c>
      <c r="B42" s="52" t="str">
        <f>Listen!A35</f>
        <v>Einzelhandel</v>
      </c>
      <c r="C42" s="44" t="s">
        <v>4528</v>
      </c>
      <c r="D42" s="44" t="str">
        <f>Listen!B35</f>
        <v>Handel</v>
      </c>
      <c r="E42" s="45">
        <f>IFERROR(IF(INDEX(Daten_Anteile!$A:$ZZ,MATCH($B42&amp;"|Lage|"&amp;$C$3,Daten_Anteile!$A$1:$A$2971,0),5)="","",INDEX(Daten_Anteile!$A:$ZZ,MATCH($B42&amp;"|Lage|"&amp;$C$3,Daten_Anteile!$A$1:$A$2971,0),5)),"")</f>
        <v>2713</v>
      </c>
      <c r="F42" s="46">
        <f t="shared" si="3"/>
        <v>75.400000000000006</v>
      </c>
      <c r="G42" s="47">
        <f t="shared" si="4"/>
        <v>4.3</v>
      </c>
      <c r="H42" s="47">
        <f t="shared" si="5"/>
        <v>-5.4</v>
      </c>
      <c r="I42" s="48">
        <f>IFERROR(IF(INDEX(Daten_Salden!$A:$ZZ,MATCH($B42&amp;"|Lage",Daten_Salden!$A$1:$A$331,0),$BK$1)="","",INDEX(Daten_Salden!$A:$ZZ,MATCH($B42&amp;"|Lage",Daten_Salden!$A$1:$A$331,0),$BK$1)),"")</f>
        <v>-20</v>
      </c>
      <c r="J42" s="49">
        <f>IFERROR(I42-IFERROR(IF(INDEX(Daten_Salden!$A:$ZZ,MATCH($B42&amp;"|Lage",Daten_Salden!$A$1:$A$331,0),$BK$2)="",NA(),INDEX(Daten_Salden!$A:$ZZ,MATCH($B42&amp;"|Lage",Daten_Salden!$A$1:$A$331,0),$BK$2)),NA()),"")</f>
        <v>1</v>
      </c>
      <c r="K42" s="49">
        <f>IFERROR(I42-IFERROR(IF(INDEX(Daten_Salden!$A:$ZZ,MATCH($B42&amp;"|Lage",Daten_Salden!$A$1:$A$331,0),$BK$3)="",NA(),INDEX(Daten_Salden!$A:$ZZ,MATCH($B42&amp;"|Lage",Daten_Salden!$A$1:$A$331,0),$BK$3)),NA()),"")</f>
        <v>-6</v>
      </c>
      <c r="L42" s="48">
        <f>IFERROR(IF(INDEX(Daten_Salden!$A:$ZZ,MATCH($B42&amp;"|Erwartungen",Daten_Salden!$A$1:$A$331,0),$BK$1)="","",INDEX(Daten_Salden!$A:$ZZ,MATCH($B42&amp;"|Erwartungen",Daten_Salden!$A$1:$A$331,0),$BK$1)),"")</f>
        <v>-29</v>
      </c>
      <c r="M42" s="49">
        <f>IFERROR(L42-IFERROR(IF(INDEX(Daten_Salden!$A:$ZZ,MATCH($B42&amp;"|Erwartungen",Daten_Salden!$A$1:$A$331,0),$BK$2)="",NA(),INDEX(Daten_Salden!$A:$ZZ,MATCH($B42&amp;"|Erwartungen",Daten_Salden!$A$1:$A$331,0),$BK$2)),NA()),"")</f>
        <v>7</v>
      </c>
      <c r="N42" s="49">
        <f>IFERROR(L42-IFERROR(IF(INDEX(Daten_Salden!$A:$ZZ,MATCH($B42&amp;"|Erwartungen",Daten_Salden!$A$1:$A$331,0),$BK$3)="",NA(),INDEX(Daten_Salden!$A:$ZZ,MATCH($B42&amp;"|Erwartungen",Daten_Salden!$A$1:$A$331,0),$BK$3)),NA()),"")</f>
        <v>-5</v>
      </c>
      <c r="O42" s="48" t="str">
        <f>IFERROR(IF(INDEX(Daten_Salden!$A:$ZZ,MATCH($B42&amp;"|Export",Daten_Salden!$A$1:$A$331,0),$BK$1)="","",INDEX(Daten_Salden!$A:$ZZ,MATCH($B42&amp;"|Export",Daten_Salden!$A$1:$A$331,0),$BK$1)),"")</f>
        <v/>
      </c>
      <c r="P42" s="49" t="str">
        <f>IFERROR(O42-IFERROR(IF(INDEX(Daten_Salden!$A:$ZZ,MATCH($B42&amp;"|Export",Daten_Salden!$A$1:$A$331,0),$BK$2)="",NA(),INDEX(Daten_Salden!$A:$ZZ,MATCH($B42&amp;"|Export",Daten_Salden!$A$1:$A$331,0),$BK$2)),NA()),"")</f>
        <v/>
      </c>
      <c r="Q42" s="49" t="str">
        <f>IFERROR(O42-IFERROR(IF(INDEX(Daten_Salden!$A:$ZZ,MATCH($B42&amp;"|Export",Daten_Salden!$A$1:$A$331,0),$BK$3)="",NA(),INDEX(Daten_Salden!$A:$ZZ,MATCH($B42&amp;"|Export",Daten_Salden!$A$1:$A$331,0),$BK$3)),NA()),"")</f>
        <v/>
      </c>
      <c r="R42" s="48">
        <f>IFERROR(IF(INDEX(Daten_Salden!$A:$ZZ,MATCH($B42&amp;"|Investitionen",Daten_Salden!$A$1:$A$331,0),$BK$1)="","",INDEX(Daten_Salden!$A:$ZZ,MATCH($B42&amp;"|Investitionen",Daten_Salden!$A$1:$A$331,0),$BK$1)),"")</f>
        <v>-18</v>
      </c>
      <c r="S42" s="49">
        <f>IFERROR(R42-IFERROR(IF(INDEX(Daten_Salden!$A:$ZZ,MATCH($B42&amp;"|Investitionen",Daten_Salden!$A$1:$A$331,0),$BK$2)="",NA(),INDEX(Daten_Salden!$A:$ZZ,MATCH($B42&amp;"|Investitionen",Daten_Salden!$A$1:$A$331,0),$BK$2)),NA()),"")</f>
        <v>5</v>
      </c>
      <c r="T42" s="49">
        <f>IFERROR(R42-IFERROR(IF(INDEX(Daten_Salden!$A:$ZZ,MATCH($B42&amp;"|Investitionen",Daten_Salden!$A$1:$A$331,0),$BK$3)="",NA(),INDEX(Daten_Salden!$A:$ZZ,MATCH($B42&amp;"|Investitionen",Daten_Salden!$A$1:$A$331,0),$BK$3)),NA()),"")</f>
        <v>-4</v>
      </c>
      <c r="U42" s="48">
        <f>IFERROR(IF(INDEX(Daten_Salden!$A:$ZZ,MATCH($B42&amp;"|Beschäftigung",Daten_Salden!$A$1:$A$331,0),$BK$1)="","",INDEX(Daten_Salden!$A:$ZZ,MATCH($B42&amp;"|Beschäftigung",Daten_Salden!$A$1:$A$331,0),$BK$1)),"")</f>
        <v>-22</v>
      </c>
      <c r="V42" s="49">
        <f>IFERROR(U42-IFERROR(IF(INDEX(Daten_Salden!$A:$ZZ,MATCH($B42&amp;"|Beschäftigung",Daten_Salden!$A$1:$A$331,0),$BK$2)="",NA(),INDEX(Daten_Salden!$A:$ZZ,MATCH($B42&amp;"|Beschäftigung",Daten_Salden!$A$1:$A$331,0),$BK$2)),NA()),"")</f>
        <v>0</v>
      </c>
      <c r="W42" s="49">
        <f>IFERROR(U42-IFERROR(IF(INDEX(Daten_Salden!$A:$ZZ,MATCH($B42&amp;"|Beschäftigung",Daten_Salden!$A$1:$A$331,0),$BK$3)="",NA(),INDEX(Daten_Salden!$A:$ZZ,MATCH($B42&amp;"|Beschäftigung",Daten_Salden!$A$1:$A$331,0),$BK$3)),NA()),"")</f>
        <v>-5</v>
      </c>
      <c r="X42" s="50">
        <f>IFERROR(IF(INDEX(Daten_Risiken!$A:$ZZ,MATCH($B42&amp;"|Energie- und Rohstoffpreise",Daten_Risiken!$A$1:$A$529,0),$BK$4)="","",INDEX(Daten_Risiken!$A:$ZZ,MATCH($B42&amp;"|Energie- und Rohstoffpreise",Daten_Risiken!$A$1:$A$529,0),$BK$4)),"")</f>
        <v>69</v>
      </c>
      <c r="Y42" s="49">
        <f>IFERROR(X42-IFERROR(IF(INDEX(Daten_Risiken!$A:$ZZ,MATCH($B42&amp;"|Energie- und Rohstoffpreise",Daten_Risiken!$A$1:$A$529,0),$BK$5)="",NA(),INDEX(Daten_Risiken!$A:$ZZ,MATCH($B42&amp;"|Energie- und Rohstoffpreise",Daten_Risiken!$A$1:$A$529,0),$BK$5)),NA()),"")</f>
        <v>-2</v>
      </c>
      <c r="Z42" s="49">
        <f>IFERROR(X42-IFERROR(IF(INDEX(Daten_Risiken!$A:$ZZ,MATCH($B42&amp;"|Energie- und Rohstoffpreise",Daten_Risiken!$A$1:$A$529,0),$BK$6)="",NA(),INDEX(Daten_Risiken!$A:$ZZ,MATCH($B42&amp;"|Energie- und Rohstoffpreise",Daten_Risiken!$A$1:$A$529,0),$BK$6)),NA()),"")</f>
        <v>20</v>
      </c>
      <c r="AA42" s="50">
        <f>IFERROR(IF(INDEX(Daten_Risiken!$A:$ZZ,MATCH($B42&amp;"|Arbeitskosten",Daten_Risiken!$A$1:$A$529,0),$BK$4)="","",INDEX(Daten_Risiken!$A:$ZZ,MATCH($B42&amp;"|Arbeitskosten",Daten_Risiken!$A$1:$A$529,0),$BK$4)),"")</f>
        <v>59</v>
      </c>
      <c r="AB42" s="49">
        <f>IFERROR(AA42-IFERROR(IF(INDEX(Daten_Risiken!$A:$ZZ,MATCH($B42&amp;"|Arbeitskosten",Daten_Risiken!$A$1:$A$529,0),$BK$5)="",NA(),INDEX(Daten_Risiken!$A:$ZZ,MATCH($B42&amp;"|Arbeitskosten",Daten_Risiken!$A$1:$A$529,0),$BK$5)),NA()),"")</f>
        <v>-1</v>
      </c>
      <c r="AC42" s="49">
        <f>IFERROR(AA42-IFERROR(IF(INDEX(Daten_Risiken!$A:$ZZ,MATCH($B42&amp;"|Arbeitskosten",Daten_Risiken!$A$1:$A$529,0),$BK$6)="",NA(),INDEX(Daten_Risiken!$A:$ZZ,MATCH($B42&amp;"|Arbeitskosten",Daten_Risiken!$A$1:$A$529,0),$BK$6)),NA()),"")</f>
        <v>1</v>
      </c>
      <c r="AD42" s="50">
        <f>IFERROR(IF(INDEX(Daten_Risiken!$A:$ZZ,MATCH($B42&amp;"|Inlandsnachfrage",Daten_Risiken!$A$1:$A$529,0),$BK$4)="","",INDEX(Daten_Risiken!$A:$ZZ,MATCH($B42&amp;"|Inlandsnachfrage",Daten_Risiken!$A$1:$A$529,0),$BK$4)),"")</f>
        <v>65</v>
      </c>
      <c r="AE42" s="49">
        <f>IFERROR(AD42-IFERROR(IF(INDEX(Daten_Risiken!$A:$ZZ,MATCH($B42&amp;"|Inlandsnachfrage",Daten_Risiken!$A$1:$A$529,0),$BK$5)="",NA(),INDEX(Daten_Risiken!$A:$ZZ,MATCH($B42&amp;"|Inlandsnachfrage",Daten_Risiken!$A$1:$A$529,0),$BK$5)),NA()),"")</f>
        <v>0</v>
      </c>
      <c r="AF42" s="49">
        <f>IFERROR(AD42-IFERROR(IF(INDEX(Daten_Risiken!$A:$ZZ,MATCH($B42&amp;"|Inlandsnachfrage",Daten_Risiken!$A$1:$A$529,0),$BK$6)="",NA(),INDEX(Daten_Risiken!$A:$ZZ,MATCH($B42&amp;"|Inlandsnachfrage",Daten_Risiken!$A$1:$A$529,0),$BK$6)),NA()),"")</f>
        <v>1</v>
      </c>
      <c r="AG42" s="50">
        <f>IFERROR(IF(INDEX(Daten_Risiken!$A:$ZZ,MATCH($B42&amp;"|Wirtschaftspolitische Rahmenbedingungen",Daten_Risiken!$A$1:$A$529,0),$BK$4)="","",INDEX(Daten_Risiken!$A:$ZZ,MATCH($B42&amp;"|Wirtschaftspolitische Rahmenbedingungen",Daten_Risiken!$A$1:$A$529,0),$BK$4)),"")</f>
        <v>59</v>
      </c>
      <c r="AH42" s="49">
        <f>IFERROR(AG42-IFERROR(IF(INDEX(Daten_Risiken!$A:$ZZ,MATCH($B42&amp;"|Wirtschaftspolitische Rahmenbedingungen",Daten_Risiken!$A$1:$A$529,0),$BK$5)="",NA(),INDEX(Daten_Risiken!$A:$ZZ,MATCH($B42&amp;"|Wirtschaftspolitische Rahmenbedingungen",Daten_Risiken!$A$1:$A$529,0),$BK$5)),NA()),"")</f>
        <v>0</v>
      </c>
      <c r="AI42" s="49">
        <f>IFERROR(AG42-IFERROR(IF(INDEX(Daten_Risiken!$A:$ZZ,MATCH($B42&amp;"|Wirtschaftspolitische Rahmenbedingungen",Daten_Risiken!$A$1:$A$529,0),$BK$6)="",NA(),INDEX(Daten_Risiken!$A:$ZZ,MATCH($B42&amp;"|Wirtschaftspolitische Rahmenbedingungen",Daten_Risiken!$A$1:$A$529,0),$BK$6)),NA()),"")</f>
        <v>5</v>
      </c>
      <c r="AJ42" s="50">
        <f>IFERROR(IF(INDEX(Daten_Risiken!$A:$ZZ,MATCH($B42&amp;"|Fachkräftemangel",Daten_Risiken!$A$1:$A$529,0),$BK$4)="","",INDEX(Daten_Risiken!$A:$ZZ,MATCH($B42&amp;"|Fachkräftemangel",Daten_Risiken!$A$1:$A$529,0),$BK$4)),"")</f>
        <v>34</v>
      </c>
      <c r="AK42" s="49">
        <f>IFERROR(AJ42-IFERROR(IF(INDEX(Daten_Risiken!$A:$ZZ,MATCH($B42&amp;"|Fachkräftemangel",Daten_Risiken!$A$1:$A$529,0),$BK$5)="",NA(),INDEX(Daten_Risiken!$A:$ZZ,MATCH($B42&amp;"|Fachkräftemangel",Daten_Risiken!$A$1:$A$529,0),$BK$5)),NA()),"")</f>
        <v>0</v>
      </c>
      <c r="AL42" s="49">
        <f>IFERROR(AJ42-IFERROR(IF(INDEX(Daten_Risiken!$A:$ZZ,MATCH($B42&amp;"|Fachkräftemangel",Daten_Risiken!$A$1:$A$529,0),$BK$6)="",NA(),INDEX(Daten_Risiken!$A:$ZZ,MATCH($B42&amp;"|Fachkräftemangel",Daten_Risiken!$A$1:$A$529,0),$BK$6)),NA()),"")</f>
        <v>-10</v>
      </c>
      <c r="AM42" s="50" t="str">
        <f>IFERROR(IF(INDEX(Daten_Risiken!$A:$ZZ,MATCH($B42&amp;"|Auslandsnachfrage",Daten_Risiken!$A$1:$A$529,0),$BK$4)="","",INDEX(Daten_Risiken!$A:$ZZ,MATCH($B42&amp;"|Auslandsnachfrage",Daten_Risiken!$A$1:$A$529,0),$BK$4)),"")</f>
        <v/>
      </c>
      <c r="AN42" s="49" t="str">
        <f>IFERROR(AM42-IFERROR(IF(INDEX(Daten_Risiken!$A:$ZZ,MATCH($B42&amp;"|Auslandsnachfrage",Daten_Risiken!$A$1:$A$529,0),$BK$5)="",NA(),INDEX(Daten_Risiken!$A:$ZZ,MATCH($B42&amp;"|Auslandsnachfrage",Daten_Risiken!$A$1:$A$529,0),$BK$5)),NA()),"")</f>
        <v/>
      </c>
      <c r="AO42" s="49" t="str">
        <f>IFERROR(AM42-IFERROR(IF(INDEX(Daten_Risiken!$A:$ZZ,MATCH($B42&amp;"|Auslandsnachfrage",Daten_Risiken!$A$1:$A$529,0),$BK$6)="",NA(),INDEX(Daten_Risiken!$A:$ZZ,MATCH($B42&amp;"|Auslandsnachfrage",Daten_Risiken!$A$1:$A$529,0),$BK$6)),NA()),"")</f>
        <v/>
      </c>
      <c r="AP42" s="50">
        <f>IFERROR(IF(INDEX(Daten_Risiken!$A:$ZZ,MATCH($B42&amp;"|Finanzierung",Daten_Risiken!$A$1:$A$529,0),$BK$4)="","",INDEX(Daten_Risiken!$A:$ZZ,MATCH($B42&amp;"|Finanzierung",Daten_Risiken!$A$1:$A$529,0),$BK$4)),"")</f>
        <v>15</v>
      </c>
      <c r="AQ42" s="49">
        <f>IFERROR(AP42-IFERROR(IF(INDEX(Daten_Risiken!$A:$ZZ,MATCH($B42&amp;"|Finanzierung",Daten_Risiken!$A$1:$A$529,0),$BK$5)="",NA(),INDEX(Daten_Risiken!$A:$ZZ,MATCH($B42&amp;"|Finanzierung",Daten_Risiken!$A$1:$A$529,0),$BK$5)),NA()),"")</f>
        <v>2</v>
      </c>
      <c r="AR42" s="49">
        <f>IFERROR(AP42-IFERROR(IF(INDEX(Daten_Risiken!$A:$ZZ,MATCH($B42&amp;"|Finanzierung",Daten_Risiken!$A$1:$A$529,0),$BK$6)="",NA(),INDEX(Daten_Risiken!$A:$ZZ,MATCH($B42&amp;"|Finanzierung",Daten_Risiken!$A$1:$A$529,0),$BK$6)),NA()),"")</f>
        <v>2</v>
      </c>
      <c r="AS42" s="50" t="str">
        <f>IFERROR(IF(INDEX(Daten_Risiken!$A:$ZZ,MATCH($B42&amp;"|Wechselkurs",Daten_Risiken!$A$1:$A$529,0),$BK$4)="","",INDEX(Daten_Risiken!$A:$ZZ,MATCH($B42&amp;"|Wechselkurs",Daten_Risiken!$A$1:$A$529,0),$BK$4)),"")</f>
        <v/>
      </c>
      <c r="AT42" s="49" t="str">
        <f>IFERROR(AS42-IFERROR(IF(INDEX(Daten_Risiken!$A:$ZZ,MATCH($B42&amp;"|Wechselkurs",Daten_Risiken!$A$1:$A$529,0),$BK$5)="",NA(),INDEX(Daten_Risiken!$A:$ZZ,MATCH($B42&amp;"|Wechselkurs",Daten_Risiken!$A$1:$A$529,0),$BK$5)),NA()),"")</f>
        <v/>
      </c>
      <c r="AU42" s="49" t="str">
        <f>IFERROR(AS42-IFERROR(IF(INDEX(Daten_Risiken!$A:$ZZ,MATCH($B42&amp;"|Wechselkurs",Daten_Risiken!$A$1:$A$529,0),$BK$6)="",NA(),INDEX(Daten_Risiken!$A:$ZZ,MATCH($B42&amp;"|Wechselkurs",Daten_Risiken!$A$1:$A$529,0),$BK$6)),NA()),"")</f>
        <v/>
      </c>
      <c r="AV42" s="50">
        <f>IFERROR(IF(INDEX(Daten_Motive!$A:$ZZ,MATCH($B42&amp;"|Ersatzbedarf",Daten_Motive!$A$1:$A$331,0),$BK$7)="","",INDEX(Daten_Motive!$A:$ZZ,MATCH($B42&amp;"|Ersatzbedarf",Daten_Motive!$A$1:$A$331,0),$BK$7)),"")</f>
        <v>68</v>
      </c>
      <c r="AW42" s="49">
        <f>IFERROR(AV42-IFERROR(IF(INDEX(Daten_Motive!$A:$ZZ,MATCH($B42&amp;"|Ersatzbedarf",Daten_Motive!$A$1:$A$331,0),$BK$8)="",NA(),INDEX(Daten_Motive!$A:$ZZ,MATCH($B42&amp;"|Ersatzbedarf",Daten_Motive!$A$1:$A$331,0),$BK$8)),NA()),"")</f>
        <v>0</v>
      </c>
      <c r="AX42" s="49">
        <f>IFERROR(AV42-IFERROR(IF(INDEX(Daten_Motive!$A:$ZZ,MATCH($B42&amp;"|Ersatzbedarf",Daten_Motive!$A$1:$A$331,0),$BK$9)="",NA(),INDEX(Daten_Motive!$A:$ZZ,MATCH($B42&amp;"|Ersatzbedarf",Daten_Motive!$A$1:$A$331,0),$BK$9)),NA()),"")</f>
        <v>0</v>
      </c>
      <c r="AY42" s="50">
        <f>IFERROR(IF(INDEX(Daten_Motive!$A:$ZZ,MATCH($B42&amp;"|Rationalisierung",Daten_Motive!$A$1:$A$331,0),$BK$7)="","",INDEX(Daten_Motive!$A:$ZZ,MATCH($B42&amp;"|Rationalisierung",Daten_Motive!$A$1:$A$331,0),$BK$7)),"")</f>
        <v>32</v>
      </c>
      <c r="AZ42" s="49">
        <f>IFERROR(AY42-IFERROR(IF(INDEX(Daten_Motive!$A:$ZZ,MATCH($B42&amp;"|Rationalisierung",Daten_Motive!$A$1:$A$331,0),$BK$8)="",NA(),INDEX(Daten_Motive!$A:$ZZ,MATCH($B42&amp;"|Rationalisierung",Daten_Motive!$A$1:$A$331,0),$BK$8)),NA()),"")</f>
        <v>2</v>
      </c>
      <c r="BA42" s="49">
        <f>IFERROR(AY42-IFERROR(IF(INDEX(Daten_Motive!$A:$ZZ,MATCH($B42&amp;"|Rationalisierung",Daten_Motive!$A$1:$A$331,0),$BK$9)="",NA(),INDEX(Daten_Motive!$A:$ZZ,MATCH($B42&amp;"|Rationalisierung",Daten_Motive!$A$1:$A$331,0),$BK$9)),NA()),"")</f>
        <v>2</v>
      </c>
      <c r="BB42" s="50">
        <f>IFERROR(IF(INDEX(Daten_Motive!$A:$ZZ,MATCH($B42&amp;"|Produktinnovation",Daten_Motive!$A$1:$A$331,0),$BK$7)="","",INDEX(Daten_Motive!$A:$ZZ,MATCH($B42&amp;"|Produktinnovation",Daten_Motive!$A$1:$A$331,0),$BK$7)),"")</f>
        <v>23</v>
      </c>
      <c r="BC42" s="49">
        <f>IFERROR(BB42-IFERROR(IF(INDEX(Daten_Motive!$A:$ZZ,MATCH($B42&amp;"|Produktinnovation",Daten_Motive!$A$1:$A$331,0),$BK$8)="",NA(),INDEX(Daten_Motive!$A:$ZZ,MATCH($B42&amp;"|Produktinnovation",Daten_Motive!$A$1:$A$331,0),$BK$8)),NA()),"")</f>
        <v>2</v>
      </c>
      <c r="BD42" s="49">
        <f>IFERROR(BB42-IFERROR(IF(INDEX(Daten_Motive!$A:$ZZ,MATCH($B42&amp;"|Produktinnovation",Daten_Motive!$A$1:$A$331,0),$BK$9)="",NA(),INDEX(Daten_Motive!$A:$ZZ,MATCH($B42&amp;"|Produktinnovation",Daten_Motive!$A$1:$A$331,0),$BK$9)),NA()),"")</f>
        <v>0</v>
      </c>
      <c r="BE42" s="50">
        <f>IFERROR(IF(INDEX(Daten_Motive!$A:$ZZ,MATCH($B42&amp;"|Umweltschutz",Daten_Motive!$A$1:$A$331,0),$BK$7)="","",INDEX(Daten_Motive!$A:$ZZ,MATCH($B42&amp;"|Umweltschutz",Daten_Motive!$A$1:$A$331,0),$BK$7)),"")</f>
        <v>12</v>
      </c>
      <c r="BF42" s="49">
        <f>IFERROR(BE42-IFERROR(IF(INDEX(Daten_Motive!$A:$ZZ,MATCH($B42&amp;"|Umweltschutz",Daten_Motive!$A$1:$A$331,0),$BK$8)="",NA(),INDEX(Daten_Motive!$A:$ZZ,MATCH($B42&amp;"|Umweltschutz",Daten_Motive!$A$1:$A$331,0),$BK$8)),NA()),"")</f>
        <v>1</v>
      </c>
      <c r="BG42" s="49">
        <f>IFERROR(BE42-IFERROR(IF(INDEX(Daten_Motive!$A:$ZZ,MATCH($B42&amp;"|Umweltschutz",Daten_Motive!$A$1:$A$331,0),$BK$9)="",NA(),INDEX(Daten_Motive!$A:$ZZ,MATCH($B42&amp;"|Umweltschutz",Daten_Motive!$A$1:$A$331,0),$BK$9)),NA()),"")</f>
        <v>0</v>
      </c>
      <c r="BH42" s="50">
        <f>IFERROR(IF(INDEX(Daten_Motive!$A:$ZZ,MATCH($B42&amp;"|Kapazitätserweiterung",Daten_Motive!$A$1:$A$331,0),$BK$7)="","",INDEX(Daten_Motive!$A:$ZZ,MATCH($B42&amp;"|Kapazitätserweiterung",Daten_Motive!$A$1:$A$331,0),$BK$7)),"")</f>
        <v>13</v>
      </c>
      <c r="BI42" s="49">
        <f>IFERROR(BH42-IFERROR(IF(INDEX(Daten_Motive!$A:$ZZ,MATCH($B42&amp;"|Kapazitätserweiterung",Daten_Motive!$A$1:$A$331,0),$BK$8)="",NA(),INDEX(Daten_Motive!$A:$ZZ,MATCH($B42&amp;"|Kapazitätserweiterung",Daten_Motive!$A$1:$A$331,0),$BK$8)),NA()),"")</f>
        <v>-1</v>
      </c>
      <c r="BJ42" s="49">
        <f>IFERROR(BH42-IFERROR(IF(INDEX(Daten_Motive!$A:$ZZ,MATCH($B42&amp;"|Kapazitätserweiterung",Daten_Motive!$A$1:$A$331,0),$BK$9)="",NA(),INDEX(Daten_Motive!$A:$ZZ,MATCH($B42&amp;"|Kapazitätserweiterung",Daten_Motive!$A$1:$A$331,0),$BK$9)),NA()),"")</f>
        <v>-2</v>
      </c>
    </row>
    <row r="43" spans="1:62" x14ac:dyDescent="0.25">
      <c r="A43" s="42">
        <v>35</v>
      </c>
      <c r="B43" s="51" t="str">
        <f>Listen!A36</f>
        <v>Dienstleistungen (ohne Handel)</v>
      </c>
      <c r="C43" s="44" t="s">
        <v>4529</v>
      </c>
      <c r="D43" s="44" t="str">
        <f>Listen!B36</f>
        <v>Dienstleister</v>
      </c>
      <c r="E43" s="45">
        <f>IFERROR(IF(INDEX(Daten_Anteile!$A:$ZZ,MATCH($B43&amp;"|Lage|"&amp;$C$3,Daten_Anteile!$A$1:$A$2971,0),5)="","",INDEX(Daten_Anteile!$A:$ZZ,MATCH($B43&amp;"|Lage|"&amp;$C$3,Daten_Anteile!$A$1:$A$2971,0),5)),"")</f>
        <v>11204</v>
      </c>
      <c r="F43" s="46">
        <f t="shared" si="3"/>
        <v>97.3</v>
      </c>
      <c r="G43" s="47">
        <f t="shared" si="4"/>
        <v>5.4</v>
      </c>
      <c r="H43" s="47">
        <f t="shared" si="5"/>
        <v>-2.2000000000000002</v>
      </c>
      <c r="I43" s="48">
        <f>IFERROR(IF(INDEX(Daten_Salden!$A:$ZZ,MATCH($B43&amp;"|Lage",Daten_Salden!$A$1:$A$331,0),$BK$1)="","",INDEX(Daten_Salden!$A:$ZZ,MATCH($B43&amp;"|Lage",Daten_Salden!$A$1:$A$331,0),$BK$1)),"")</f>
        <v>10</v>
      </c>
      <c r="J43" s="49">
        <f>IFERROR(I43-IFERROR(IF(INDEX(Daten_Salden!$A:$ZZ,MATCH($B43&amp;"|Lage",Daten_Salden!$A$1:$A$331,0),$BK$2)="",NA(),INDEX(Daten_Salden!$A:$ZZ,MATCH($B43&amp;"|Lage",Daten_Salden!$A$1:$A$331,0),$BK$2)),NA()),"")</f>
        <v>7</v>
      </c>
      <c r="K43" s="49">
        <f>IFERROR(I43-IFERROR(IF(INDEX(Daten_Salden!$A:$ZZ,MATCH($B43&amp;"|Lage",Daten_Salden!$A$1:$A$331,0),$BK$3)="",NA(),INDEX(Daten_Salden!$A:$ZZ,MATCH($B43&amp;"|Lage",Daten_Salden!$A$1:$A$331,0),$BK$3)),NA()),"")</f>
        <v>0</v>
      </c>
      <c r="L43" s="48">
        <f>IFERROR(IF(INDEX(Daten_Salden!$A:$ZZ,MATCH($B43&amp;"|Erwartungen",Daten_Salden!$A$1:$A$331,0),$BK$1)="","",INDEX(Daten_Salden!$A:$ZZ,MATCH($B43&amp;"|Erwartungen",Daten_Salden!$A$1:$A$331,0),$BK$1)),"")</f>
        <v>-14</v>
      </c>
      <c r="M43" s="49">
        <f>IFERROR(L43-IFERROR(IF(INDEX(Daten_Salden!$A:$ZZ,MATCH($B43&amp;"|Erwartungen",Daten_Salden!$A$1:$A$331,0),$BK$2)="",NA(),INDEX(Daten_Salden!$A:$ZZ,MATCH($B43&amp;"|Erwartungen",Daten_Salden!$A$1:$A$331,0),$BK$2)),NA()),"")</f>
        <v>4</v>
      </c>
      <c r="N43" s="49">
        <f>IFERROR(L43-IFERROR(IF(INDEX(Daten_Salden!$A:$ZZ,MATCH($B43&amp;"|Erwartungen",Daten_Salden!$A$1:$A$331,0),$BK$3)="",NA(),INDEX(Daten_Salden!$A:$ZZ,MATCH($B43&amp;"|Erwartungen",Daten_Salden!$A$1:$A$331,0),$BK$3)),NA()),"")</f>
        <v>-4</v>
      </c>
      <c r="O43" s="48" t="str">
        <f>IFERROR(IF(INDEX(Daten_Salden!$A:$ZZ,MATCH($B43&amp;"|Export",Daten_Salden!$A$1:$A$331,0),$BK$1)="","",INDEX(Daten_Salden!$A:$ZZ,MATCH($B43&amp;"|Export",Daten_Salden!$A$1:$A$331,0),$BK$1)),"")</f>
        <v/>
      </c>
      <c r="P43" s="49" t="str">
        <f>IFERROR(O43-IFERROR(IF(INDEX(Daten_Salden!$A:$ZZ,MATCH($B43&amp;"|Export",Daten_Salden!$A$1:$A$331,0),$BK$2)="",NA(),INDEX(Daten_Salden!$A:$ZZ,MATCH($B43&amp;"|Export",Daten_Salden!$A$1:$A$331,0),$BK$2)),NA()),"")</f>
        <v/>
      </c>
      <c r="Q43" s="49" t="str">
        <f>IFERROR(O43-IFERROR(IF(INDEX(Daten_Salden!$A:$ZZ,MATCH($B43&amp;"|Export",Daten_Salden!$A$1:$A$331,0),$BK$3)="",NA(),INDEX(Daten_Salden!$A:$ZZ,MATCH($B43&amp;"|Export",Daten_Salden!$A$1:$A$331,0),$BK$3)),NA()),"")</f>
        <v/>
      </c>
      <c r="R43" s="48">
        <f>IFERROR(IF(INDEX(Daten_Salden!$A:$ZZ,MATCH($B43&amp;"|Investitionen",Daten_Salden!$A$1:$A$331,0),$BK$1)="","",INDEX(Daten_Salden!$A:$ZZ,MATCH($B43&amp;"|Investitionen",Daten_Salden!$A$1:$A$331,0),$BK$1)),"")</f>
        <v>0</v>
      </c>
      <c r="S43" s="49">
        <f>IFERROR(R43-IFERROR(IF(INDEX(Daten_Salden!$A:$ZZ,MATCH($B43&amp;"|Investitionen",Daten_Salden!$A$1:$A$331,0),$BK$2)="",NA(),INDEX(Daten_Salden!$A:$ZZ,MATCH($B43&amp;"|Investitionen",Daten_Salden!$A$1:$A$331,0),$BK$2)),NA()),"")</f>
        <v>6</v>
      </c>
      <c r="T43" s="49">
        <f>IFERROR(R43-IFERROR(IF(INDEX(Daten_Salden!$A:$ZZ,MATCH($B43&amp;"|Investitionen",Daten_Salden!$A$1:$A$331,0),$BK$3)="",NA(),INDEX(Daten_Salden!$A:$ZZ,MATCH($B43&amp;"|Investitionen",Daten_Salden!$A$1:$A$331,0),$BK$3)),NA()),"")</f>
        <v>2</v>
      </c>
      <c r="U43" s="48">
        <f>IFERROR(IF(INDEX(Daten_Salden!$A:$ZZ,MATCH($B43&amp;"|Beschäftigung",Daten_Salden!$A$1:$A$331,0),$BK$1)="","",INDEX(Daten_Salden!$A:$ZZ,MATCH($B43&amp;"|Beschäftigung",Daten_Salden!$A$1:$A$331,0),$BK$1)),"")</f>
        <v>-11</v>
      </c>
      <c r="V43" s="49">
        <f>IFERROR(U43-IFERROR(IF(INDEX(Daten_Salden!$A:$ZZ,MATCH($B43&amp;"|Beschäftigung",Daten_Salden!$A$1:$A$331,0),$BK$2)="",NA(),INDEX(Daten_Salden!$A:$ZZ,MATCH($B43&amp;"|Beschäftigung",Daten_Salden!$A$1:$A$331,0),$BK$2)),NA()),"")</f>
        <v>-1</v>
      </c>
      <c r="W43" s="49">
        <f>IFERROR(U43-IFERROR(IF(INDEX(Daten_Salden!$A:$ZZ,MATCH($B43&amp;"|Beschäftigung",Daten_Salden!$A$1:$A$331,0),$BK$3)="",NA(),INDEX(Daten_Salden!$A:$ZZ,MATCH($B43&amp;"|Beschäftigung",Daten_Salden!$A$1:$A$331,0),$BK$3)),NA()),"")</f>
        <v>-4</v>
      </c>
      <c r="X43" s="50">
        <f>IFERROR(IF(INDEX(Daten_Risiken!$A:$ZZ,MATCH($B43&amp;"|Energie- und Rohstoffpreise",Daten_Risiken!$A$1:$A$529,0),$BK$4)="","",INDEX(Daten_Risiken!$A:$ZZ,MATCH($B43&amp;"|Energie- und Rohstoffpreise",Daten_Risiken!$A$1:$A$529,0),$BK$4)),"")</f>
        <v>59</v>
      </c>
      <c r="Y43" s="49">
        <f>IFERROR(X43-IFERROR(IF(INDEX(Daten_Risiken!$A:$ZZ,MATCH($B43&amp;"|Energie- und Rohstoffpreise",Daten_Risiken!$A$1:$A$529,0),$BK$5)="",NA(),INDEX(Daten_Risiken!$A:$ZZ,MATCH($B43&amp;"|Energie- und Rohstoffpreise",Daten_Risiken!$A$1:$A$529,0),$BK$5)),NA()),"")</f>
        <v>-4</v>
      </c>
      <c r="Z43" s="49">
        <f>IFERROR(X43-IFERROR(IF(INDEX(Daten_Risiken!$A:$ZZ,MATCH($B43&amp;"|Energie- und Rohstoffpreise",Daten_Risiken!$A$1:$A$529,0),$BK$6)="",NA(),INDEX(Daten_Risiken!$A:$ZZ,MATCH($B43&amp;"|Energie- und Rohstoffpreise",Daten_Risiken!$A$1:$A$529,0),$BK$6)),NA()),"")</f>
        <v>15</v>
      </c>
      <c r="AA43" s="50">
        <f>IFERROR(IF(INDEX(Daten_Risiken!$A:$ZZ,MATCH($B43&amp;"|Arbeitskosten",Daten_Risiken!$A$1:$A$529,0),$BK$4)="","",INDEX(Daten_Risiken!$A:$ZZ,MATCH($B43&amp;"|Arbeitskosten",Daten_Risiken!$A$1:$A$529,0),$BK$4)),"")</f>
        <v>54</v>
      </c>
      <c r="AB43" s="49">
        <f>IFERROR(AA43-IFERROR(IF(INDEX(Daten_Risiken!$A:$ZZ,MATCH($B43&amp;"|Arbeitskosten",Daten_Risiken!$A$1:$A$529,0),$BK$5)="",NA(),INDEX(Daten_Risiken!$A:$ZZ,MATCH($B43&amp;"|Arbeitskosten",Daten_Risiken!$A$1:$A$529,0),$BK$5)),NA()),"")</f>
        <v>-2</v>
      </c>
      <c r="AC43" s="49">
        <f>IFERROR(AA43-IFERROR(IF(INDEX(Daten_Risiken!$A:$ZZ,MATCH($B43&amp;"|Arbeitskosten",Daten_Risiken!$A$1:$A$529,0),$BK$6)="",NA(),INDEX(Daten_Risiken!$A:$ZZ,MATCH($B43&amp;"|Arbeitskosten",Daten_Risiken!$A$1:$A$529,0),$BK$6)),NA()),"")</f>
        <v>0</v>
      </c>
      <c r="AD43" s="50">
        <f>IFERROR(IF(INDEX(Daten_Risiken!$A:$ZZ,MATCH($B43&amp;"|Inlandsnachfrage",Daten_Risiken!$A$1:$A$529,0),$BK$4)="","",INDEX(Daten_Risiken!$A:$ZZ,MATCH($B43&amp;"|Inlandsnachfrage",Daten_Risiken!$A$1:$A$529,0),$BK$4)),"")</f>
        <v>48</v>
      </c>
      <c r="AE43" s="49">
        <f>IFERROR(AD43-IFERROR(IF(INDEX(Daten_Risiken!$A:$ZZ,MATCH($B43&amp;"|Inlandsnachfrage",Daten_Risiken!$A$1:$A$529,0),$BK$5)="",NA(),INDEX(Daten_Risiken!$A:$ZZ,MATCH($B43&amp;"|Inlandsnachfrage",Daten_Risiken!$A$1:$A$529,0),$BK$5)),NA()),"")</f>
        <v>-3</v>
      </c>
      <c r="AF43" s="49">
        <f>IFERROR(AD43-IFERROR(IF(INDEX(Daten_Risiken!$A:$ZZ,MATCH($B43&amp;"|Inlandsnachfrage",Daten_Risiken!$A$1:$A$529,0),$BK$6)="",NA(),INDEX(Daten_Risiken!$A:$ZZ,MATCH($B43&amp;"|Inlandsnachfrage",Daten_Risiken!$A$1:$A$529,0),$BK$6)),NA()),"")</f>
        <v>-2</v>
      </c>
      <c r="AG43" s="50">
        <f>IFERROR(IF(INDEX(Daten_Risiken!$A:$ZZ,MATCH($B43&amp;"|Wirtschaftspolitische Rahmenbedingungen",Daten_Risiken!$A$1:$A$529,0),$BK$4)="","",INDEX(Daten_Risiken!$A:$ZZ,MATCH($B43&amp;"|Wirtschaftspolitische Rahmenbedingungen",Daten_Risiken!$A$1:$A$529,0),$BK$4)),"")</f>
        <v>58</v>
      </c>
      <c r="AH43" s="49">
        <f>IFERROR(AG43-IFERROR(IF(INDEX(Daten_Risiken!$A:$ZZ,MATCH($B43&amp;"|Wirtschaftspolitische Rahmenbedingungen",Daten_Risiken!$A$1:$A$529,0),$BK$5)="",NA(),INDEX(Daten_Risiken!$A:$ZZ,MATCH($B43&amp;"|Wirtschaftspolitische Rahmenbedingungen",Daten_Risiken!$A$1:$A$529,0),$BK$5)),NA()),"")</f>
        <v>0</v>
      </c>
      <c r="AI43" s="49">
        <f>IFERROR(AG43-IFERROR(IF(INDEX(Daten_Risiken!$A:$ZZ,MATCH($B43&amp;"|Wirtschaftspolitische Rahmenbedingungen",Daten_Risiken!$A$1:$A$529,0),$BK$6)="",NA(),INDEX(Daten_Risiken!$A:$ZZ,MATCH($B43&amp;"|Wirtschaftspolitische Rahmenbedingungen",Daten_Risiken!$A$1:$A$529,0),$BK$6)),NA()),"")</f>
        <v>2</v>
      </c>
      <c r="AJ43" s="50">
        <f>IFERROR(IF(INDEX(Daten_Risiken!$A:$ZZ,MATCH($B43&amp;"|Fachkräftemangel",Daten_Risiken!$A$1:$A$529,0),$BK$4)="","",INDEX(Daten_Risiken!$A:$ZZ,MATCH($B43&amp;"|Fachkräftemangel",Daten_Risiken!$A$1:$A$529,0),$BK$4)),"")</f>
        <v>36</v>
      </c>
      <c r="AK43" s="49">
        <f>IFERROR(AJ43-IFERROR(IF(INDEX(Daten_Risiken!$A:$ZZ,MATCH($B43&amp;"|Fachkräftemangel",Daten_Risiken!$A$1:$A$529,0),$BK$5)="",NA(),INDEX(Daten_Risiken!$A:$ZZ,MATCH($B43&amp;"|Fachkräftemangel",Daten_Risiken!$A$1:$A$529,0),$BK$5)),NA()),"")</f>
        <v>-1</v>
      </c>
      <c r="AL43" s="49">
        <f>IFERROR(AJ43-IFERROR(IF(INDEX(Daten_Risiken!$A:$ZZ,MATCH($B43&amp;"|Fachkräftemangel",Daten_Risiken!$A$1:$A$529,0),$BK$6)="",NA(),INDEX(Daten_Risiken!$A:$ZZ,MATCH($B43&amp;"|Fachkräftemangel",Daten_Risiken!$A$1:$A$529,0),$BK$6)),NA()),"")</f>
        <v>-10</v>
      </c>
      <c r="AM43" s="50" t="str">
        <f>IFERROR(IF(INDEX(Daten_Risiken!$A:$ZZ,MATCH($B43&amp;"|Auslandsnachfrage",Daten_Risiken!$A$1:$A$529,0),$BK$4)="","",INDEX(Daten_Risiken!$A:$ZZ,MATCH($B43&amp;"|Auslandsnachfrage",Daten_Risiken!$A$1:$A$529,0),$BK$4)),"")</f>
        <v/>
      </c>
      <c r="AN43" s="49" t="str">
        <f>IFERROR(AM43-IFERROR(IF(INDEX(Daten_Risiken!$A:$ZZ,MATCH($B43&amp;"|Auslandsnachfrage",Daten_Risiken!$A$1:$A$529,0),$BK$5)="",NA(),INDEX(Daten_Risiken!$A:$ZZ,MATCH($B43&amp;"|Auslandsnachfrage",Daten_Risiken!$A$1:$A$529,0),$BK$5)),NA()),"")</f>
        <v/>
      </c>
      <c r="AO43" s="49" t="str">
        <f>IFERROR(AM43-IFERROR(IF(INDEX(Daten_Risiken!$A:$ZZ,MATCH($B43&amp;"|Auslandsnachfrage",Daten_Risiken!$A$1:$A$529,0),$BK$6)="",NA(),INDEX(Daten_Risiken!$A:$ZZ,MATCH($B43&amp;"|Auslandsnachfrage",Daten_Risiken!$A$1:$A$529,0),$BK$6)),NA()),"")</f>
        <v/>
      </c>
      <c r="AP43" s="50">
        <f>IFERROR(IF(INDEX(Daten_Risiken!$A:$ZZ,MATCH($B43&amp;"|Finanzierung",Daten_Risiken!$A$1:$A$529,0),$BK$4)="","",INDEX(Daten_Risiken!$A:$ZZ,MATCH($B43&amp;"|Finanzierung",Daten_Risiken!$A$1:$A$529,0),$BK$4)),"")</f>
        <v>18</v>
      </c>
      <c r="AQ43" s="49">
        <f>IFERROR(AP43-IFERROR(IF(INDEX(Daten_Risiken!$A:$ZZ,MATCH($B43&amp;"|Finanzierung",Daten_Risiken!$A$1:$A$529,0),$BK$5)="",NA(),INDEX(Daten_Risiken!$A:$ZZ,MATCH($B43&amp;"|Finanzierung",Daten_Risiken!$A$1:$A$529,0),$BK$5)),NA()),"")</f>
        <v>2</v>
      </c>
      <c r="AR43" s="49">
        <f>IFERROR(AP43-IFERROR(IF(INDEX(Daten_Risiken!$A:$ZZ,MATCH($B43&amp;"|Finanzierung",Daten_Risiken!$A$1:$A$529,0),$BK$6)="",NA(),INDEX(Daten_Risiken!$A:$ZZ,MATCH($B43&amp;"|Finanzierung",Daten_Risiken!$A$1:$A$529,0),$BK$6)),NA()),"")</f>
        <v>3</v>
      </c>
      <c r="AS43" s="50" t="str">
        <f>IFERROR(IF(INDEX(Daten_Risiken!$A:$ZZ,MATCH($B43&amp;"|Wechselkurs",Daten_Risiken!$A$1:$A$529,0),$BK$4)="","",INDEX(Daten_Risiken!$A:$ZZ,MATCH($B43&amp;"|Wechselkurs",Daten_Risiken!$A$1:$A$529,0),$BK$4)),"")</f>
        <v/>
      </c>
      <c r="AT43" s="49" t="str">
        <f>IFERROR(AS43-IFERROR(IF(INDEX(Daten_Risiken!$A:$ZZ,MATCH($B43&amp;"|Wechselkurs",Daten_Risiken!$A$1:$A$529,0),$BK$5)="",NA(),INDEX(Daten_Risiken!$A:$ZZ,MATCH($B43&amp;"|Wechselkurs",Daten_Risiken!$A$1:$A$529,0),$BK$5)),NA()),"")</f>
        <v/>
      </c>
      <c r="AU43" s="49" t="str">
        <f>IFERROR(AS43-IFERROR(IF(INDEX(Daten_Risiken!$A:$ZZ,MATCH($B43&amp;"|Wechselkurs",Daten_Risiken!$A$1:$A$529,0),$BK$6)="",NA(),INDEX(Daten_Risiken!$A:$ZZ,MATCH($B43&amp;"|Wechselkurs",Daten_Risiken!$A$1:$A$529,0),$BK$6)),NA()),"")</f>
        <v/>
      </c>
      <c r="AV43" s="50">
        <f>IFERROR(IF(INDEX(Daten_Motive!$A:$ZZ,MATCH($B43&amp;"|Ersatzbedarf",Daten_Motive!$A$1:$A$331,0),$BK$7)="","",INDEX(Daten_Motive!$A:$ZZ,MATCH($B43&amp;"|Ersatzbedarf",Daten_Motive!$A$1:$A$331,0),$BK$7)),"")</f>
        <v>65</v>
      </c>
      <c r="AW43" s="49">
        <f>IFERROR(AV43-IFERROR(IF(INDEX(Daten_Motive!$A:$ZZ,MATCH($B43&amp;"|Ersatzbedarf",Daten_Motive!$A$1:$A$331,0),$BK$8)="",NA(),INDEX(Daten_Motive!$A:$ZZ,MATCH($B43&amp;"|Ersatzbedarf",Daten_Motive!$A$1:$A$331,0),$BK$8)),NA()),"")</f>
        <v>0</v>
      </c>
      <c r="AX43" s="49">
        <f>IFERROR(AV43-IFERROR(IF(INDEX(Daten_Motive!$A:$ZZ,MATCH($B43&amp;"|Ersatzbedarf",Daten_Motive!$A$1:$A$331,0),$BK$9)="",NA(),INDEX(Daten_Motive!$A:$ZZ,MATCH($B43&amp;"|Ersatzbedarf",Daten_Motive!$A$1:$A$331,0),$BK$9)),NA()),"")</f>
        <v>0</v>
      </c>
      <c r="AY43" s="50">
        <f>IFERROR(IF(INDEX(Daten_Motive!$A:$ZZ,MATCH($B43&amp;"|Rationalisierung",Daten_Motive!$A$1:$A$331,0),$BK$7)="","",INDEX(Daten_Motive!$A:$ZZ,MATCH($B43&amp;"|Rationalisierung",Daten_Motive!$A$1:$A$331,0),$BK$7)),"")</f>
        <v>30</v>
      </c>
      <c r="AZ43" s="49">
        <f>IFERROR(AY43-IFERROR(IF(INDEX(Daten_Motive!$A:$ZZ,MATCH($B43&amp;"|Rationalisierung",Daten_Motive!$A$1:$A$331,0),$BK$8)="",NA(),INDEX(Daten_Motive!$A:$ZZ,MATCH($B43&amp;"|Rationalisierung",Daten_Motive!$A$1:$A$331,0),$BK$8)),NA()),"")</f>
        <v>0</v>
      </c>
      <c r="BA43" s="49">
        <f>IFERROR(AY43-IFERROR(IF(INDEX(Daten_Motive!$A:$ZZ,MATCH($B43&amp;"|Rationalisierung",Daten_Motive!$A$1:$A$331,0),$BK$9)="",NA(),INDEX(Daten_Motive!$A:$ZZ,MATCH($B43&amp;"|Rationalisierung",Daten_Motive!$A$1:$A$331,0),$BK$9)),NA()),"")</f>
        <v>2</v>
      </c>
      <c r="BB43" s="50">
        <f>IFERROR(IF(INDEX(Daten_Motive!$A:$ZZ,MATCH($B43&amp;"|Produktinnovation",Daten_Motive!$A$1:$A$331,0),$BK$7)="","",INDEX(Daten_Motive!$A:$ZZ,MATCH($B43&amp;"|Produktinnovation",Daten_Motive!$A$1:$A$331,0),$BK$7)),"")</f>
        <v>30</v>
      </c>
      <c r="BC43" s="49">
        <f>IFERROR(BB43-IFERROR(IF(INDEX(Daten_Motive!$A:$ZZ,MATCH($B43&amp;"|Produktinnovation",Daten_Motive!$A$1:$A$331,0),$BK$8)="",NA(),INDEX(Daten_Motive!$A:$ZZ,MATCH($B43&amp;"|Produktinnovation",Daten_Motive!$A$1:$A$331,0),$BK$8)),NA()),"")</f>
        <v>1</v>
      </c>
      <c r="BD43" s="49">
        <f>IFERROR(BB43-IFERROR(IF(INDEX(Daten_Motive!$A:$ZZ,MATCH($B43&amp;"|Produktinnovation",Daten_Motive!$A$1:$A$331,0),$BK$9)="",NA(),INDEX(Daten_Motive!$A:$ZZ,MATCH($B43&amp;"|Produktinnovation",Daten_Motive!$A$1:$A$331,0),$BK$9)),NA()),"")</f>
        <v>1</v>
      </c>
      <c r="BE43" s="50">
        <f>IFERROR(IF(INDEX(Daten_Motive!$A:$ZZ,MATCH($B43&amp;"|Umweltschutz",Daten_Motive!$A$1:$A$331,0),$BK$7)="","",INDEX(Daten_Motive!$A:$ZZ,MATCH($B43&amp;"|Umweltschutz",Daten_Motive!$A$1:$A$331,0),$BK$7)),"")</f>
        <v>17</v>
      </c>
      <c r="BF43" s="49">
        <f>IFERROR(BE43-IFERROR(IF(INDEX(Daten_Motive!$A:$ZZ,MATCH($B43&amp;"|Umweltschutz",Daten_Motive!$A$1:$A$331,0),$BK$8)="",NA(),INDEX(Daten_Motive!$A:$ZZ,MATCH($B43&amp;"|Umweltschutz",Daten_Motive!$A$1:$A$331,0),$BK$8)),NA()),"")</f>
        <v>2</v>
      </c>
      <c r="BG43" s="49">
        <f>IFERROR(BE43-IFERROR(IF(INDEX(Daten_Motive!$A:$ZZ,MATCH($B43&amp;"|Umweltschutz",Daten_Motive!$A$1:$A$331,0),$BK$9)="",NA(),INDEX(Daten_Motive!$A:$ZZ,MATCH($B43&amp;"|Umweltschutz",Daten_Motive!$A$1:$A$331,0),$BK$9)),NA()),"")</f>
        <v>0</v>
      </c>
      <c r="BH43" s="50">
        <f>IFERROR(IF(INDEX(Daten_Motive!$A:$ZZ,MATCH($B43&amp;"|Kapazitätserweiterung",Daten_Motive!$A$1:$A$331,0),$BK$7)="","",INDEX(Daten_Motive!$A:$ZZ,MATCH($B43&amp;"|Kapazitätserweiterung",Daten_Motive!$A$1:$A$331,0),$BK$7)),"")</f>
        <v>19</v>
      </c>
      <c r="BI43" s="49">
        <f>IFERROR(BH43-IFERROR(IF(INDEX(Daten_Motive!$A:$ZZ,MATCH($B43&amp;"|Kapazitätserweiterung",Daten_Motive!$A$1:$A$331,0),$BK$8)="",NA(),INDEX(Daten_Motive!$A:$ZZ,MATCH($B43&amp;"|Kapazitätserweiterung",Daten_Motive!$A$1:$A$331,0),$BK$8)),NA()),"")</f>
        <v>0</v>
      </c>
      <c r="BJ43" s="49">
        <f>IFERROR(BH43-IFERROR(IF(INDEX(Daten_Motive!$A:$ZZ,MATCH($B43&amp;"|Kapazitätserweiterung",Daten_Motive!$A$1:$A$331,0),$BK$9)="",NA(),INDEX(Daten_Motive!$A:$ZZ,MATCH($B43&amp;"|Kapazitätserweiterung",Daten_Motive!$A$1:$A$331,0),$BK$9)),NA()),"")</f>
        <v>-1</v>
      </c>
    </row>
    <row r="44" spans="1:62" x14ac:dyDescent="0.25">
      <c r="A44" s="42">
        <v>36</v>
      </c>
      <c r="B44" s="51" t="str">
        <f>Listen!A37</f>
        <v>Verkehr und Lagerei</v>
      </c>
      <c r="C44" s="44" t="s">
        <v>4530</v>
      </c>
      <c r="D44" s="44" t="str">
        <f>Listen!B37</f>
        <v>Dienstleister</v>
      </c>
      <c r="E44" s="45">
        <f>IFERROR(IF(INDEX(Daten_Anteile!$A:$ZZ,MATCH($B44&amp;"|Lage|"&amp;$C$3,Daten_Anteile!$A$1:$A$2971,0),5)="","",INDEX(Daten_Anteile!$A:$ZZ,MATCH($B44&amp;"|Lage|"&amp;$C$3,Daten_Anteile!$A$1:$A$2971,0),5)),"")</f>
        <v>1386</v>
      </c>
      <c r="F44" s="46">
        <f t="shared" si="3"/>
        <v>85.9</v>
      </c>
      <c r="G44" s="47">
        <f t="shared" si="4"/>
        <v>11.6</v>
      </c>
      <c r="H44" s="47">
        <f t="shared" si="5"/>
        <v>-0.8</v>
      </c>
      <c r="I44" s="48">
        <f>IFERROR(IF(INDEX(Daten_Salden!$A:$ZZ,MATCH($B44&amp;"|Lage",Daten_Salden!$A$1:$A$331,0),$BK$1)="","",INDEX(Daten_Salden!$A:$ZZ,MATCH($B44&amp;"|Lage",Daten_Salden!$A$1:$A$331,0),$BK$1)),"")</f>
        <v>-3</v>
      </c>
      <c r="J44" s="49">
        <f>IFERROR(I44-IFERROR(IF(INDEX(Daten_Salden!$A:$ZZ,MATCH($B44&amp;"|Lage",Daten_Salden!$A$1:$A$331,0),$BK$2)="",NA(),INDEX(Daten_Salden!$A:$ZZ,MATCH($B44&amp;"|Lage",Daten_Salden!$A$1:$A$331,0),$BK$2)),NA()),"")</f>
        <v>12</v>
      </c>
      <c r="K44" s="49">
        <f>IFERROR(I44-IFERROR(IF(INDEX(Daten_Salden!$A:$ZZ,MATCH($B44&amp;"|Lage",Daten_Salden!$A$1:$A$331,0),$BK$3)="",NA(),INDEX(Daten_Salden!$A:$ZZ,MATCH($B44&amp;"|Lage",Daten_Salden!$A$1:$A$331,0),$BK$3)),NA()),"")</f>
        <v>3</v>
      </c>
      <c r="L44" s="48">
        <f>IFERROR(IF(INDEX(Daten_Salden!$A:$ZZ,MATCH($B44&amp;"|Erwartungen",Daten_Salden!$A$1:$A$331,0),$BK$1)="","",INDEX(Daten_Salden!$A:$ZZ,MATCH($B44&amp;"|Erwartungen",Daten_Salden!$A$1:$A$331,0),$BK$1)),"")</f>
        <v>-24</v>
      </c>
      <c r="M44" s="49">
        <f>IFERROR(L44-IFERROR(IF(INDEX(Daten_Salden!$A:$ZZ,MATCH($B44&amp;"|Erwartungen",Daten_Salden!$A$1:$A$331,0),$BK$2)="",NA(),INDEX(Daten_Salden!$A:$ZZ,MATCH($B44&amp;"|Erwartungen",Daten_Salden!$A$1:$A$331,0),$BK$2)),NA()),"")</f>
        <v>11</v>
      </c>
      <c r="N44" s="49">
        <f>IFERROR(L44-IFERROR(IF(INDEX(Daten_Salden!$A:$ZZ,MATCH($B44&amp;"|Erwartungen",Daten_Salden!$A$1:$A$331,0),$BK$3)="",NA(),INDEX(Daten_Salden!$A:$ZZ,MATCH($B44&amp;"|Erwartungen",Daten_Salden!$A$1:$A$331,0),$BK$3)),NA()),"")</f>
        <v>-4</v>
      </c>
      <c r="O44" s="48" t="str">
        <f>IFERROR(IF(INDEX(Daten_Salden!$A:$ZZ,MATCH($B44&amp;"|Export",Daten_Salden!$A$1:$A$331,0),$BK$1)="","",INDEX(Daten_Salden!$A:$ZZ,MATCH($B44&amp;"|Export",Daten_Salden!$A$1:$A$331,0),$BK$1)),"")</f>
        <v/>
      </c>
      <c r="P44" s="49" t="str">
        <f>IFERROR(O44-IFERROR(IF(INDEX(Daten_Salden!$A:$ZZ,MATCH($B44&amp;"|Export",Daten_Salden!$A$1:$A$331,0),$BK$2)="",NA(),INDEX(Daten_Salden!$A:$ZZ,MATCH($B44&amp;"|Export",Daten_Salden!$A$1:$A$331,0),$BK$2)),NA()),"")</f>
        <v/>
      </c>
      <c r="Q44" s="49" t="str">
        <f>IFERROR(O44-IFERROR(IF(INDEX(Daten_Salden!$A:$ZZ,MATCH($B44&amp;"|Export",Daten_Salden!$A$1:$A$331,0),$BK$3)="",NA(),INDEX(Daten_Salden!$A:$ZZ,MATCH($B44&amp;"|Export",Daten_Salden!$A$1:$A$331,0),$BK$3)),NA()),"")</f>
        <v/>
      </c>
      <c r="R44" s="48">
        <f>IFERROR(IF(INDEX(Daten_Salden!$A:$ZZ,MATCH($B44&amp;"|Investitionen",Daten_Salden!$A$1:$A$331,0),$BK$1)="","",INDEX(Daten_Salden!$A:$ZZ,MATCH($B44&amp;"|Investitionen",Daten_Salden!$A$1:$A$331,0),$BK$1)),"")</f>
        <v>-1</v>
      </c>
      <c r="S44" s="49">
        <f>IFERROR(R44-IFERROR(IF(INDEX(Daten_Salden!$A:$ZZ,MATCH($B44&amp;"|Investitionen",Daten_Salden!$A$1:$A$331,0),$BK$2)="",NA(),INDEX(Daten_Salden!$A:$ZZ,MATCH($B44&amp;"|Investitionen",Daten_Salden!$A$1:$A$331,0),$BK$2)),NA()),"")</f>
        <v>12</v>
      </c>
      <c r="T44" s="49">
        <f>IFERROR(R44-IFERROR(IF(INDEX(Daten_Salden!$A:$ZZ,MATCH($B44&amp;"|Investitionen",Daten_Salden!$A$1:$A$331,0),$BK$3)="",NA(),INDEX(Daten_Salden!$A:$ZZ,MATCH($B44&amp;"|Investitionen",Daten_Salden!$A$1:$A$331,0),$BK$3)),NA()),"")</f>
        <v>6</v>
      </c>
      <c r="U44" s="48">
        <f>IFERROR(IF(INDEX(Daten_Salden!$A:$ZZ,MATCH($B44&amp;"|Beschäftigung",Daten_Salden!$A$1:$A$331,0),$BK$1)="","",INDEX(Daten_Salden!$A:$ZZ,MATCH($B44&amp;"|Beschäftigung",Daten_Salden!$A$1:$A$331,0),$BK$1)),"")</f>
        <v>-14</v>
      </c>
      <c r="V44" s="49">
        <f>IFERROR(U44-IFERROR(IF(INDEX(Daten_Salden!$A:$ZZ,MATCH($B44&amp;"|Beschäftigung",Daten_Salden!$A$1:$A$331,0),$BK$2)="",NA(),INDEX(Daten_Salden!$A:$ZZ,MATCH($B44&amp;"|Beschäftigung",Daten_Salden!$A$1:$A$331,0),$BK$2)),NA()),"")</f>
        <v>3</v>
      </c>
      <c r="W44" s="49">
        <f>IFERROR(U44-IFERROR(IF(INDEX(Daten_Salden!$A:$ZZ,MATCH($B44&amp;"|Beschäftigung",Daten_Salden!$A$1:$A$331,0),$BK$3)="",NA(),INDEX(Daten_Salden!$A:$ZZ,MATCH($B44&amp;"|Beschäftigung",Daten_Salden!$A$1:$A$331,0),$BK$3)),NA()),"")</f>
        <v>-3</v>
      </c>
      <c r="X44" s="50">
        <f>IFERROR(IF(INDEX(Daten_Risiken!$A:$ZZ,MATCH($B44&amp;"|Energie- und Rohstoffpreise",Daten_Risiken!$A$1:$A$529,0),$BK$4)="","",INDEX(Daten_Risiken!$A:$ZZ,MATCH($B44&amp;"|Energie- und Rohstoffpreise",Daten_Risiken!$A$1:$A$529,0),$BK$4)),"")</f>
        <v>87</v>
      </c>
      <c r="Y44" s="49">
        <f>IFERROR(X44-IFERROR(IF(INDEX(Daten_Risiken!$A:$ZZ,MATCH($B44&amp;"|Energie- und Rohstoffpreise",Daten_Risiken!$A$1:$A$529,0),$BK$5)="",NA(),INDEX(Daten_Risiken!$A:$ZZ,MATCH($B44&amp;"|Energie- und Rohstoffpreise",Daten_Risiken!$A$1:$A$529,0),$BK$5)),NA()),"")</f>
        <v>-2</v>
      </c>
      <c r="Z44" s="49">
        <f>IFERROR(X44-IFERROR(IF(INDEX(Daten_Risiken!$A:$ZZ,MATCH($B44&amp;"|Energie- und Rohstoffpreise",Daten_Risiken!$A$1:$A$529,0),$BK$6)="",NA(),INDEX(Daten_Risiken!$A:$ZZ,MATCH($B44&amp;"|Energie- und Rohstoffpreise",Daten_Risiken!$A$1:$A$529,0),$BK$6)),NA()),"")</f>
        <v>24</v>
      </c>
      <c r="AA44" s="50">
        <f>IFERROR(IF(INDEX(Daten_Risiken!$A:$ZZ,MATCH($B44&amp;"|Arbeitskosten",Daten_Risiken!$A$1:$A$529,0),$BK$4)="","",INDEX(Daten_Risiken!$A:$ZZ,MATCH($B44&amp;"|Arbeitskosten",Daten_Risiken!$A$1:$A$529,0),$BK$4)),"")</f>
        <v>64</v>
      </c>
      <c r="AB44" s="49">
        <f>IFERROR(AA44-IFERROR(IF(INDEX(Daten_Risiken!$A:$ZZ,MATCH($B44&amp;"|Arbeitskosten",Daten_Risiken!$A$1:$A$529,0),$BK$5)="",NA(),INDEX(Daten_Risiken!$A:$ZZ,MATCH($B44&amp;"|Arbeitskosten",Daten_Risiken!$A$1:$A$529,0),$BK$5)),NA()),"")</f>
        <v>1</v>
      </c>
      <c r="AC44" s="49">
        <f>IFERROR(AA44-IFERROR(IF(INDEX(Daten_Risiken!$A:$ZZ,MATCH($B44&amp;"|Arbeitskosten",Daten_Risiken!$A$1:$A$529,0),$BK$6)="",NA(),INDEX(Daten_Risiken!$A:$ZZ,MATCH($B44&amp;"|Arbeitskosten",Daten_Risiken!$A$1:$A$529,0),$BK$6)),NA()),"")</f>
        <v>-2</v>
      </c>
      <c r="AD44" s="50">
        <f>IFERROR(IF(INDEX(Daten_Risiken!$A:$ZZ,MATCH($B44&amp;"|Inlandsnachfrage",Daten_Risiken!$A$1:$A$529,0),$BK$4)="","",INDEX(Daten_Risiken!$A:$ZZ,MATCH($B44&amp;"|Inlandsnachfrage",Daten_Risiken!$A$1:$A$529,0),$BK$4)),"")</f>
        <v>39</v>
      </c>
      <c r="AE44" s="49">
        <f>IFERROR(AD44-IFERROR(IF(INDEX(Daten_Risiken!$A:$ZZ,MATCH($B44&amp;"|Inlandsnachfrage",Daten_Risiken!$A$1:$A$529,0),$BK$5)="",NA(),INDEX(Daten_Risiken!$A:$ZZ,MATCH($B44&amp;"|Inlandsnachfrage",Daten_Risiken!$A$1:$A$529,0),$BK$5)),NA()),"")</f>
        <v>-4</v>
      </c>
      <c r="AF44" s="49">
        <f>IFERROR(AD44-IFERROR(IF(INDEX(Daten_Risiken!$A:$ZZ,MATCH($B44&amp;"|Inlandsnachfrage",Daten_Risiken!$A$1:$A$529,0),$BK$6)="",NA(),INDEX(Daten_Risiken!$A:$ZZ,MATCH($B44&amp;"|Inlandsnachfrage",Daten_Risiken!$A$1:$A$529,0),$BK$6)),NA()),"")</f>
        <v>-6</v>
      </c>
      <c r="AG44" s="50">
        <f>IFERROR(IF(INDEX(Daten_Risiken!$A:$ZZ,MATCH($B44&amp;"|Wirtschaftspolitische Rahmenbedingungen",Daten_Risiken!$A$1:$A$529,0),$BK$4)="","",INDEX(Daten_Risiken!$A:$ZZ,MATCH($B44&amp;"|Wirtschaftspolitische Rahmenbedingungen",Daten_Risiken!$A$1:$A$529,0),$BK$4)),"")</f>
        <v>52</v>
      </c>
      <c r="AH44" s="49">
        <f>IFERROR(AG44-IFERROR(IF(INDEX(Daten_Risiken!$A:$ZZ,MATCH($B44&amp;"|Wirtschaftspolitische Rahmenbedingungen",Daten_Risiken!$A$1:$A$529,0),$BK$5)="",NA(),INDEX(Daten_Risiken!$A:$ZZ,MATCH($B44&amp;"|Wirtschaftspolitische Rahmenbedingungen",Daten_Risiken!$A$1:$A$529,0),$BK$5)),NA()),"")</f>
        <v>-3</v>
      </c>
      <c r="AI44" s="49">
        <f>IFERROR(AG44-IFERROR(IF(INDEX(Daten_Risiken!$A:$ZZ,MATCH($B44&amp;"|Wirtschaftspolitische Rahmenbedingungen",Daten_Risiken!$A$1:$A$529,0),$BK$6)="",NA(),INDEX(Daten_Risiken!$A:$ZZ,MATCH($B44&amp;"|Wirtschaftspolitische Rahmenbedingungen",Daten_Risiken!$A$1:$A$529,0),$BK$6)),NA()),"")</f>
        <v>-2</v>
      </c>
      <c r="AJ44" s="50">
        <f>IFERROR(IF(INDEX(Daten_Risiken!$A:$ZZ,MATCH($B44&amp;"|Fachkräftemangel",Daten_Risiken!$A$1:$A$529,0),$BK$4)="","",INDEX(Daten_Risiken!$A:$ZZ,MATCH($B44&amp;"|Fachkräftemangel",Daten_Risiken!$A$1:$A$529,0),$BK$4)),"")</f>
        <v>51</v>
      </c>
      <c r="AK44" s="49">
        <f>IFERROR(AJ44-IFERROR(IF(INDEX(Daten_Risiken!$A:$ZZ,MATCH($B44&amp;"|Fachkräftemangel",Daten_Risiken!$A$1:$A$529,0),$BK$5)="",NA(),INDEX(Daten_Risiken!$A:$ZZ,MATCH($B44&amp;"|Fachkräftemangel",Daten_Risiken!$A$1:$A$529,0),$BK$5)),NA()),"")</f>
        <v>4</v>
      </c>
      <c r="AL44" s="49">
        <f>IFERROR(AJ44-IFERROR(IF(INDEX(Daten_Risiken!$A:$ZZ,MATCH($B44&amp;"|Fachkräftemangel",Daten_Risiken!$A$1:$A$529,0),$BK$6)="",NA(),INDEX(Daten_Risiken!$A:$ZZ,MATCH($B44&amp;"|Fachkräftemangel",Daten_Risiken!$A$1:$A$529,0),$BK$6)),NA()),"")</f>
        <v>-9</v>
      </c>
      <c r="AM44" s="50" t="str">
        <f>IFERROR(IF(INDEX(Daten_Risiken!$A:$ZZ,MATCH($B44&amp;"|Auslandsnachfrage",Daten_Risiken!$A$1:$A$529,0),$BK$4)="","",INDEX(Daten_Risiken!$A:$ZZ,MATCH($B44&amp;"|Auslandsnachfrage",Daten_Risiken!$A$1:$A$529,0),$BK$4)),"")</f>
        <v/>
      </c>
      <c r="AN44" s="49" t="str">
        <f>IFERROR(AM44-IFERROR(IF(INDEX(Daten_Risiken!$A:$ZZ,MATCH($B44&amp;"|Auslandsnachfrage",Daten_Risiken!$A$1:$A$529,0),$BK$5)="",NA(),INDEX(Daten_Risiken!$A:$ZZ,MATCH($B44&amp;"|Auslandsnachfrage",Daten_Risiken!$A$1:$A$529,0),$BK$5)),NA()),"")</f>
        <v/>
      </c>
      <c r="AO44" s="49" t="str">
        <f>IFERROR(AM44-IFERROR(IF(INDEX(Daten_Risiken!$A:$ZZ,MATCH($B44&amp;"|Auslandsnachfrage",Daten_Risiken!$A$1:$A$529,0),$BK$6)="",NA(),INDEX(Daten_Risiken!$A:$ZZ,MATCH($B44&amp;"|Auslandsnachfrage",Daten_Risiken!$A$1:$A$529,0),$BK$6)),NA()),"")</f>
        <v/>
      </c>
      <c r="AP44" s="50">
        <f>IFERROR(IF(INDEX(Daten_Risiken!$A:$ZZ,MATCH($B44&amp;"|Finanzierung",Daten_Risiken!$A$1:$A$529,0),$BK$4)="","",INDEX(Daten_Risiken!$A:$ZZ,MATCH($B44&amp;"|Finanzierung",Daten_Risiken!$A$1:$A$529,0),$BK$4)),"")</f>
        <v>18</v>
      </c>
      <c r="AQ44" s="49">
        <f>IFERROR(AP44-IFERROR(IF(INDEX(Daten_Risiken!$A:$ZZ,MATCH($B44&amp;"|Finanzierung",Daten_Risiken!$A$1:$A$529,0),$BK$5)="",NA(),INDEX(Daten_Risiken!$A:$ZZ,MATCH($B44&amp;"|Finanzierung",Daten_Risiken!$A$1:$A$529,0),$BK$5)),NA()),"")</f>
        <v>1</v>
      </c>
      <c r="AR44" s="49">
        <f>IFERROR(AP44-IFERROR(IF(INDEX(Daten_Risiken!$A:$ZZ,MATCH($B44&amp;"|Finanzierung",Daten_Risiken!$A$1:$A$529,0),$BK$6)="",NA(),INDEX(Daten_Risiken!$A:$ZZ,MATCH($B44&amp;"|Finanzierung",Daten_Risiken!$A$1:$A$529,0),$BK$6)),NA()),"")</f>
        <v>2</v>
      </c>
      <c r="AS44" s="50" t="str">
        <f>IFERROR(IF(INDEX(Daten_Risiken!$A:$ZZ,MATCH($B44&amp;"|Wechselkurs",Daten_Risiken!$A$1:$A$529,0),$BK$4)="","",INDEX(Daten_Risiken!$A:$ZZ,MATCH($B44&amp;"|Wechselkurs",Daten_Risiken!$A$1:$A$529,0),$BK$4)),"")</f>
        <v/>
      </c>
      <c r="AT44" s="49" t="str">
        <f>IFERROR(AS44-IFERROR(IF(INDEX(Daten_Risiken!$A:$ZZ,MATCH($B44&amp;"|Wechselkurs",Daten_Risiken!$A$1:$A$529,0),$BK$5)="",NA(),INDEX(Daten_Risiken!$A:$ZZ,MATCH($B44&amp;"|Wechselkurs",Daten_Risiken!$A$1:$A$529,0),$BK$5)),NA()),"")</f>
        <v/>
      </c>
      <c r="AU44" s="49" t="str">
        <f>IFERROR(AS44-IFERROR(IF(INDEX(Daten_Risiken!$A:$ZZ,MATCH($B44&amp;"|Wechselkurs",Daten_Risiken!$A$1:$A$529,0),$BK$6)="",NA(),INDEX(Daten_Risiken!$A:$ZZ,MATCH($B44&amp;"|Wechselkurs",Daten_Risiken!$A$1:$A$529,0),$BK$6)),NA()),"")</f>
        <v/>
      </c>
      <c r="AV44" s="50">
        <f>IFERROR(IF(INDEX(Daten_Motive!$A:$ZZ,MATCH($B44&amp;"|Ersatzbedarf",Daten_Motive!$A$1:$A$331,0),$BK$7)="","",INDEX(Daten_Motive!$A:$ZZ,MATCH($B44&amp;"|Ersatzbedarf",Daten_Motive!$A$1:$A$331,0),$BK$7)),"")</f>
        <v>76</v>
      </c>
      <c r="AW44" s="49">
        <f>IFERROR(AV44-IFERROR(IF(INDEX(Daten_Motive!$A:$ZZ,MATCH($B44&amp;"|Ersatzbedarf",Daten_Motive!$A$1:$A$331,0),$BK$8)="",NA(),INDEX(Daten_Motive!$A:$ZZ,MATCH($B44&amp;"|Ersatzbedarf",Daten_Motive!$A$1:$A$331,0),$BK$8)),NA()),"")</f>
        <v>-3</v>
      </c>
      <c r="AX44" s="49">
        <f>IFERROR(AV44-IFERROR(IF(INDEX(Daten_Motive!$A:$ZZ,MATCH($B44&amp;"|Ersatzbedarf",Daten_Motive!$A$1:$A$331,0),$BK$9)="",NA(),INDEX(Daten_Motive!$A:$ZZ,MATCH($B44&amp;"|Ersatzbedarf",Daten_Motive!$A$1:$A$331,0),$BK$9)),NA()),"")</f>
        <v>-2</v>
      </c>
      <c r="AY44" s="50">
        <f>IFERROR(IF(INDEX(Daten_Motive!$A:$ZZ,MATCH($B44&amp;"|Rationalisierung",Daten_Motive!$A$1:$A$331,0),$BK$7)="","",INDEX(Daten_Motive!$A:$ZZ,MATCH($B44&amp;"|Rationalisierung",Daten_Motive!$A$1:$A$331,0),$BK$7)),"")</f>
        <v>24</v>
      </c>
      <c r="AZ44" s="49">
        <f>IFERROR(AY44-IFERROR(IF(INDEX(Daten_Motive!$A:$ZZ,MATCH($B44&amp;"|Rationalisierung",Daten_Motive!$A$1:$A$331,0),$BK$8)="",NA(),INDEX(Daten_Motive!$A:$ZZ,MATCH($B44&amp;"|Rationalisierung",Daten_Motive!$A$1:$A$331,0),$BK$8)),NA()),"")</f>
        <v>1</v>
      </c>
      <c r="BA44" s="49">
        <f>IFERROR(AY44-IFERROR(IF(INDEX(Daten_Motive!$A:$ZZ,MATCH($B44&amp;"|Rationalisierung",Daten_Motive!$A$1:$A$331,0),$BK$9)="",NA(),INDEX(Daten_Motive!$A:$ZZ,MATCH($B44&amp;"|Rationalisierung",Daten_Motive!$A$1:$A$331,0),$BK$9)),NA()),"")</f>
        <v>3</v>
      </c>
      <c r="BB44" s="50">
        <f>IFERROR(IF(INDEX(Daten_Motive!$A:$ZZ,MATCH($B44&amp;"|Produktinnovation",Daten_Motive!$A$1:$A$331,0),$BK$7)="","",INDEX(Daten_Motive!$A:$ZZ,MATCH($B44&amp;"|Produktinnovation",Daten_Motive!$A$1:$A$331,0),$BK$7)),"")</f>
        <v>18</v>
      </c>
      <c r="BC44" s="49">
        <f>IFERROR(BB44-IFERROR(IF(INDEX(Daten_Motive!$A:$ZZ,MATCH($B44&amp;"|Produktinnovation",Daten_Motive!$A$1:$A$331,0),$BK$8)="",NA(),INDEX(Daten_Motive!$A:$ZZ,MATCH($B44&amp;"|Produktinnovation",Daten_Motive!$A$1:$A$331,0),$BK$8)),NA()),"")</f>
        <v>3</v>
      </c>
      <c r="BD44" s="49">
        <f>IFERROR(BB44-IFERROR(IF(INDEX(Daten_Motive!$A:$ZZ,MATCH($B44&amp;"|Produktinnovation",Daten_Motive!$A$1:$A$331,0),$BK$9)="",NA(),INDEX(Daten_Motive!$A:$ZZ,MATCH($B44&amp;"|Produktinnovation",Daten_Motive!$A$1:$A$331,0),$BK$9)),NA()),"")</f>
        <v>3</v>
      </c>
      <c r="BE44" s="50">
        <f>IFERROR(IF(INDEX(Daten_Motive!$A:$ZZ,MATCH($B44&amp;"|Umweltschutz",Daten_Motive!$A$1:$A$331,0),$BK$7)="","",INDEX(Daten_Motive!$A:$ZZ,MATCH($B44&amp;"|Umweltschutz",Daten_Motive!$A$1:$A$331,0),$BK$7)),"")</f>
        <v>23</v>
      </c>
      <c r="BF44" s="49">
        <f>IFERROR(BE44-IFERROR(IF(INDEX(Daten_Motive!$A:$ZZ,MATCH($B44&amp;"|Umweltschutz",Daten_Motive!$A$1:$A$331,0),$BK$8)="",NA(),INDEX(Daten_Motive!$A:$ZZ,MATCH($B44&amp;"|Umweltschutz",Daten_Motive!$A$1:$A$331,0),$BK$8)),NA()),"")</f>
        <v>2</v>
      </c>
      <c r="BG44" s="49">
        <f>IFERROR(BE44-IFERROR(IF(INDEX(Daten_Motive!$A:$ZZ,MATCH($B44&amp;"|Umweltschutz",Daten_Motive!$A$1:$A$331,0),$BK$9)="",NA(),INDEX(Daten_Motive!$A:$ZZ,MATCH($B44&amp;"|Umweltschutz",Daten_Motive!$A$1:$A$331,0),$BK$9)),NA()),"")</f>
        <v>2</v>
      </c>
      <c r="BH44" s="50">
        <f>IFERROR(IF(INDEX(Daten_Motive!$A:$ZZ,MATCH($B44&amp;"|Kapazitätserweiterung",Daten_Motive!$A$1:$A$331,0),$BK$7)="","",INDEX(Daten_Motive!$A:$ZZ,MATCH($B44&amp;"|Kapazitätserweiterung",Daten_Motive!$A$1:$A$331,0),$BK$7)),"")</f>
        <v>22</v>
      </c>
      <c r="BI44" s="49">
        <f>IFERROR(BH44-IFERROR(IF(INDEX(Daten_Motive!$A:$ZZ,MATCH($B44&amp;"|Kapazitätserweiterung",Daten_Motive!$A$1:$A$331,0),$BK$8)="",NA(),INDEX(Daten_Motive!$A:$ZZ,MATCH($B44&amp;"|Kapazitätserweiterung",Daten_Motive!$A$1:$A$331,0),$BK$8)),NA()),"")</f>
        <v>5</v>
      </c>
      <c r="BJ44" s="49">
        <f>IFERROR(BH44-IFERROR(IF(INDEX(Daten_Motive!$A:$ZZ,MATCH($B44&amp;"|Kapazitätserweiterung",Daten_Motive!$A$1:$A$331,0),$BK$9)="",NA(),INDEX(Daten_Motive!$A:$ZZ,MATCH($B44&amp;"|Kapazitätserweiterung",Daten_Motive!$A$1:$A$331,0),$BK$9)),NA()),"")</f>
        <v>4</v>
      </c>
    </row>
    <row r="45" spans="1:62" x14ac:dyDescent="0.25">
      <c r="A45" s="42">
        <v>37</v>
      </c>
      <c r="B45" s="52" t="str">
        <f>Listen!A38</f>
        <v>Landverkehr</v>
      </c>
      <c r="C45" s="44" t="s">
        <v>4531</v>
      </c>
      <c r="D45" s="44" t="str">
        <f>Listen!B38</f>
        <v>Dienstleister</v>
      </c>
      <c r="E45" s="45">
        <f>IFERROR(IF(INDEX(Daten_Anteile!$A:$ZZ,MATCH($B45&amp;"|Lage|"&amp;$C$3,Daten_Anteile!$A$1:$A$2971,0),5)="","",INDEX(Daten_Anteile!$A:$ZZ,MATCH($B45&amp;"|Lage|"&amp;$C$3,Daten_Anteile!$A$1:$A$2971,0),5)),"")</f>
        <v>732</v>
      </c>
      <c r="F45" s="46">
        <f t="shared" si="3"/>
        <v>79.400000000000006</v>
      </c>
      <c r="G45" s="47">
        <f t="shared" si="4"/>
        <v>9.1999999999999993</v>
      </c>
      <c r="H45" s="47">
        <f t="shared" si="5"/>
        <v>-7.1</v>
      </c>
      <c r="I45" s="48">
        <f>IFERROR(IF(INDEX(Daten_Salden!$A:$ZZ,MATCH($B45&amp;"|Lage",Daten_Salden!$A$1:$A$331,0),$BK$1)="","",INDEX(Daten_Salden!$A:$ZZ,MATCH($B45&amp;"|Lage",Daten_Salden!$A$1:$A$331,0),$BK$1)),"")</f>
        <v>-6</v>
      </c>
      <c r="J45" s="49">
        <f>IFERROR(I45-IFERROR(IF(INDEX(Daten_Salden!$A:$ZZ,MATCH($B45&amp;"|Lage",Daten_Salden!$A$1:$A$331,0),$BK$2)="",NA(),INDEX(Daten_Salden!$A:$ZZ,MATCH($B45&amp;"|Lage",Daten_Salden!$A$1:$A$331,0),$BK$2)),NA()),"")</f>
        <v>9</v>
      </c>
      <c r="K45" s="49">
        <f>IFERROR(I45-IFERROR(IF(INDEX(Daten_Salden!$A:$ZZ,MATCH($B45&amp;"|Lage",Daten_Salden!$A$1:$A$331,0),$BK$3)="",NA(),INDEX(Daten_Salden!$A:$ZZ,MATCH($B45&amp;"|Lage",Daten_Salden!$A$1:$A$331,0),$BK$3)),NA()),"")</f>
        <v>-2</v>
      </c>
      <c r="L45" s="48">
        <f>IFERROR(IF(INDEX(Daten_Salden!$A:$ZZ,MATCH($B45&amp;"|Erwartungen",Daten_Salden!$A$1:$A$331,0),$BK$1)="","",INDEX(Daten_Salden!$A:$ZZ,MATCH($B45&amp;"|Erwartungen",Daten_Salden!$A$1:$A$331,0),$BK$1)),"")</f>
        <v>-33</v>
      </c>
      <c r="M45" s="49">
        <f>IFERROR(L45-IFERROR(IF(INDEX(Daten_Salden!$A:$ZZ,MATCH($B45&amp;"|Erwartungen",Daten_Salden!$A$1:$A$331,0),$BK$2)="",NA(),INDEX(Daten_Salden!$A:$ZZ,MATCH($B45&amp;"|Erwartungen",Daten_Salden!$A$1:$A$331,0),$BK$2)),NA()),"")</f>
        <v>9</v>
      </c>
      <c r="N45" s="49">
        <f>IFERROR(L45-IFERROR(IF(INDEX(Daten_Salden!$A:$ZZ,MATCH($B45&amp;"|Erwartungen",Daten_Salden!$A$1:$A$331,0),$BK$3)="",NA(),INDEX(Daten_Salden!$A:$ZZ,MATCH($B45&amp;"|Erwartungen",Daten_Salden!$A$1:$A$331,0),$BK$3)),NA()),"")</f>
        <v>-11</v>
      </c>
      <c r="O45" s="48" t="str">
        <f>IFERROR(IF(INDEX(Daten_Salden!$A:$ZZ,MATCH($B45&amp;"|Export",Daten_Salden!$A$1:$A$331,0),$BK$1)="","",INDEX(Daten_Salden!$A:$ZZ,MATCH($B45&amp;"|Export",Daten_Salden!$A$1:$A$331,0),$BK$1)),"")</f>
        <v/>
      </c>
      <c r="P45" s="49" t="str">
        <f>IFERROR(O45-IFERROR(IF(INDEX(Daten_Salden!$A:$ZZ,MATCH($B45&amp;"|Export",Daten_Salden!$A$1:$A$331,0),$BK$2)="",NA(),INDEX(Daten_Salden!$A:$ZZ,MATCH($B45&amp;"|Export",Daten_Salden!$A$1:$A$331,0),$BK$2)),NA()),"")</f>
        <v/>
      </c>
      <c r="Q45" s="49" t="str">
        <f>IFERROR(O45-IFERROR(IF(INDEX(Daten_Salden!$A:$ZZ,MATCH($B45&amp;"|Export",Daten_Salden!$A$1:$A$331,0),$BK$3)="",NA(),INDEX(Daten_Salden!$A:$ZZ,MATCH($B45&amp;"|Export",Daten_Salden!$A$1:$A$331,0),$BK$3)),NA()),"")</f>
        <v/>
      </c>
      <c r="R45" s="48">
        <f>IFERROR(IF(INDEX(Daten_Salden!$A:$ZZ,MATCH($B45&amp;"|Investitionen",Daten_Salden!$A$1:$A$331,0),$BK$1)="","",INDEX(Daten_Salden!$A:$ZZ,MATCH($B45&amp;"|Investitionen",Daten_Salden!$A$1:$A$331,0),$BK$1)),"")</f>
        <v>-5</v>
      </c>
      <c r="S45" s="49">
        <f>IFERROR(R45-IFERROR(IF(INDEX(Daten_Salden!$A:$ZZ,MATCH($B45&amp;"|Investitionen",Daten_Salden!$A$1:$A$331,0),$BK$2)="",NA(),INDEX(Daten_Salden!$A:$ZZ,MATCH($B45&amp;"|Investitionen",Daten_Salden!$A$1:$A$331,0),$BK$2)),NA()),"")</f>
        <v>6</v>
      </c>
      <c r="T45" s="49">
        <f>IFERROR(R45-IFERROR(IF(INDEX(Daten_Salden!$A:$ZZ,MATCH($B45&amp;"|Investitionen",Daten_Salden!$A$1:$A$331,0),$BK$3)="",NA(),INDEX(Daten_Salden!$A:$ZZ,MATCH($B45&amp;"|Investitionen",Daten_Salden!$A$1:$A$331,0),$BK$3)),NA()),"")</f>
        <v>-1</v>
      </c>
      <c r="U45" s="48">
        <f>IFERROR(IF(INDEX(Daten_Salden!$A:$ZZ,MATCH($B45&amp;"|Beschäftigung",Daten_Salden!$A$1:$A$331,0),$BK$1)="","",INDEX(Daten_Salden!$A:$ZZ,MATCH($B45&amp;"|Beschäftigung",Daten_Salden!$A$1:$A$331,0),$BK$1)),"")</f>
        <v>-17</v>
      </c>
      <c r="V45" s="49">
        <f>IFERROR(U45-IFERROR(IF(INDEX(Daten_Salden!$A:$ZZ,MATCH($B45&amp;"|Beschäftigung",Daten_Salden!$A$1:$A$331,0),$BK$2)="",NA(),INDEX(Daten_Salden!$A:$ZZ,MATCH($B45&amp;"|Beschäftigung",Daten_Salden!$A$1:$A$331,0),$BK$2)),NA()),"")</f>
        <v>1</v>
      </c>
      <c r="W45" s="49">
        <f>IFERROR(U45-IFERROR(IF(INDEX(Daten_Salden!$A:$ZZ,MATCH($B45&amp;"|Beschäftigung",Daten_Salden!$A$1:$A$331,0),$BK$3)="",NA(),INDEX(Daten_Salden!$A:$ZZ,MATCH($B45&amp;"|Beschäftigung",Daten_Salden!$A$1:$A$331,0),$BK$3)),NA()),"")</f>
        <v>-6</v>
      </c>
      <c r="X45" s="50">
        <f>IFERROR(IF(INDEX(Daten_Risiken!$A:$ZZ,MATCH($B45&amp;"|Energie- und Rohstoffpreise",Daten_Risiken!$A$1:$A$529,0),$BK$4)="","",INDEX(Daten_Risiken!$A:$ZZ,MATCH($B45&amp;"|Energie- und Rohstoffpreise",Daten_Risiken!$A$1:$A$529,0),$BK$4)),"")</f>
        <v>89</v>
      </c>
      <c r="Y45" s="49">
        <f>IFERROR(X45-IFERROR(IF(INDEX(Daten_Risiken!$A:$ZZ,MATCH($B45&amp;"|Energie- und Rohstoffpreise",Daten_Risiken!$A$1:$A$529,0),$BK$5)="",NA(),INDEX(Daten_Risiken!$A:$ZZ,MATCH($B45&amp;"|Energie- und Rohstoffpreise",Daten_Risiken!$A$1:$A$529,0),$BK$5)),NA()),"")</f>
        <v>-2</v>
      </c>
      <c r="Z45" s="49">
        <f>IFERROR(X45-IFERROR(IF(INDEX(Daten_Risiken!$A:$ZZ,MATCH($B45&amp;"|Energie- und Rohstoffpreise",Daten_Risiken!$A$1:$A$529,0),$BK$6)="",NA(),INDEX(Daten_Risiken!$A:$ZZ,MATCH($B45&amp;"|Energie- und Rohstoffpreise",Daten_Risiken!$A$1:$A$529,0),$BK$6)),NA()),"")</f>
        <v>22</v>
      </c>
      <c r="AA45" s="50">
        <f>IFERROR(IF(INDEX(Daten_Risiken!$A:$ZZ,MATCH($B45&amp;"|Arbeitskosten",Daten_Risiken!$A$1:$A$529,0),$BK$4)="","",INDEX(Daten_Risiken!$A:$ZZ,MATCH($B45&amp;"|Arbeitskosten",Daten_Risiken!$A$1:$A$529,0),$BK$4)),"")</f>
        <v>66</v>
      </c>
      <c r="AB45" s="49">
        <f>IFERROR(AA45-IFERROR(IF(INDEX(Daten_Risiken!$A:$ZZ,MATCH($B45&amp;"|Arbeitskosten",Daten_Risiken!$A$1:$A$529,0),$BK$5)="",NA(),INDEX(Daten_Risiken!$A:$ZZ,MATCH($B45&amp;"|Arbeitskosten",Daten_Risiken!$A$1:$A$529,0),$BK$5)),NA()),"")</f>
        <v>3</v>
      </c>
      <c r="AC45" s="49">
        <f>IFERROR(AA45-IFERROR(IF(INDEX(Daten_Risiken!$A:$ZZ,MATCH($B45&amp;"|Arbeitskosten",Daten_Risiken!$A$1:$A$529,0),$BK$6)="",NA(),INDEX(Daten_Risiken!$A:$ZZ,MATCH($B45&amp;"|Arbeitskosten",Daten_Risiken!$A$1:$A$529,0),$BK$6)),NA()),"")</f>
        <v>-2</v>
      </c>
      <c r="AD45" s="50">
        <f>IFERROR(IF(INDEX(Daten_Risiken!$A:$ZZ,MATCH($B45&amp;"|Inlandsnachfrage",Daten_Risiken!$A$1:$A$529,0),$BK$4)="","",INDEX(Daten_Risiken!$A:$ZZ,MATCH($B45&amp;"|Inlandsnachfrage",Daten_Risiken!$A$1:$A$529,0),$BK$4)),"")</f>
        <v>31</v>
      </c>
      <c r="AE45" s="49">
        <f>IFERROR(AD45-IFERROR(IF(INDEX(Daten_Risiken!$A:$ZZ,MATCH($B45&amp;"|Inlandsnachfrage",Daten_Risiken!$A$1:$A$529,0),$BK$5)="",NA(),INDEX(Daten_Risiken!$A:$ZZ,MATCH($B45&amp;"|Inlandsnachfrage",Daten_Risiken!$A$1:$A$529,0),$BK$5)),NA()),"")</f>
        <v>-4</v>
      </c>
      <c r="AF45" s="49">
        <f>IFERROR(AD45-IFERROR(IF(INDEX(Daten_Risiken!$A:$ZZ,MATCH($B45&amp;"|Inlandsnachfrage",Daten_Risiken!$A$1:$A$529,0),$BK$6)="",NA(),INDEX(Daten_Risiken!$A:$ZZ,MATCH($B45&amp;"|Inlandsnachfrage",Daten_Risiken!$A$1:$A$529,0),$BK$6)),NA()),"")</f>
        <v>-5</v>
      </c>
      <c r="AG45" s="50">
        <f>IFERROR(IF(INDEX(Daten_Risiken!$A:$ZZ,MATCH($B45&amp;"|Wirtschaftspolitische Rahmenbedingungen",Daten_Risiken!$A$1:$A$529,0),$BK$4)="","",INDEX(Daten_Risiken!$A:$ZZ,MATCH($B45&amp;"|Wirtschaftspolitische Rahmenbedingungen",Daten_Risiken!$A$1:$A$529,0),$BK$4)),"")</f>
        <v>51</v>
      </c>
      <c r="AH45" s="49">
        <f>IFERROR(AG45-IFERROR(IF(INDEX(Daten_Risiken!$A:$ZZ,MATCH($B45&amp;"|Wirtschaftspolitische Rahmenbedingungen",Daten_Risiken!$A$1:$A$529,0),$BK$5)="",NA(),INDEX(Daten_Risiken!$A:$ZZ,MATCH($B45&amp;"|Wirtschaftspolitische Rahmenbedingungen",Daten_Risiken!$A$1:$A$529,0),$BK$5)),NA()),"")</f>
        <v>-2</v>
      </c>
      <c r="AI45" s="49">
        <f>IFERROR(AG45-IFERROR(IF(INDEX(Daten_Risiken!$A:$ZZ,MATCH($B45&amp;"|Wirtschaftspolitische Rahmenbedingungen",Daten_Risiken!$A$1:$A$529,0),$BK$6)="",NA(),INDEX(Daten_Risiken!$A:$ZZ,MATCH($B45&amp;"|Wirtschaftspolitische Rahmenbedingungen",Daten_Risiken!$A$1:$A$529,0),$BK$6)),NA()),"")</f>
        <v>-3</v>
      </c>
      <c r="AJ45" s="50">
        <f>IFERROR(IF(INDEX(Daten_Risiken!$A:$ZZ,MATCH($B45&amp;"|Fachkräftemangel",Daten_Risiken!$A$1:$A$529,0),$BK$4)="","",INDEX(Daten_Risiken!$A:$ZZ,MATCH($B45&amp;"|Fachkräftemangel",Daten_Risiken!$A$1:$A$529,0),$BK$4)),"")</f>
        <v>53</v>
      </c>
      <c r="AK45" s="49">
        <f>IFERROR(AJ45-IFERROR(IF(INDEX(Daten_Risiken!$A:$ZZ,MATCH($B45&amp;"|Fachkräftemangel",Daten_Risiken!$A$1:$A$529,0),$BK$5)="",NA(),INDEX(Daten_Risiken!$A:$ZZ,MATCH($B45&amp;"|Fachkräftemangel",Daten_Risiken!$A$1:$A$529,0),$BK$5)),NA()),"")</f>
        <v>6</v>
      </c>
      <c r="AL45" s="49">
        <f>IFERROR(AJ45-IFERROR(IF(INDEX(Daten_Risiken!$A:$ZZ,MATCH($B45&amp;"|Fachkräftemangel",Daten_Risiken!$A$1:$A$529,0),$BK$6)="",NA(),INDEX(Daten_Risiken!$A:$ZZ,MATCH($B45&amp;"|Fachkräftemangel",Daten_Risiken!$A$1:$A$529,0),$BK$6)),NA()),"")</f>
        <v>-10</v>
      </c>
      <c r="AM45" s="50" t="str">
        <f>IFERROR(IF(INDEX(Daten_Risiken!$A:$ZZ,MATCH($B45&amp;"|Auslandsnachfrage",Daten_Risiken!$A$1:$A$529,0),$BK$4)="","",INDEX(Daten_Risiken!$A:$ZZ,MATCH($B45&amp;"|Auslandsnachfrage",Daten_Risiken!$A$1:$A$529,0),$BK$4)),"")</f>
        <v/>
      </c>
      <c r="AN45" s="49" t="str">
        <f>IFERROR(AM45-IFERROR(IF(INDEX(Daten_Risiken!$A:$ZZ,MATCH($B45&amp;"|Auslandsnachfrage",Daten_Risiken!$A$1:$A$529,0),$BK$5)="",NA(),INDEX(Daten_Risiken!$A:$ZZ,MATCH($B45&amp;"|Auslandsnachfrage",Daten_Risiken!$A$1:$A$529,0),$BK$5)),NA()),"")</f>
        <v/>
      </c>
      <c r="AO45" s="49" t="str">
        <f>IFERROR(AM45-IFERROR(IF(INDEX(Daten_Risiken!$A:$ZZ,MATCH($B45&amp;"|Auslandsnachfrage",Daten_Risiken!$A$1:$A$529,0),$BK$6)="",NA(),INDEX(Daten_Risiken!$A:$ZZ,MATCH($B45&amp;"|Auslandsnachfrage",Daten_Risiken!$A$1:$A$529,0),$BK$6)),NA()),"")</f>
        <v/>
      </c>
      <c r="AP45" s="50">
        <f>IFERROR(IF(INDEX(Daten_Risiken!$A:$ZZ,MATCH($B45&amp;"|Finanzierung",Daten_Risiken!$A$1:$A$529,0),$BK$4)="","",INDEX(Daten_Risiken!$A:$ZZ,MATCH($B45&amp;"|Finanzierung",Daten_Risiken!$A$1:$A$529,0),$BK$4)),"")</f>
        <v>20</v>
      </c>
      <c r="AQ45" s="49">
        <f>IFERROR(AP45-IFERROR(IF(INDEX(Daten_Risiken!$A:$ZZ,MATCH($B45&amp;"|Finanzierung",Daten_Risiken!$A$1:$A$529,0),$BK$5)="",NA(),INDEX(Daten_Risiken!$A:$ZZ,MATCH($B45&amp;"|Finanzierung",Daten_Risiken!$A$1:$A$529,0),$BK$5)),NA()),"")</f>
        <v>1</v>
      </c>
      <c r="AR45" s="49">
        <f>IFERROR(AP45-IFERROR(IF(INDEX(Daten_Risiken!$A:$ZZ,MATCH($B45&amp;"|Finanzierung",Daten_Risiken!$A$1:$A$529,0),$BK$6)="",NA(),INDEX(Daten_Risiken!$A:$ZZ,MATCH($B45&amp;"|Finanzierung",Daten_Risiken!$A$1:$A$529,0),$BK$6)),NA()),"")</f>
        <v>2</v>
      </c>
      <c r="AS45" s="50" t="str">
        <f>IFERROR(IF(INDEX(Daten_Risiken!$A:$ZZ,MATCH($B45&amp;"|Wechselkurs",Daten_Risiken!$A$1:$A$529,0),$BK$4)="","",INDEX(Daten_Risiken!$A:$ZZ,MATCH($B45&amp;"|Wechselkurs",Daten_Risiken!$A$1:$A$529,0),$BK$4)),"")</f>
        <v/>
      </c>
      <c r="AT45" s="49" t="str">
        <f>IFERROR(AS45-IFERROR(IF(INDEX(Daten_Risiken!$A:$ZZ,MATCH($B45&amp;"|Wechselkurs",Daten_Risiken!$A$1:$A$529,0),$BK$5)="",NA(),INDEX(Daten_Risiken!$A:$ZZ,MATCH($B45&amp;"|Wechselkurs",Daten_Risiken!$A$1:$A$529,0),$BK$5)),NA()),"")</f>
        <v/>
      </c>
      <c r="AU45" s="49" t="str">
        <f>IFERROR(AS45-IFERROR(IF(INDEX(Daten_Risiken!$A:$ZZ,MATCH($B45&amp;"|Wechselkurs",Daten_Risiken!$A$1:$A$529,0),$BK$6)="",NA(),INDEX(Daten_Risiken!$A:$ZZ,MATCH($B45&amp;"|Wechselkurs",Daten_Risiken!$A$1:$A$529,0),$BK$6)),NA()),"")</f>
        <v/>
      </c>
      <c r="AV45" s="50">
        <f>IFERROR(IF(INDEX(Daten_Motive!$A:$ZZ,MATCH($B45&amp;"|Ersatzbedarf",Daten_Motive!$A$1:$A$331,0),$BK$7)="","",INDEX(Daten_Motive!$A:$ZZ,MATCH($B45&amp;"|Ersatzbedarf",Daten_Motive!$A$1:$A$331,0),$BK$7)),"")</f>
        <v>81</v>
      </c>
      <c r="AW45" s="49">
        <f>IFERROR(AV45-IFERROR(IF(INDEX(Daten_Motive!$A:$ZZ,MATCH($B45&amp;"|Ersatzbedarf",Daten_Motive!$A$1:$A$331,0),$BK$8)="",NA(),INDEX(Daten_Motive!$A:$ZZ,MATCH($B45&amp;"|Ersatzbedarf",Daten_Motive!$A$1:$A$331,0),$BK$8)),NA()),"")</f>
        <v>-2</v>
      </c>
      <c r="AX45" s="49">
        <f>IFERROR(AV45-IFERROR(IF(INDEX(Daten_Motive!$A:$ZZ,MATCH($B45&amp;"|Ersatzbedarf",Daten_Motive!$A$1:$A$331,0),$BK$9)="",NA(),INDEX(Daten_Motive!$A:$ZZ,MATCH($B45&amp;"|Ersatzbedarf",Daten_Motive!$A$1:$A$331,0),$BK$9)),NA()),"")</f>
        <v>-2</v>
      </c>
      <c r="AY45" s="50">
        <f>IFERROR(IF(INDEX(Daten_Motive!$A:$ZZ,MATCH($B45&amp;"|Rationalisierung",Daten_Motive!$A$1:$A$331,0),$BK$7)="","",INDEX(Daten_Motive!$A:$ZZ,MATCH($B45&amp;"|Rationalisierung",Daten_Motive!$A$1:$A$331,0),$BK$7)),"")</f>
        <v>19</v>
      </c>
      <c r="AZ45" s="49">
        <f>IFERROR(AY45-IFERROR(IF(INDEX(Daten_Motive!$A:$ZZ,MATCH($B45&amp;"|Rationalisierung",Daten_Motive!$A$1:$A$331,0),$BK$8)="",NA(),INDEX(Daten_Motive!$A:$ZZ,MATCH($B45&amp;"|Rationalisierung",Daten_Motive!$A$1:$A$331,0),$BK$8)),NA()),"")</f>
        <v>4</v>
      </c>
      <c r="BA45" s="49">
        <f>IFERROR(AY45-IFERROR(IF(INDEX(Daten_Motive!$A:$ZZ,MATCH($B45&amp;"|Rationalisierung",Daten_Motive!$A$1:$A$331,0),$BK$9)="",NA(),INDEX(Daten_Motive!$A:$ZZ,MATCH($B45&amp;"|Rationalisierung",Daten_Motive!$A$1:$A$331,0),$BK$9)),NA()),"")</f>
        <v>5</v>
      </c>
      <c r="BB45" s="50">
        <f>IFERROR(IF(INDEX(Daten_Motive!$A:$ZZ,MATCH($B45&amp;"|Produktinnovation",Daten_Motive!$A$1:$A$331,0),$BK$7)="","",INDEX(Daten_Motive!$A:$ZZ,MATCH($B45&amp;"|Produktinnovation",Daten_Motive!$A$1:$A$331,0),$BK$7)),"")</f>
        <v>12</v>
      </c>
      <c r="BC45" s="49">
        <f>IFERROR(BB45-IFERROR(IF(INDEX(Daten_Motive!$A:$ZZ,MATCH($B45&amp;"|Produktinnovation",Daten_Motive!$A$1:$A$331,0),$BK$8)="",NA(),INDEX(Daten_Motive!$A:$ZZ,MATCH($B45&amp;"|Produktinnovation",Daten_Motive!$A$1:$A$331,0),$BK$8)),NA()),"")</f>
        <v>1</v>
      </c>
      <c r="BD45" s="49">
        <f>IFERROR(BB45-IFERROR(IF(INDEX(Daten_Motive!$A:$ZZ,MATCH($B45&amp;"|Produktinnovation",Daten_Motive!$A$1:$A$331,0),$BK$9)="",NA(),INDEX(Daten_Motive!$A:$ZZ,MATCH($B45&amp;"|Produktinnovation",Daten_Motive!$A$1:$A$331,0),$BK$9)),NA()),"")</f>
        <v>2</v>
      </c>
      <c r="BE45" s="50">
        <f>IFERROR(IF(INDEX(Daten_Motive!$A:$ZZ,MATCH($B45&amp;"|Umweltschutz",Daten_Motive!$A$1:$A$331,0),$BK$7)="","",INDEX(Daten_Motive!$A:$ZZ,MATCH($B45&amp;"|Umweltschutz",Daten_Motive!$A$1:$A$331,0),$BK$7)),"")</f>
        <v>21</v>
      </c>
      <c r="BF45" s="49">
        <f>IFERROR(BE45-IFERROR(IF(INDEX(Daten_Motive!$A:$ZZ,MATCH($B45&amp;"|Umweltschutz",Daten_Motive!$A$1:$A$331,0),$BK$8)="",NA(),INDEX(Daten_Motive!$A:$ZZ,MATCH($B45&amp;"|Umweltschutz",Daten_Motive!$A$1:$A$331,0),$BK$8)),NA()),"")</f>
        <v>1</v>
      </c>
      <c r="BG45" s="49">
        <f>IFERROR(BE45-IFERROR(IF(INDEX(Daten_Motive!$A:$ZZ,MATCH($B45&amp;"|Umweltschutz",Daten_Motive!$A$1:$A$331,0),$BK$9)="",NA(),INDEX(Daten_Motive!$A:$ZZ,MATCH($B45&amp;"|Umweltschutz",Daten_Motive!$A$1:$A$331,0),$BK$9)),NA()),"")</f>
        <v>1</v>
      </c>
      <c r="BH45" s="50">
        <f>IFERROR(IF(INDEX(Daten_Motive!$A:$ZZ,MATCH($B45&amp;"|Kapazitätserweiterung",Daten_Motive!$A$1:$A$331,0),$BK$7)="","",INDEX(Daten_Motive!$A:$ZZ,MATCH($B45&amp;"|Kapazitätserweiterung",Daten_Motive!$A$1:$A$331,0),$BK$7)),"")</f>
        <v>16</v>
      </c>
      <c r="BI45" s="49">
        <f>IFERROR(BH45-IFERROR(IF(INDEX(Daten_Motive!$A:$ZZ,MATCH($B45&amp;"|Kapazitätserweiterung",Daten_Motive!$A$1:$A$331,0),$BK$8)="",NA(),INDEX(Daten_Motive!$A:$ZZ,MATCH($B45&amp;"|Kapazitätserweiterung",Daten_Motive!$A$1:$A$331,0),$BK$8)),NA()),"")</f>
        <v>2</v>
      </c>
      <c r="BJ45" s="49">
        <f>IFERROR(BH45-IFERROR(IF(INDEX(Daten_Motive!$A:$ZZ,MATCH($B45&amp;"|Kapazitätserweiterung",Daten_Motive!$A$1:$A$331,0),$BK$9)="",NA(),INDEX(Daten_Motive!$A:$ZZ,MATCH($B45&amp;"|Kapazitätserweiterung",Daten_Motive!$A$1:$A$331,0),$BK$9)),NA()),"")</f>
        <v>2</v>
      </c>
    </row>
    <row r="46" spans="1:62" x14ac:dyDescent="0.25">
      <c r="A46" s="42">
        <v>38</v>
      </c>
      <c r="B46" s="52" t="str">
        <f>Listen!A39</f>
        <v>Lagerei und Verkehrsdienstleistungen</v>
      </c>
      <c r="C46" s="44" t="s">
        <v>4532</v>
      </c>
      <c r="D46" s="44" t="str">
        <f>Listen!B39</f>
        <v>Dienstleister</v>
      </c>
      <c r="E46" s="45">
        <f>IFERROR(IF(INDEX(Daten_Anteile!$A:$ZZ,MATCH($B46&amp;"|Lage|"&amp;$C$3,Daten_Anteile!$A$1:$A$2971,0),5)="","",INDEX(Daten_Anteile!$A:$ZZ,MATCH($B46&amp;"|Lage|"&amp;$C$3,Daten_Anteile!$A$1:$A$2971,0),5)),"")</f>
        <v>590</v>
      </c>
      <c r="F46" s="46">
        <f t="shared" si="3"/>
        <v>92.4</v>
      </c>
      <c r="G46" s="47">
        <f t="shared" si="4"/>
        <v>14.2</v>
      </c>
      <c r="H46" s="47">
        <f t="shared" si="5"/>
        <v>5.5</v>
      </c>
      <c r="I46" s="48">
        <f>IFERROR(IF(INDEX(Daten_Salden!$A:$ZZ,MATCH($B46&amp;"|Lage",Daten_Salden!$A$1:$A$331,0),$BK$1)="","",INDEX(Daten_Salden!$A:$ZZ,MATCH($B46&amp;"|Lage",Daten_Salden!$A$1:$A$331,0),$BK$1)),"")</f>
        <v>-3</v>
      </c>
      <c r="J46" s="49">
        <f>IFERROR(I46-IFERROR(IF(INDEX(Daten_Salden!$A:$ZZ,MATCH($B46&amp;"|Lage",Daten_Salden!$A$1:$A$331,0),$BK$2)="",NA(),INDEX(Daten_Salden!$A:$ZZ,MATCH($B46&amp;"|Lage",Daten_Salden!$A$1:$A$331,0),$BK$2)),NA()),"")</f>
        <v>12</v>
      </c>
      <c r="K46" s="49">
        <f>IFERROR(I46-IFERROR(IF(INDEX(Daten_Salden!$A:$ZZ,MATCH($B46&amp;"|Lage",Daten_Salden!$A$1:$A$331,0),$BK$3)="",NA(),INDEX(Daten_Salden!$A:$ZZ,MATCH($B46&amp;"|Lage",Daten_Salden!$A$1:$A$331,0),$BK$3)),NA()),"")</f>
        <v>7</v>
      </c>
      <c r="L46" s="48">
        <f>IFERROR(IF(INDEX(Daten_Salden!$A:$ZZ,MATCH($B46&amp;"|Erwartungen",Daten_Salden!$A$1:$A$331,0),$BK$1)="","",INDEX(Daten_Salden!$A:$ZZ,MATCH($B46&amp;"|Erwartungen",Daten_Salden!$A$1:$A$331,0),$BK$1)),"")</f>
        <v>-12</v>
      </c>
      <c r="M46" s="49">
        <f>IFERROR(L46-IFERROR(IF(INDEX(Daten_Salden!$A:$ZZ,MATCH($B46&amp;"|Erwartungen",Daten_Salden!$A$1:$A$331,0),$BK$2)="",NA(),INDEX(Daten_Salden!$A:$ZZ,MATCH($B46&amp;"|Erwartungen",Daten_Salden!$A$1:$A$331,0),$BK$2)),NA()),"")</f>
        <v>16</v>
      </c>
      <c r="N46" s="49">
        <f>IFERROR(L46-IFERROR(IF(INDEX(Daten_Salden!$A:$ZZ,MATCH($B46&amp;"|Erwartungen",Daten_Salden!$A$1:$A$331,0),$BK$3)="",NA(),INDEX(Daten_Salden!$A:$ZZ,MATCH($B46&amp;"|Erwartungen",Daten_Salden!$A$1:$A$331,0),$BK$3)),NA()),"")</f>
        <v>4</v>
      </c>
      <c r="O46" s="48" t="str">
        <f>IFERROR(IF(INDEX(Daten_Salden!$A:$ZZ,MATCH($B46&amp;"|Export",Daten_Salden!$A$1:$A$331,0),$BK$1)="","",INDEX(Daten_Salden!$A:$ZZ,MATCH($B46&amp;"|Export",Daten_Salden!$A$1:$A$331,0),$BK$1)),"")</f>
        <v/>
      </c>
      <c r="P46" s="49" t="str">
        <f>IFERROR(O46-IFERROR(IF(INDEX(Daten_Salden!$A:$ZZ,MATCH($B46&amp;"|Export",Daten_Salden!$A$1:$A$331,0),$BK$2)="",NA(),INDEX(Daten_Salden!$A:$ZZ,MATCH($B46&amp;"|Export",Daten_Salden!$A$1:$A$331,0),$BK$2)),NA()),"")</f>
        <v/>
      </c>
      <c r="Q46" s="49" t="str">
        <f>IFERROR(O46-IFERROR(IF(INDEX(Daten_Salden!$A:$ZZ,MATCH($B46&amp;"|Export",Daten_Salden!$A$1:$A$331,0),$BK$3)="",NA(),INDEX(Daten_Salden!$A:$ZZ,MATCH($B46&amp;"|Export",Daten_Salden!$A$1:$A$331,0),$BK$3)),NA()),"")</f>
        <v/>
      </c>
      <c r="R46" s="48">
        <f>IFERROR(IF(INDEX(Daten_Salden!$A:$ZZ,MATCH($B46&amp;"|Investitionen",Daten_Salden!$A$1:$A$331,0),$BK$1)="","",INDEX(Daten_Salden!$A:$ZZ,MATCH($B46&amp;"|Investitionen",Daten_Salden!$A$1:$A$331,0),$BK$1)),"")</f>
        <v>3</v>
      </c>
      <c r="S46" s="49">
        <f>IFERROR(R46-IFERROR(IF(INDEX(Daten_Salden!$A:$ZZ,MATCH($B46&amp;"|Investitionen",Daten_Salden!$A$1:$A$331,0),$BK$2)="",NA(),INDEX(Daten_Salden!$A:$ZZ,MATCH($B46&amp;"|Investitionen",Daten_Salden!$A$1:$A$331,0),$BK$2)),NA()),"")</f>
        <v>17</v>
      </c>
      <c r="T46" s="49">
        <f>IFERROR(R46-IFERROR(IF(INDEX(Daten_Salden!$A:$ZZ,MATCH($B46&amp;"|Investitionen",Daten_Salden!$A$1:$A$331,0),$BK$3)="",NA(),INDEX(Daten_Salden!$A:$ZZ,MATCH($B46&amp;"|Investitionen",Daten_Salden!$A$1:$A$331,0),$BK$3)),NA()),"")</f>
        <v>15</v>
      </c>
      <c r="U46" s="48">
        <f>IFERROR(IF(INDEX(Daten_Salden!$A:$ZZ,MATCH($B46&amp;"|Beschäftigung",Daten_Salden!$A$1:$A$331,0),$BK$1)="","",INDEX(Daten_Salden!$A:$ZZ,MATCH($B46&amp;"|Beschäftigung",Daten_Salden!$A$1:$A$331,0),$BK$1)),"")</f>
        <v>-11</v>
      </c>
      <c r="V46" s="49">
        <f>IFERROR(U46-IFERROR(IF(INDEX(Daten_Salden!$A:$ZZ,MATCH($B46&amp;"|Beschäftigung",Daten_Salden!$A$1:$A$331,0),$BK$2)="",NA(),INDEX(Daten_Salden!$A:$ZZ,MATCH($B46&amp;"|Beschäftigung",Daten_Salden!$A$1:$A$331,0),$BK$2)),NA()),"")</f>
        <v>5</v>
      </c>
      <c r="W46" s="49">
        <f>IFERROR(U46-IFERROR(IF(INDEX(Daten_Salden!$A:$ZZ,MATCH($B46&amp;"|Beschäftigung",Daten_Salden!$A$1:$A$331,0),$BK$3)="",NA(),INDEX(Daten_Salden!$A:$ZZ,MATCH($B46&amp;"|Beschäftigung",Daten_Salden!$A$1:$A$331,0),$BK$3)),NA()),"")</f>
        <v>1</v>
      </c>
      <c r="X46" s="50">
        <f>IFERROR(IF(INDEX(Daten_Risiken!$A:$ZZ,MATCH($B46&amp;"|Energie- und Rohstoffpreise",Daten_Risiken!$A$1:$A$529,0),$BK$4)="","",INDEX(Daten_Risiken!$A:$ZZ,MATCH($B46&amp;"|Energie- und Rohstoffpreise",Daten_Risiken!$A$1:$A$529,0),$BK$4)),"")</f>
        <v>83</v>
      </c>
      <c r="Y46" s="49">
        <f>IFERROR(X46-IFERROR(IF(INDEX(Daten_Risiken!$A:$ZZ,MATCH($B46&amp;"|Energie- und Rohstoffpreise",Daten_Risiken!$A$1:$A$529,0),$BK$5)="",NA(),INDEX(Daten_Risiken!$A:$ZZ,MATCH($B46&amp;"|Energie- und Rohstoffpreise",Daten_Risiken!$A$1:$A$529,0),$BK$5)),NA()),"")</f>
        <v>-3</v>
      </c>
      <c r="Z46" s="49">
        <f>IFERROR(X46-IFERROR(IF(INDEX(Daten_Risiken!$A:$ZZ,MATCH($B46&amp;"|Energie- und Rohstoffpreise",Daten_Risiken!$A$1:$A$529,0),$BK$6)="",NA(),INDEX(Daten_Risiken!$A:$ZZ,MATCH($B46&amp;"|Energie- und Rohstoffpreise",Daten_Risiken!$A$1:$A$529,0),$BK$6)),NA()),"")</f>
        <v>25</v>
      </c>
      <c r="AA46" s="50">
        <f>IFERROR(IF(INDEX(Daten_Risiken!$A:$ZZ,MATCH($B46&amp;"|Arbeitskosten",Daten_Risiken!$A$1:$A$529,0),$BK$4)="","",INDEX(Daten_Risiken!$A:$ZZ,MATCH($B46&amp;"|Arbeitskosten",Daten_Risiken!$A$1:$A$529,0),$BK$4)),"")</f>
        <v>63</v>
      </c>
      <c r="AB46" s="49">
        <f>IFERROR(AA46-IFERROR(IF(INDEX(Daten_Risiken!$A:$ZZ,MATCH($B46&amp;"|Arbeitskosten",Daten_Risiken!$A$1:$A$529,0),$BK$5)="",NA(),INDEX(Daten_Risiken!$A:$ZZ,MATCH($B46&amp;"|Arbeitskosten",Daten_Risiken!$A$1:$A$529,0),$BK$5)),NA()),"")</f>
        <v>-1</v>
      </c>
      <c r="AC46" s="49">
        <f>IFERROR(AA46-IFERROR(IF(INDEX(Daten_Risiken!$A:$ZZ,MATCH($B46&amp;"|Arbeitskosten",Daten_Risiken!$A$1:$A$529,0),$BK$6)="",NA(),INDEX(Daten_Risiken!$A:$ZZ,MATCH($B46&amp;"|Arbeitskosten",Daten_Risiken!$A$1:$A$529,0),$BK$6)),NA()),"")</f>
        <v>-3</v>
      </c>
      <c r="AD46" s="50">
        <f>IFERROR(IF(INDEX(Daten_Risiken!$A:$ZZ,MATCH($B46&amp;"|Inlandsnachfrage",Daten_Risiken!$A$1:$A$529,0),$BK$4)="","",INDEX(Daten_Risiken!$A:$ZZ,MATCH($B46&amp;"|Inlandsnachfrage",Daten_Risiken!$A$1:$A$529,0),$BK$4)),"")</f>
        <v>49</v>
      </c>
      <c r="AE46" s="49">
        <f>IFERROR(AD46-IFERROR(IF(INDEX(Daten_Risiken!$A:$ZZ,MATCH($B46&amp;"|Inlandsnachfrage",Daten_Risiken!$A$1:$A$529,0),$BK$5)="",NA(),INDEX(Daten_Risiken!$A:$ZZ,MATCH($B46&amp;"|Inlandsnachfrage",Daten_Risiken!$A$1:$A$529,0),$BK$5)),NA()),"")</f>
        <v>-4</v>
      </c>
      <c r="AF46" s="49">
        <f>IFERROR(AD46-IFERROR(IF(INDEX(Daten_Risiken!$A:$ZZ,MATCH($B46&amp;"|Inlandsnachfrage",Daten_Risiken!$A$1:$A$529,0),$BK$6)="",NA(),INDEX(Daten_Risiken!$A:$ZZ,MATCH($B46&amp;"|Inlandsnachfrage",Daten_Risiken!$A$1:$A$529,0),$BK$6)),NA()),"")</f>
        <v>-8</v>
      </c>
      <c r="AG46" s="50">
        <f>IFERROR(IF(INDEX(Daten_Risiken!$A:$ZZ,MATCH($B46&amp;"|Wirtschaftspolitische Rahmenbedingungen",Daten_Risiken!$A$1:$A$529,0),$BK$4)="","",INDEX(Daten_Risiken!$A:$ZZ,MATCH($B46&amp;"|Wirtschaftspolitische Rahmenbedingungen",Daten_Risiken!$A$1:$A$529,0),$BK$4)),"")</f>
        <v>54</v>
      </c>
      <c r="AH46" s="49">
        <f>IFERROR(AG46-IFERROR(IF(INDEX(Daten_Risiken!$A:$ZZ,MATCH($B46&amp;"|Wirtschaftspolitische Rahmenbedingungen",Daten_Risiken!$A$1:$A$529,0),$BK$5)="",NA(),INDEX(Daten_Risiken!$A:$ZZ,MATCH($B46&amp;"|Wirtschaftspolitische Rahmenbedingungen",Daten_Risiken!$A$1:$A$529,0),$BK$5)),NA()),"")</f>
        <v>-3</v>
      </c>
      <c r="AI46" s="49">
        <f>IFERROR(AG46-IFERROR(IF(INDEX(Daten_Risiken!$A:$ZZ,MATCH($B46&amp;"|Wirtschaftspolitische Rahmenbedingungen",Daten_Risiken!$A$1:$A$529,0),$BK$6)="",NA(),INDEX(Daten_Risiken!$A:$ZZ,MATCH($B46&amp;"|Wirtschaftspolitische Rahmenbedingungen",Daten_Risiken!$A$1:$A$529,0),$BK$6)),NA()),"")</f>
        <v>-1</v>
      </c>
      <c r="AJ46" s="50">
        <f>IFERROR(IF(INDEX(Daten_Risiken!$A:$ZZ,MATCH($B46&amp;"|Fachkräftemangel",Daten_Risiken!$A$1:$A$529,0),$BK$4)="","",INDEX(Daten_Risiken!$A:$ZZ,MATCH($B46&amp;"|Fachkräftemangel",Daten_Risiken!$A$1:$A$529,0),$BK$4)),"")</f>
        <v>50</v>
      </c>
      <c r="AK46" s="49">
        <f>IFERROR(AJ46-IFERROR(IF(INDEX(Daten_Risiken!$A:$ZZ,MATCH($B46&amp;"|Fachkräftemangel",Daten_Risiken!$A$1:$A$529,0),$BK$5)="",NA(),INDEX(Daten_Risiken!$A:$ZZ,MATCH($B46&amp;"|Fachkräftemangel",Daten_Risiken!$A$1:$A$529,0),$BK$5)),NA()),"")</f>
        <v>2</v>
      </c>
      <c r="AL46" s="49">
        <f>IFERROR(AJ46-IFERROR(IF(INDEX(Daten_Risiken!$A:$ZZ,MATCH($B46&amp;"|Fachkräftemangel",Daten_Risiken!$A$1:$A$529,0),$BK$6)="",NA(),INDEX(Daten_Risiken!$A:$ZZ,MATCH($B46&amp;"|Fachkräftemangel",Daten_Risiken!$A$1:$A$529,0),$BK$6)),NA()),"")</f>
        <v>-9</v>
      </c>
      <c r="AM46" s="50" t="str">
        <f>IFERROR(IF(INDEX(Daten_Risiken!$A:$ZZ,MATCH($B46&amp;"|Auslandsnachfrage",Daten_Risiken!$A$1:$A$529,0),$BK$4)="","",INDEX(Daten_Risiken!$A:$ZZ,MATCH($B46&amp;"|Auslandsnachfrage",Daten_Risiken!$A$1:$A$529,0),$BK$4)),"")</f>
        <v/>
      </c>
      <c r="AN46" s="49" t="str">
        <f>IFERROR(AM46-IFERROR(IF(INDEX(Daten_Risiken!$A:$ZZ,MATCH($B46&amp;"|Auslandsnachfrage",Daten_Risiken!$A$1:$A$529,0),$BK$5)="",NA(),INDEX(Daten_Risiken!$A:$ZZ,MATCH($B46&amp;"|Auslandsnachfrage",Daten_Risiken!$A$1:$A$529,0),$BK$5)),NA()),"")</f>
        <v/>
      </c>
      <c r="AO46" s="49" t="str">
        <f>IFERROR(AM46-IFERROR(IF(INDEX(Daten_Risiken!$A:$ZZ,MATCH($B46&amp;"|Auslandsnachfrage",Daten_Risiken!$A$1:$A$529,0),$BK$6)="",NA(),INDEX(Daten_Risiken!$A:$ZZ,MATCH($B46&amp;"|Auslandsnachfrage",Daten_Risiken!$A$1:$A$529,0),$BK$6)),NA()),"")</f>
        <v/>
      </c>
      <c r="AP46" s="50">
        <f>IFERROR(IF(INDEX(Daten_Risiken!$A:$ZZ,MATCH($B46&amp;"|Finanzierung",Daten_Risiken!$A$1:$A$529,0),$BK$4)="","",INDEX(Daten_Risiken!$A:$ZZ,MATCH($B46&amp;"|Finanzierung",Daten_Risiken!$A$1:$A$529,0),$BK$4)),"")</f>
        <v>17</v>
      </c>
      <c r="AQ46" s="49">
        <f>IFERROR(AP46-IFERROR(IF(INDEX(Daten_Risiken!$A:$ZZ,MATCH($B46&amp;"|Finanzierung",Daten_Risiken!$A$1:$A$529,0),$BK$5)="",NA(),INDEX(Daten_Risiken!$A:$ZZ,MATCH($B46&amp;"|Finanzierung",Daten_Risiken!$A$1:$A$529,0),$BK$5)),NA()),"")</f>
        <v>0</v>
      </c>
      <c r="AR46" s="49">
        <f>IFERROR(AP46-IFERROR(IF(INDEX(Daten_Risiken!$A:$ZZ,MATCH($B46&amp;"|Finanzierung",Daten_Risiken!$A$1:$A$529,0),$BK$6)="",NA(),INDEX(Daten_Risiken!$A:$ZZ,MATCH($B46&amp;"|Finanzierung",Daten_Risiken!$A$1:$A$529,0),$BK$6)),NA()),"")</f>
        <v>3</v>
      </c>
      <c r="AS46" s="50" t="str">
        <f>IFERROR(IF(INDEX(Daten_Risiken!$A:$ZZ,MATCH($B46&amp;"|Wechselkurs",Daten_Risiken!$A$1:$A$529,0),$BK$4)="","",INDEX(Daten_Risiken!$A:$ZZ,MATCH($B46&amp;"|Wechselkurs",Daten_Risiken!$A$1:$A$529,0),$BK$4)),"")</f>
        <v/>
      </c>
      <c r="AT46" s="49" t="str">
        <f>IFERROR(AS46-IFERROR(IF(INDEX(Daten_Risiken!$A:$ZZ,MATCH($B46&amp;"|Wechselkurs",Daten_Risiken!$A$1:$A$529,0),$BK$5)="",NA(),INDEX(Daten_Risiken!$A:$ZZ,MATCH($B46&amp;"|Wechselkurs",Daten_Risiken!$A$1:$A$529,0),$BK$5)),NA()),"")</f>
        <v/>
      </c>
      <c r="AU46" s="49" t="str">
        <f>IFERROR(AS46-IFERROR(IF(INDEX(Daten_Risiken!$A:$ZZ,MATCH($B46&amp;"|Wechselkurs",Daten_Risiken!$A$1:$A$529,0),$BK$6)="",NA(),INDEX(Daten_Risiken!$A:$ZZ,MATCH($B46&amp;"|Wechselkurs",Daten_Risiken!$A$1:$A$529,0),$BK$6)),NA()),"")</f>
        <v/>
      </c>
      <c r="AV46" s="50">
        <f>IFERROR(IF(INDEX(Daten_Motive!$A:$ZZ,MATCH($B46&amp;"|Ersatzbedarf",Daten_Motive!$A$1:$A$331,0),$BK$7)="","",INDEX(Daten_Motive!$A:$ZZ,MATCH($B46&amp;"|Ersatzbedarf",Daten_Motive!$A$1:$A$331,0),$BK$7)),"")</f>
        <v>73</v>
      </c>
      <c r="AW46" s="49">
        <f>IFERROR(AV46-IFERROR(IF(INDEX(Daten_Motive!$A:$ZZ,MATCH($B46&amp;"|Ersatzbedarf",Daten_Motive!$A$1:$A$331,0),$BK$8)="",NA(),INDEX(Daten_Motive!$A:$ZZ,MATCH($B46&amp;"|Ersatzbedarf",Daten_Motive!$A$1:$A$331,0),$BK$8)),NA()),"")</f>
        <v>-4</v>
      </c>
      <c r="AX46" s="49">
        <f>IFERROR(AV46-IFERROR(IF(INDEX(Daten_Motive!$A:$ZZ,MATCH($B46&amp;"|Ersatzbedarf",Daten_Motive!$A$1:$A$331,0),$BK$9)="",NA(),INDEX(Daten_Motive!$A:$ZZ,MATCH($B46&amp;"|Ersatzbedarf",Daten_Motive!$A$1:$A$331,0),$BK$9)),NA()),"")</f>
        <v>0</v>
      </c>
      <c r="AY46" s="50">
        <f>IFERROR(IF(INDEX(Daten_Motive!$A:$ZZ,MATCH($B46&amp;"|Rationalisierung",Daten_Motive!$A$1:$A$331,0),$BK$7)="","",INDEX(Daten_Motive!$A:$ZZ,MATCH($B46&amp;"|Rationalisierung",Daten_Motive!$A$1:$A$331,0),$BK$7)),"")</f>
        <v>28</v>
      </c>
      <c r="AZ46" s="49">
        <f>IFERROR(AY46-IFERROR(IF(INDEX(Daten_Motive!$A:$ZZ,MATCH($B46&amp;"|Rationalisierung",Daten_Motive!$A$1:$A$331,0),$BK$8)="",NA(),INDEX(Daten_Motive!$A:$ZZ,MATCH($B46&amp;"|Rationalisierung",Daten_Motive!$A$1:$A$331,0),$BK$8)),NA()),"")</f>
        <v>-2</v>
      </c>
      <c r="BA46" s="49">
        <f>IFERROR(AY46-IFERROR(IF(INDEX(Daten_Motive!$A:$ZZ,MATCH($B46&amp;"|Rationalisierung",Daten_Motive!$A$1:$A$331,0),$BK$9)="",NA(),INDEX(Daten_Motive!$A:$ZZ,MATCH($B46&amp;"|Rationalisierung",Daten_Motive!$A$1:$A$331,0),$BK$9)),NA()),"")</f>
        <v>0</v>
      </c>
      <c r="BB46" s="50">
        <f>IFERROR(IF(INDEX(Daten_Motive!$A:$ZZ,MATCH($B46&amp;"|Produktinnovation",Daten_Motive!$A$1:$A$331,0),$BK$7)="","",INDEX(Daten_Motive!$A:$ZZ,MATCH($B46&amp;"|Produktinnovation",Daten_Motive!$A$1:$A$331,0),$BK$7)),"")</f>
        <v>22</v>
      </c>
      <c r="BC46" s="49">
        <f>IFERROR(BB46-IFERROR(IF(INDEX(Daten_Motive!$A:$ZZ,MATCH($B46&amp;"|Produktinnovation",Daten_Motive!$A$1:$A$331,0),$BK$8)="",NA(),INDEX(Daten_Motive!$A:$ZZ,MATCH($B46&amp;"|Produktinnovation",Daten_Motive!$A$1:$A$331,0),$BK$8)),NA()),"")</f>
        <v>5</v>
      </c>
      <c r="BD46" s="49">
        <f>IFERROR(BB46-IFERROR(IF(INDEX(Daten_Motive!$A:$ZZ,MATCH($B46&amp;"|Produktinnovation",Daten_Motive!$A$1:$A$331,0),$BK$9)="",NA(),INDEX(Daten_Motive!$A:$ZZ,MATCH($B46&amp;"|Produktinnovation",Daten_Motive!$A$1:$A$331,0),$BK$9)),NA()),"")</f>
        <v>3</v>
      </c>
      <c r="BE46" s="50">
        <f>IFERROR(IF(INDEX(Daten_Motive!$A:$ZZ,MATCH($B46&amp;"|Umweltschutz",Daten_Motive!$A$1:$A$331,0),$BK$7)="","",INDEX(Daten_Motive!$A:$ZZ,MATCH($B46&amp;"|Umweltschutz",Daten_Motive!$A$1:$A$331,0),$BK$7)),"")</f>
        <v>24</v>
      </c>
      <c r="BF46" s="49">
        <f>IFERROR(BE46-IFERROR(IF(INDEX(Daten_Motive!$A:$ZZ,MATCH($B46&amp;"|Umweltschutz",Daten_Motive!$A$1:$A$331,0),$BK$8)="",NA(),INDEX(Daten_Motive!$A:$ZZ,MATCH($B46&amp;"|Umweltschutz",Daten_Motive!$A$1:$A$331,0),$BK$8)),NA()),"")</f>
        <v>3</v>
      </c>
      <c r="BG46" s="49">
        <f>IFERROR(BE46-IFERROR(IF(INDEX(Daten_Motive!$A:$ZZ,MATCH($B46&amp;"|Umweltschutz",Daten_Motive!$A$1:$A$331,0),$BK$9)="",NA(),INDEX(Daten_Motive!$A:$ZZ,MATCH($B46&amp;"|Umweltschutz",Daten_Motive!$A$1:$A$331,0),$BK$9)),NA()),"")</f>
        <v>3</v>
      </c>
      <c r="BH46" s="50">
        <f>IFERROR(IF(INDEX(Daten_Motive!$A:$ZZ,MATCH($B46&amp;"|Kapazitätserweiterung",Daten_Motive!$A$1:$A$331,0),$BK$7)="","",INDEX(Daten_Motive!$A:$ZZ,MATCH($B46&amp;"|Kapazitätserweiterung",Daten_Motive!$A$1:$A$331,0),$BK$7)),"")</f>
        <v>27</v>
      </c>
      <c r="BI46" s="49">
        <f>IFERROR(BH46-IFERROR(IF(INDEX(Daten_Motive!$A:$ZZ,MATCH($B46&amp;"|Kapazitätserweiterung",Daten_Motive!$A$1:$A$331,0),$BK$8)="",NA(),INDEX(Daten_Motive!$A:$ZZ,MATCH($B46&amp;"|Kapazitätserweiterung",Daten_Motive!$A$1:$A$331,0),$BK$8)),NA()),"")</f>
        <v>8</v>
      </c>
      <c r="BJ46" s="49">
        <f>IFERROR(BH46-IFERROR(IF(INDEX(Daten_Motive!$A:$ZZ,MATCH($B46&amp;"|Kapazitätserweiterung",Daten_Motive!$A$1:$A$331,0),$BK$9)="",NA(),INDEX(Daten_Motive!$A:$ZZ,MATCH($B46&amp;"|Kapazitätserweiterung",Daten_Motive!$A$1:$A$331,0),$BK$9)),NA()),"")</f>
        <v>5</v>
      </c>
    </row>
    <row r="47" spans="1:62" x14ac:dyDescent="0.25">
      <c r="A47" s="42">
        <v>39</v>
      </c>
      <c r="B47" s="51" t="str">
        <f>Listen!A40</f>
        <v>Gastgewerbe</v>
      </c>
      <c r="C47" s="44" t="s">
        <v>4533</v>
      </c>
      <c r="D47" s="44" t="str">
        <f>Listen!B40</f>
        <v>Dienstleister</v>
      </c>
      <c r="E47" s="45">
        <f>IFERROR(IF(INDEX(Daten_Anteile!$A:$ZZ,MATCH($B47&amp;"|Lage|"&amp;$C$3,Daten_Anteile!$A$1:$A$2971,0),5)="","",INDEX(Daten_Anteile!$A:$ZZ,MATCH($B47&amp;"|Lage|"&amp;$C$3,Daten_Anteile!$A$1:$A$2971,0),5)),"")</f>
        <v>2083</v>
      </c>
      <c r="F47" s="46">
        <f t="shared" si="3"/>
        <v>86.8</v>
      </c>
      <c r="G47" s="47">
        <f t="shared" si="4"/>
        <v>6.9</v>
      </c>
      <c r="H47" s="47">
        <f t="shared" si="5"/>
        <v>2.8</v>
      </c>
      <c r="I47" s="48">
        <f>IFERROR(IF(INDEX(Daten_Salden!$A:$ZZ,MATCH($B47&amp;"|Lage",Daten_Salden!$A$1:$A$331,0),$BK$1)="","",INDEX(Daten_Salden!$A:$ZZ,MATCH($B47&amp;"|Lage",Daten_Salden!$A$1:$A$331,0),$BK$1)),"")</f>
        <v>6</v>
      </c>
      <c r="J47" s="49">
        <f>IFERROR(I47-IFERROR(IF(INDEX(Daten_Salden!$A:$ZZ,MATCH($B47&amp;"|Lage",Daten_Salden!$A$1:$A$331,0),$BK$2)="",NA(),INDEX(Daten_Salden!$A:$ZZ,MATCH($B47&amp;"|Lage",Daten_Salden!$A$1:$A$331,0),$BK$2)),NA()),"")</f>
        <v>23</v>
      </c>
      <c r="K47" s="49">
        <f>IFERROR(I47-IFERROR(IF(INDEX(Daten_Salden!$A:$ZZ,MATCH($B47&amp;"|Lage",Daten_Salden!$A$1:$A$331,0),$BK$3)="",NA(),INDEX(Daten_Salden!$A:$ZZ,MATCH($B47&amp;"|Lage",Daten_Salden!$A$1:$A$331,0),$BK$3)),NA()),"")</f>
        <v>8</v>
      </c>
      <c r="L47" s="48">
        <f>IFERROR(IF(INDEX(Daten_Salden!$A:$ZZ,MATCH($B47&amp;"|Erwartungen",Daten_Salden!$A$1:$A$331,0),$BK$1)="","",INDEX(Daten_Salden!$A:$ZZ,MATCH($B47&amp;"|Erwartungen",Daten_Salden!$A$1:$A$331,0),$BK$1)),"")</f>
        <v>-29</v>
      </c>
      <c r="M47" s="49">
        <f>IFERROR(L47-IFERROR(IF(INDEX(Daten_Salden!$A:$ZZ,MATCH($B47&amp;"|Erwartungen",Daten_Salden!$A$1:$A$331,0),$BK$2)="",NA(),INDEX(Daten_Salden!$A:$ZZ,MATCH($B47&amp;"|Erwartungen",Daten_Salden!$A$1:$A$331,0),$BK$2)),NA()),"")</f>
        <v>-6</v>
      </c>
      <c r="N47" s="49">
        <f>IFERROR(L47-IFERROR(IF(INDEX(Daten_Salden!$A:$ZZ,MATCH($B47&amp;"|Erwartungen",Daten_Salden!$A$1:$A$331,0),$BK$3)="",NA(),INDEX(Daten_Salden!$A:$ZZ,MATCH($B47&amp;"|Erwartungen",Daten_Salden!$A$1:$A$331,0),$BK$3)),NA()),"")</f>
        <v>-1</v>
      </c>
      <c r="O47" s="48" t="str">
        <f>IFERROR(IF(INDEX(Daten_Salden!$A:$ZZ,MATCH($B47&amp;"|Export",Daten_Salden!$A$1:$A$331,0),$BK$1)="","",INDEX(Daten_Salden!$A:$ZZ,MATCH($B47&amp;"|Export",Daten_Salden!$A$1:$A$331,0),$BK$1)),"")</f>
        <v/>
      </c>
      <c r="P47" s="49" t="str">
        <f>IFERROR(O47-IFERROR(IF(INDEX(Daten_Salden!$A:$ZZ,MATCH($B47&amp;"|Export",Daten_Salden!$A$1:$A$331,0),$BK$2)="",NA(),INDEX(Daten_Salden!$A:$ZZ,MATCH($B47&amp;"|Export",Daten_Salden!$A$1:$A$331,0),$BK$2)),NA()),"")</f>
        <v/>
      </c>
      <c r="Q47" s="49" t="str">
        <f>IFERROR(O47-IFERROR(IF(INDEX(Daten_Salden!$A:$ZZ,MATCH($B47&amp;"|Export",Daten_Salden!$A$1:$A$331,0),$BK$3)="",NA(),INDEX(Daten_Salden!$A:$ZZ,MATCH($B47&amp;"|Export",Daten_Salden!$A$1:$A$331,0),$BK$3)),NA()),"")</f>
        <v/>
      </c>
      <c r="R47" s="48">
        <f>IFERROR(IF(INDEX(Daten_Salden!$A:$ZZ,MATCH($B47&amp;"|Investitionen",Daten_Salden!$A$1:$A$331,0),$BK$1)="","",INDEX(Daten_Salden!$A:$ZZ,MATCH($B47&amp;"|Investitionen",Daten_Salden!$A$1:$A$331,0),$BK$1)),"")</f>
        <v>-7</v>
      </c>
      <c r="S47" s="49">
        <f>IFERROR(R47-IFERROR(IF(INDEX(Daten_Salden!$A:$ZZ,MATCH($B47&amp;"|Investitionen",Daten_Salden!$A$1:$A$331,0),$BK$2)="",NA(),INDEX(Daten_Salden!$A:$ZZ,MATCH($B47&amp;"|Investitionen",Daten_Salden!$A$1:$A$331,0),$BK$2)),NA()),"")</f>
        <v>9</v>
      </c>
      <c r="T47" s="49">
        <f>IFERROR(R47-IFERROR(IF(INDEX(Daten_Salden!$A:$ZZ,MATCH($B47&amp;"|Investitionen",Daten_Salden!$A$1:$A$331,0),$BK$3)="",NA(),INDEX(Daten_Salden!$A:$ZZ,MATCH($B47&amp;"|Investitionen",Daten_Salden!$A$1:$A$331,0),$BK$3)),NA()),"")</f>
        <v>6</v>
      </c>
      <c r="U47" s="48">
        <f>IFERROR(IF(INDEX(Daten_Salden!$A:$ZZ,MATCH($B47&amp;"|Beschäftigung",Daten_Salden!$A$1:$A$331,0),$BK$1)="","",INDEX(Daten_Salden!$A:$ZZ,MATCH($B47&amp;"|Beschäftigung",Daten_Salden!$A$1:$A$331,0),$BK$1)),"")</f>
        <v>-21</v>
      </c>
      <c r="V47" s="49">
        <f>IFERROR(U47-IFERROR(IF(INDEX(Daten_Salden!$A:$ZZ,MATCH($B47&amp;"|Beschäftigung",Daten_Salden!$A$1:$A$331,0),$BK$2)="",NA(),INDEX(Daten_Salden!$A:$ZZ,MATCH($B47&amp;"|Beschäftigung",Daten_Salden!$A$1:$A$331,0),$BK$2)),NA()),"")</f>
        <v>-1</v>
      </c>
      <c r="W47" s="49">
        <f>IFERROR(U47-IFERROR(IF(INDEX(Daten_Salden!$A:$ZZ,MATCH($B47&amp;"|Beschäftigung",Daten_Salden!$A$1:$A$331,0),$BK$3)="",NA(),INDEX(Daten_Salden!$A:$ZZ,MATCH($B47&amp;"|Beschäftigung",Daten_Salden!$A$1:$A$331,0),$BK$3)),NA()),"")</f>
        <v>0</v>
      </c>
      <c r="X47" s="50">
        <f>IFERROR(IF(INDEX(Daten_Risiken!$A:$ZZ,MATCH($B47&amp;"|Energie- und Rohstoffpreise",Daten_Risiken!$A$1:$A$529,0),$BK$4)="","",INDEX(Daten_Risiken!$A:$ZZ,MATCH($B47&amp;"|Energie- und Rohstoffpreise",Daten_Risiken!$A$1:$A$529,0),$BK$4)),"")</f>
        <v>84</v>
      </c>
      <c r="Y47" s="49">
        <f>IFERROR(X47-IFERROR(IF(INDEX(Daten_Risiken!$A:$ZZ,MATCH($B47&amp;"|Energie- und Rohstoffpreise",Daten_Risiken!$A$1:$A$529,0),$BK$5)="",NA(),INDEX(Daten_Risiken!$A:$ZZ,MATCH($B47&amp;"|Energie- und Rohstoffpreise",Daten_Risiken!$A$1:$A$529,0),$BK$5)),NA()),"")</f>
        <v>-1</v>
      </c>
      <c r="Z47" s="49">
        <f>IFERROR(X47-IFERROR(IF(INDEX(Daten_Risiken!$A:$ZZ,MATCH($B47&amp;"|Energie- und Rohstoffpreise",Daten_Risiken!$A$1:$A$529,0),$BK$6)="",NA(),INDEX(Daten_Risiken!$A:$ZZ,MATCH($B47&amp;"|Energie- und Rohstoffpreise",Daten_Risiken!$A$1:$A$529,0),$BK$6)),NA()),"")</f>
        <v>9</v>
      </c>
      <c r="AA47" s="50">
        <f>IFERROR(IF(INDEX(Daten_Risiken!$A:$ZZ,MATCH($B47&amp;"|Arbeitskosten",Daten_Risiken!$A$1:$A$529,0),$BK$4)="","",INDEX(Daten_Risiken!$A:$ZZ,MATCH($B47&amp;"|Arbeitskosten",Daten_Risiken!$A$1:$A$529,0),$BK$4)),"")</f>
        <v>75</v>
      </c>
      <c r="AB47" s="49">
        <f>IFERROR(AA47-IFERROR(IF(INDEX(Daten_Risiken!$A:$ZZ,MATCH($B47&amp;"|Arbeitskosten",Daten_Risiken!$A$1:$A$529,0),$BK$5)="",NA(),INDEX(Daten_Risiken!$A:$ZZ,MATCH($B47&amp;"|Arbeitskosten",Daten_Risiken!$A$1:$A$529,0),$BK$5)),NA()),"")</f>
        <v>0</v>
      </c>
      <c r="AC47" s="49">
        <f>IFERROR(AA47-IFERROR(IF(INDEX(Daten_Risiken!$A:$ZZ,MATCH($B47&amp;"|Arbeitskosten",Daten_Risiken!$A$1:$A$529,0),$BK$6)="",NA(),INDEX(Daten_Risiken!$A:$ZZ,MATCH($B47&amp;"|Arbeitskosten",Daten_Risiken!$A$1:$A$529,0),$BK$6)),NA()),"")</f>
        <v>0</v>
      </c>
      <c r="AD47" s="50">
        <f>IFERROR(IF(INDEX(Daten_Risiken!$A:$ZZ,MATCH($B47&amp;"|Inlandsnachfrage",Daten_Risiken!$A$1:$A$529,0),$BK$4)="","",INDEX(Daten_Risiken!$A:$ZZ,MATCH($B47&amp;"|Inlandsnachfrage",Daten_Risiken!$A$1:$A$529,0),$BK$4)),"")</f>
        <v>42</v>
      </c>
      <c r="AE47" s="49">
        <f>IFERROR(AD47-IFERROR(IF(INDEX(Daten_Risiken!$A:$ZZ,MATCH($B47&amp;"|Inlandsnachfrage",Daten_Risiken!$A$1:$A$529,0),$BK$5)="",NA(),INDEX(Daten_Risiken!$A:$ZZ,MATCH($B47&amp;"|Inlandsnachfrage",Daten_Risiken!$A$1:$A$529,0),$BK$5)),NA()),"")</f>
        <v>-4</v>
      </c>
      <c r="AF47" s="49">
        <f>IFERROR(AD47-IFERROR(IF(INDEX(Daten_Risiken!$A:$ZZ,MATCH($B47&amp;"|Inlandsnachfrage",Daten_Risiken!$A$1:$A$529,0),$BK$6)="",NA(),INDEX(Daten_Risiken!$A:$ZZ,MATCH($B47&amp;"|Inlandsnachfrage",Daten_Risiken!$A$1:$A$529,0),$BK$6)),NA()),"")</f>
        <v>-1</v>
      </c>
      <c r="AG47" s="50">
        <f>IFERROR(IF(INDEX(Daten_Risiken!$A:$ZZ,MATCH($B47&amp;"|Wirtschaftspolitische Rahmenbedingungen",Daten_Risiken!$A$1:$A$529,0),$BK$4)="","",INDEX(Daten_Risiken!$A:$ZZ,MATCH($B47&amp;"|Wirtschaftspolitische Rahmenbedingungen",Daten_Risiken!$A$1:$A$529,0),$BK$4)),"")</f>
        <v>58</v>
      </c>
      <c r="AH47" s="49">
        <f>IFERROR(AG47-IFERROR(IF(INDEX(Daten_Risiken!$A:$ZZ,MATCH($B47&amp;"|Wirtschaftspolitische Rahmenbedingungen",Daten_Risiken!$A$1:$A$529,0),$BK$5)="",NA(),INDEX(Daten_Risiken!$A:$ZZ,MATCH($B47&amp;"|Wirtschaftspolitische Rahmenbedingungen",Daten_Risiken!$A$1:$A$529,0),$BK$5)),NA()),"")</f>
        <v>2</v>
      </c>
      <c r="AI47" s="49">
        <f>IFERROR(AG47-IFERROR(IF(INDEX(Daten_Risiken!$A:$ZZ,MATCH($B47&amp;"|Wirtschaftspolitische Rahmenbedingungen",Daten_Risiken!$A$1:$A$529,0),$BK$6)="",NA(),INDEX(Daten_Risiken!$A:$ZZ,MATCH($B47&amp;"|Wirtschaftspolitische Rahmenbedingungen",Daten_Risiken!$A$1:$A$529,0),$BK$6)),NA()),"")</f>
        <v>2</v>
      </c>
      <c r="AJ47" s="50">
        <f>IFERROR(IF(INDEX(Daten_Risiken!$A:$ZZ,MATCH($B47&amp;"|Fachkräftemangel",Daten_Risiken!$A$1:$A$529,0),$BK$4)="","",INDEX(Daten_Risiken!$A:$ZZ,MATCH($B47&amp;"|Fachkräftemangel",Daten_Risiken!$A$1:$A$529,0),$BK$4)),"")</f>
        <v>38</v>
      </c>
      <c r="AK47" s="49">
        <f>IFERROR(AJ47-IFERROR(IF(INDEX(Daten_Risiken!$A:$ZZ,MATCH($B47&amp;"|Fachkräftemangel",Daten_Risiken!$A$1:$A$529,0),$BK$5)="",NA(),INDEX(Daten_Risiken!$A:$ZZ,MATCH($B47&amp;"|Fachkräftemangel",Daten_Risiken!$A$1:$A$529,0),$BK$5)),NA()),"")</f>
        <v>1</v>
      </c>
      <c r="AL47" s="49">
        <f>IFERROR(AJ47-IFERROR(IF(INDEX(Daten_Risiken!$A:$ZZ,MATCH($B47&amp;"|Fachkräftemangel",Daten_Risiken!$A$1:$A$529,0),$BK$6)="",NA(),INDEX(Daten_Risiken!$A:$ZZ,MATCH($B47&amp;"|Fachkräftemangel",Daten_Risiken!$A$1:$A$529,0),$BK$6)),NA()),"")</f>
        <v>-11</v>
      </c>
      <c r="AM47" s="50" t="str">
        <f>IFERROR(IF(INDEX(Daten_Risiken!$A:$ZZ,MATCH($B47&amp;"|Auslandsnachfrage",Daten_Risiken!$A$1:$A$529,0),$BK$4)="","",INDEX(Daten_Risiken!$A:$ZZ,MATCH($B47&amp;"|Auslandsnachfrage",Daten_Risiken!$A$1:$A$529,0),$BK$4)),"")</f>
        <v/>
      </c>
      <c r="AN47" s="49" t="str">
        <f>IFERROR(AM47-IFERROR(IF(INDEX(Daten_Risiken!$A:$ZZ,MATCH($B47&amp;"|Auslandsnachfrage",Daten_Risiken!$A$1:$A$529,0),$BK$5)="",NA(),INDEX(Daten_Risiken!$A:$ZZ,MATCH($B47&amp;"|Auslandsnachfrage",Daten_Risiken!$A$1:$A$529,0),$BK$5)),NA()),"")</f>
        <v/>
      </c>
      <c r="AO47" s="49" t="str">
        <f>IFERROR(AM47-IFERROR(IF(INDEX(Daten_Risiken!$A:$ZZ,MATCH($B47&amp;"|Auslandsnachfrage",Daten_Risiken!$A$1:$A$529,0),$BK$6)="",NA(),INDEX(Daten_Risiken!$A:$ZZ,MATCH($B47&amp;"|Auslandsnachfrage",Daten_Risiken!$A$1:$A$529,0),$BK$6)),NA()),"")</f>
        <v/>
      </c>
      <c r="AP47" s="50">
        <f>IFERROR(IF(INDEX(Daten_Risiken!$A:$ZZ,MATCH($B47&amp;"|Finanzierung",Daten_Risiken!$A$1:$A$529,0),$BK$4)="","",INDEX(Daten_Risiken!$A:$ZZ,MATCH($B47&amp;"|Finanzierung",Daten_Risiken!$A$1:$A$529,0),$BK$4)),"")</f>
        <v>18</v>
      </c>
      <c r="AQ47" s="49">
        <f>IFERROR(AP47-IFERROR(IF(INDEX(Daten_Risiken!$A:$ZZ,MATCH($B47&amp;"|Finanzierung",Daten_Risiken!$A$1:$A$529,0),$BK$5)="",NA(),INDEX(Daten_Risiken!$A:$ZZ,MATCH($B47&amp;"|Finanzierung",Daten_Risiken!$A$1:$A$529,0),$BK$5)),NA()),"")</f>
        <v>1</v>
      </c>
      <c r="AR47" s="49">
        <f>IFERROR(AP47-IFERROR(IF(INDEX(Daten_Risiken!$A:$ZZ,MATCH($B47&amp;"|Finanzierung",Daten_Risiken!$A$1:$A$529,0),$BK$6)="",NA(),INDEX(Daten_Risiken!$A:$ZZ,MATCH($B47&amp;"|Finanzierung",Daten_Risiken!$A$1:$A$529,0),$BK$6)),NA()),"")</f>
        <v>3</v>
      </c>
      <c r="AS47" s="50" t="str">
        <f>IFERROR(IF(INDEX(Daten_Risiken!$A:$ZZ,MATCH($B47&amp;"|Wechselkurs",Daten_Risiken!$A$1:$A$529,0),$BK$4)="","",INDEX(Daten_Risiken!$A:$ZZ,MATCH($B47&amp;"|Wechselkurs",Daten_Risiken!$A$1:$A$529,0),$BK$4)),"")</f>
        <v/>
      </c>
      <c r="AT47" s="49" t="str">
        <f>IFERROR(AS47-IFERROR(IF(INDEX(Daten_Risiken!$A:$ZZ,MATCH($B47&amp;"|Wechselkurs",Daten_Risiken!$A$1:$A$529,0),$BK$5)="",NA(),INDEX(Daten_Risiken!$A:$ZZ,MATCH($B47&amp;"|Wechselkurs",Daten_Risiken!$A$1:$A$529,0),$BK$5)),NA()),"")</f>
        <v/>
      </c>
      <c r="AU47" s="49" t="str">
        <f>IFERROR(AS47-IFERROR(IF(INDEX(Daten_Risiken!$A:$ZZ,MATCH($B47&amp;"|Wechselkurs",Daten_Risiken!$A$1:$A$529,0),$BK$6)="",NA(),INDEX(Daten_Risiken!$A:$ZZ,MATCH($B47&amp;"|Wechselkurs",Daten_Risiken!$A$1:$A$529,0),$BK$6)),NA()),"")</f>
        <v/>
      </c>
      <c r="AV47" s="50">
        <f>IFERROR(IF(INDEX(Daten_Motive!$A:$ZZ,MATCH($B47&amp;"|Ersatzbedarf",Daten_Motive!$A$1:$A$331,0),$BK$7)="","",INDEX(Daten_Motive!$A:$ZZ,MATCH($B47&amp;"|Ersatzbedarf",Daten_Motive!$A$1:$A$331,0),$BK$7)),"")</f>
        <v>74</v>
      </c>
      <c r="AW47" s="49">
        <f>IFERROR(AV47-IFERROR(IF(INDEX(Daten_Motive!$A:$ZZ,MATCH($B47&amp;"|Ersatzbedarf",Daten_Motive!$A$1:$A$331,0),$BK$8)="",NA(),INDEX(Daten_Motive!$A:$ZZ,MATCH($B47&amp;"|Ersatzbedarf",Daten_Motive!$A$1:$A$331,0),$BK$8)),NA()),"")</f>
        <v>-2</v>
      </c>
      <c r="AX47" s="49">
        <f>IFERROR(AV47-IFERROR(IF(INDEX(Daten_Motive!$A:$ZZ,MATCH($B47&amp;"|Ersatzbedarf",Daten_Motive!$A$1:$A$331,0),$BK$9)="",NA(),INDEX(Daten_Motive!$A:$ZZ,MATCH($B47&amp;"|Ersatzbedarf",Daten_Motive!$A$1:$A$331,0),$BK$9)),NA()),"")</f>
        <v>-2</v>
      </c>
      <c r="AY47" s="50">
        <f>IFERROR(IF(INDEX(Daten_Motive!$A:$ZZ,MATCH($B47&amp;"|Rationalisierung",Daten_Motive!$A$1:$A$331,0),$BK$7)="","",INDEX(Daten_Motive!$A:$ZZ,MATCH($B47&amp;"|Rationalisierung",Daten_Motive!$A$1:$A$331,0),$BK$7)),"")</f>
        <v>29</v>
      </c>
      <c r="AZ47" s="49">
        <f>IFERROR(AY47-IFERROR(IF(INDEX(Daten_Motive!$A:$ZZ,MATCH($B47&amp;"|Rationalisierung",Daten_Motive!$A$1:$A$331,0),$BK$8)="",NA(),INDEX(Daten_Motive!$A:$ZZ,MATCH($B47&amp;"|Rationalisierung",Daten_Motive!$A$1:$A$331,0),$BK$8)),NA()),"")</f>
        <v>0</v>
      </c>
      <c r="BA47" s="49">
        <f>IFERROR(AY47-IFERROR(IF(INDEX(Daten_Motive!$A:$ZZ,MATCH($B47&amp;"|Rationalisierung",Daten_Motive!$A$1:$A$331,0),$BK$9)="",NA(),INDEX(Daten_Motive!$A:$ZZ,MATCH($B47&amp;"|Rationalisierung",Daten_Motive!$A$1:$A$331,0),$BK$9)),NA()),"")</f>
        <v>0</v>
      </c>
      <c r="BB47" s="50">
        <f>IFERROR(IF(INDEX(Daten_Motive!$A:$ZZ,MATCH($B47&amp;"|Produktinnovation",Daten_Motive!$A$1:$A$331,0),$BK$7)="","",INDEX(Daten_Motive!$A:$ZZ,MATCH($B47&amp;"|Produktinnovation",Daten_Motive!$A$1:$A$331,0),$BK$7)),"")</f>
        <v>26</v>
      </c>
      <c r="BC47" s="49">
        <f>IFERROR(BB47-IFERROR(IF(INDEX(Daten_Motive!$A:$ZZ,MATCH($B47&amp;"|Produktinnovation",Daten_Motive!$A$1:$A$331,0),$BK$8)="",NA(),INDEX(Daten_Motive!$A:$ZZ,MATCH($B47&amp;"|Produktinnovation",Daten_Motive!$A$1:$A$331,0),$BK$8)),NA()),"")</f>
        <v>1</v>
      </c>
      <c r="BD47" s="49">
        <f>IFERROR(BB47-IFERROR(IF(INDEX(Daten_Motive!$A:$ZZ,MATCH($B47&amp;"|Produktinnovation",Daten_Motive!$A$1:$A$331,0),$BK$9)="",NA(),INDEX(Daten_Motive!$A:$ZZ,MATCH($B47&amp;"|Produktinnovation",Daten_Motive!$A$1:$A$331,0),$BK$9)),NA()),"")</f>
        <v>1</v>
      </c>
      <c r="BE47" s="50">
        <f>IFERROR(IF(INDEX(Daten_Motive!$A:$ZZ,MATCH($B47&amp;"|Umweltschutz",Daten_Motive!$A$1:$A$331,0),$BK$7)="","",INDEX(Daten_Motive!$A:$ZZ,MATCH($B47&amp;"|Umweltschutz",Daten_Motive!$A$1:$A$331,0),$BK$7)),"")</f>
        <v>22</v>
      </c>
      <c r="BF47" s="49">
        <f>IFERROR(BE47-IFERROR(IF(INDEX(Daten_Motive!$A:$ZZ,MATCH($B47&amp;"|Umweltschutz",Daten_Motive!$A$1:$A$331,0),$BK$8)="",NA(),INDEX(Daten_Motive!$A:$ZZ,MATCH($B47&amp;"|Umweltschutz",Daten_Motive!$A$1:$A$331,0),$BK$8)),NA()),"")</f>
        <v>5</v>
      </c>
      <c r="BG47" s="49">
        <f>IFERROR(BE47-IFERROR(IF(INDEX(Daten_Motive!$A:$ZZ,MATCH($B47&amp;"|Umweltschutz",Daten_Motive!$A$1:$A$331,0),$BK$9)="",NA(),INDEX(Daten_Motive!$A:$ZZ,MATCH($B47&amp;"|Umweltschutz",Daten_Motive!$A$1:$A$331,0),$BK$9)),NA()),"")</f>
        <v>1</v>
      </c>
      <c r="BH47" s="50">
        <f>IFERROR(IF(INDEX(Daten_Motive!$A:$ZZ,MATCH($B47&amp;"|Kapazitätserweiterung",Daten_Motive!$A$1:$A$331,0),$BK$7)="","",INDEX(Daten_Motive!$A:$ZZ,MATCH($B47&amp;"|Kapazitätserweiterung",Daten_Motive!$A$1:$A$331,0),$BK$7)),"")</f>
        <v>13</v>
      </c>
      <c r="BI47" s="49">
        <f>IFERROR(BH47-IFERROR(IF(INDEX(Daten_Motive!$A:$ZZ,MATCH($B47&amp;"|Kapazitätserweiterung",Daten_Motive!$A$1:$A$331,0),$BK$8)="",NA(),INDEX(Daten_Motive!$A:$ZZ,MATCH($B47&amp;"|Kapazitätserweiterung",Daten_Motive!$A$1:$A$331,0),$BK$8)),NA()),"")</f>
        <v>1</v>
      </c>
      <c r="BJ47" s="49">
        <f>IFERROR(BH47-IFERROR(IF(INDEX(Daten_Motive!$A:$ZZ,MATCH($B47&amp;"|Kapazitätserweiterung",Daten_Motive!$A$1:$A$331,0),$BK$9)="",NA(),INDEX(Daten_Motive!$A:$ZZ,MATCH($B47&amp;"|Kapazitätserweiterung",Daten_Motive!$A$1:$A$331,0),$BK$9)),NA()),"")</f>
        <v>0</v>
      </c>
    </row>
    <row r="48" spans="1:62" x14ac:dyDescent="0.25">
      <c r="A48" s="42">
        <v>40</v>
      </c>
      <c r="B48" s="52" t="str">
        <f>Listen!A41</f>
        <v>Beherbergung</v>
      </c>
      <c r="C48" s="44" t="s">
        <v>4534</v>
      </c>
      <c r="D48" s="44" t="str">
        <f>Listen!B41</f>
        <v>Dienstleister</v>
      </c>
      <c r="E48" s="45">
        <f>IFERROR(IF(INDEX(Daten_Anteile!$A:$ZZ,MATCH($B48&amp;"|Lage|"&amp;$C$3,Daten_Anteile!$A$1:$A$2971,0),5)="","",INDEX(Daten_Anteile!$A:$ZZ,MATCH($B48&amp;"|Lage|"&amp;$C$3,Daten_Anteile!$A$1:$A$2971,0),5)),"")</f>
        <v>1309</v>
      </c>
      <c r="F48" s="46">
        <f t="shared" si="3"/>
        <v>86.7</v>
      </c>
      <c r="G48" s="47">
        <f t="shared" si="4"/>
        <v>7.7</v>
      </c>
      <c r="H48" s="47">
        <f t="shared" si="5"/>
        <v>2.4</v>
      </c>
      <c r="I48" s="48">
        <f>IFERROR(IF(INDEX(Daten_Salden!$A:$ZZ,MATCH($B48&amp;"|Lage",Daten_Salden!$A$1:$A$331,0),$BK$1)="","",INDEX(Daten_Salden!$A:$ZZ,MATCH($B48&amp;"|Lage",Daten_Salden!$A$1:$A$331,0),$BK$1)),"")</f>
        <v>9</v>
      </c>
      <c r="J48" s="49">
        <f>IFERROR(I48-IFERROR(IF(INDEX(Daten_Salden!$A:$ZZ,MATCH($B48&amp;"|Lage",Daten_Salden!$A$1:$A$331,0),$BK$2)="",NA(),INDEX(Daten_Salden!$A:$ZZ,MATCH($B48&amp;"|Lage",Daten_Salden!$A$1:$A$331,0),$BK$2)),NA()),"")</f>
        <v>28</v>
      </c>
      <c r="K48" s="49">
        <f>IFERROR(I48-IFERROR(IF(INDEX(Daten_Salden!$A:$ZZ,MATCH($B48&amp;"|Lage",Daten_Salden!$A$1:$A$331,0),$BK$3)="",NA(),INDEX(Daten_Salden!$A:$ZZ,MATCH($B48&amp;"|Lage",Daten_Salden!$A$1:$A$331,0),$BK$3)),NA()),"")</f>
        <v>9</v>
      </c>
      <c r="L48" s="48">
        <f>IFERROR(IF(INDEX(Daten_Salden!$A:$ZZ,MATCH($B48&amp;"|Erwartungen",Daten_Salden!$A$1:$A$331,0),$BK$1)="","",INDEX(Daten_Salden!$A:$ZZ,MATCH($B48&amp;"|Erwartungen",Daten_Salden!$A$1:$A$331,0),$BK$1)),"")</f>
        <v>-31</v>
      </c>
      <c r="M48" s="49">
        <f>IFERROR(L48-IFERROR(IF(INDEX(Daten_Salden!$A:$ZZ,MATCH($B48&amp;"|Erwartungen",Daten_Salden!$A$1:$A$331,0),$BK$2)="",NA(),INDEX(Daten_Salden!$A:$ZZ,MATCH($B48&amp;"|Erwartungen",Daten_Salden!$A$1:$A$331,0),$BK$2)),NA()),"")</f>
        <v>-8</v>
      </c>
      <c r="N48" s="49">
        <f>IFERROR(L48-IFERROR(IF(INDEX(Daten_Salden!$A:$ZZ,MATCH($B48&amp;"|Erwartungen",Daten_Salden!$A$1:$A$331,0),$BK$3)="",NA(),INDEX(Daten_Salden!$A:$ZZ,MATCH($B48&amp;"|Erwartungen",Daten_Salden!$A$1:$A$331,0),$BK$3)),NA()),"")</f>
        <v>-2</v>
      </c>
      <c r="O48" s="48" t="str">
        <f>IFERROR(IF(INDEX(Daten_Salden!$A:$ZZ,MATCH($B48&amp;"|Export",Daten_Salden!$A$1:$A$331,0),$BK$1)="","",INDEX(Daten_Salden!$A:$ZZ,MATCH($B48&amp;"|Export",Daten_Salden!$A$1:$A$331,0),$BK$1)),"")</f>
        <v/>
      </c>
      <c r="P48" s="49" t="str">
        <f>IFERROR(O48-IFERROR(IF(INDEX(Daten_Salden!$A:$ZZ,MATCH($B48&amp;"|Export",Daten_Salden!$A$1:$A$331,0),$BK$2)="",NA(),INDEX(Daten_Salden!$A:$ZZ,MATCH($B48&amp;"|Export",Daten_Salden!$A$1:$A$331,0),$BK$2)),NA()),"")</f>
        <v/>
      </c>
      <c r="Q48" s="49" t="str">
        <f>IFERROR(O48-IFERROR(IF(INDEX(Daten_Salden!$A:$ZZ,MATCH($B48&amp;"|Export",Daten_Salden!$A$1:$A$331,0),$BK$3)="",NA(),INDEX(Daten_Salden!$A:$ZZ,MATCH($B48&amp;"|Export",Daten_Salden!$A$1:$A$331,0),$BK$3)),NA()),"")</f>
        <v/>
      </c>
      <c r="R48" s="48">
        <f>IFERROR(IF(INDEX(Daten_Salden!$A:$ZZ,MATCH($B48&amp;"|Investitionen",Daten_Salden!$A$1:$A$331,0),$BK$1)="","",INDEX(Daten_Salden!$A:$ZZ,MATCH($B48&amp;"|Investitionen",Daten_Salden!$A$1:$A$331,0),$BK$1)),"")</f>
        <v>-6</v>
      </c>
      <c r="S48" s="49">
        <f>IFERROR(R48-IFERROR(IF(INDEX(Daten_Salden!$A:$ZZ,MATCH($B48&amp;"|Investitionen",Daten_Salden!$A$1:$A$331,0),$BK$2)="",NA(),INDEX(Daten_Salden!$A:$ZZ,MATCH($B48&amp;"|Investitionen",Daten_Salden!$A$1:$A$331,0),$BK$2)),NA()),"")</f>
        <v>14</v>
      </c>
      <c r="T48" s="49">
        <f>IFERROR(R48-IFERROR(IF(INDEX(Daten_Salden!$A:$ZZ,MATCH($B48&amp;"|Investitionen",Daten_Salden!$A$1:$A$331,0),$BK$3)="",NA(),INDEX(Daten_Salden!$A:$ZZ,MATCH($B48&amp;"|Investitionen",Daten_Salden!$A$1:$A$331,0),$BK$3)),NA()),"")</f>
        <v>6</v>
      </c>
      <c r="U48" s="48">
        <f>IFERROR(IF(INDEX(Daten_Salden!$A:$ZZ,MATCH($B48&amp;"|Beschäftigung",Daten_Salden!$A$1:$A$331,0),$BK$1)="","",INDEX(Daten_Salden!$A:$ZZ,MATCH($B48&amp;"|Beschäftigung",Daten_Salden!$A$1:$A$331,0),$BK$1)),"")</f>
        <v>-19</v>
      </c>
      <c r="V48" s="49">
        <f>IFERROR(U48-IFERROR(IF(INDEX(Daten_Salden!$A:$ZZ,MATCH($B48&amp;"|Beschäftigung",Daten_Salden!$A$1:$A$331,0),$BK$2)="",NA(),INDEX(Daten_Salden!$A:$ZZ,MATCH($B48&amp;"|Beschäftigung",Daten_Salden!$A$1:$A$331,0),$BK$2)),NA()),"")</f>
        <v>1</v>
      </c>
      <c r="W48" s="49">
        <f>IFERROR(U48-IFERROR(IF(INDEX(Daten_Salden!$A:$ZZ,MATCH($B48&amp;"|Beschäftigung",Daten_Salden!$A$1:$A$331,0),$BK$3)="",NA(),INDEX(Daten_Salden!$A:$ZZ,MATCH($B48&amp;"|Beschäftigung",Daten_Salden!$A$1:$A$331,0),$BK$3)),NA()),"")</f>
        <v>3</v>
      </c>
      <c r="X48" s="50">
        <f>IFERROR(IF(INDEX(Daten_Risiken!$A:$ZZ,MATCH($B48&amp;"|Energie- und Rohstoffpreise",Daten_Risiken!$A$1:$A$529,0),$BK$4)="","",INDEX(Daten_Risiken!$A:$ZZ,MATCH($B48&amp;"|Energie- und Rohstoffpreise",Daten_Risiken!$A$1:$A$529,0),$BK$4)),"")</f>
        <v>83</v>
      </c>
      <c r="Y48" s="49">
        <f>IFERROR(X48-IFERROR(IF(INDEX(Daten_Risiken!$A:$ZZ,MATCH($B48&amp;"|Energie- und Rohstoffpreise",Daten_Risiken!$A$1:$A$529,0),$BK$5)="",NA(),INDEX(Daten_Risiken!$A:$ZZ,MATCH($B48&amp;"|Energie- und Rohstoffpreise",Daten_Risiken!$A$1:$A$529,0),$BK$5)),NA()),"")</f>
        <v>-2</v>
      </c>
      <c r="Z48" s="49">
        <f>IFERROR(X48-IFERROR(IF(INDEX(Daten_Risiken!$A:$ZZ,MATCH($B48&amp;"|Energie- und Rohstoffpreise",Daten_Risiken!$A$1:$A$529,0),$BK$6)="",NA(),INDEX(Daten_Risiken!$A:$ZZ,MATCH($B48&amp;"|Energie- und Rohstoffpreise",Daten_Risiken!$A$1:$A$529,0),$BK$6)),NA()),"")</f>
        <v>10</v>
      </c>
      <c r="AA48" s="50">
        <f>IFERROR(IF(INDEX(Daten_Risiken!$A:$ZZ,MATCH($B48&amp;"|Arbeitskosten",Daten_Risiken!$A$1:$A$529,0),$BK$4)="","",INDEX(Daten_Risiken!$A:$ZZ,MATCH($B48&amp;"|Arbeitskosten",Daten_Risiken!$A$1:$A$529,0),$BK$4)),"")</f>
        <v>74</v>
      </c>
      <c r="AB48" s="49">
        <f>IFERROR(AA48-IFERROR(IF(INDEX(Daten_Risiken!$A:$ZZ,MATCH($B48&amp;"|Arbeitskosten",Daten_Risiken!$A$1:$A$529,0),$BK$5)="",NA(),INDEX(Daten_Risiken!$A:$ZZ,MATCH($B48&amp;"|Arbeitskosten",Daten_Risiken!$A$1:$A$529,0),$BK$5)),NA()),"")</f>
        <v>0</v>
      </c>
      <c r="AC48" s="49">
        <f>IFERROR(AA48-IFERROR(IF(INDEX(Daten_Risiken!$A:$ZZ,MATCH($B48&amp;"|Arbeitskosten",Daten_Risiken!$A$1:$A$529,0),$BK$6)="",NA(),INDEX(Daten_Risiken!$A:$ZZ,MATCH($B48&amp;"|Arbeitskosten",Daten_Risiken!$A$1:$A$529,0),$BK$6)),NA()),"")</f>
        <v>0</v>
      </c>
      <c r="AD48" s="50">
        <f>IFERROR(IF(INDEX(Daten_Risiken!$A:$ZZ,MATCH($B48&amp;"|Inlandsnachfrage",Daten_Risiken!$A$1:$A$529,0),$BK$4)="","",INDEX(Daten_Risiken!$A:$ZZ,MATCH($B48&amp;"|Inlandsnachfrage",Daten_Risiken!$A$1:$A$529,0),$BK$4)),"")</f>
        <v>46</v>
      </c>
      <c r="AE48" s="49">
        <f>IFERROR(AD48-IFERROR(IF(INDEX(Daten_Risiken!$A:$ZZ,MATCH($B48&amp;"|Inlandsnachfrage",Daten_Risiken!$A$1:$A$529,0),$BK$5)="",NA(),INDEX(Daten_Risiken!$A:$ZZ,MATCH($B48&amp;"|Inlandsnachfrage",Daten_Risiken!$A$1:$A$529,0),$BK$5)),NA()),"")</f>
        <v>-5</v>
      </c>
      <c r="AF48" s="49">
        <f>IFERROR(AD48-IFERROR(IF(INDEX(Daten_Risiken!$A:$ZZ,MATCH($B48&amp;"|Inlandsnachfrage",Daten_Risiken!$A$1:$A$529,0),$BK$6)="",NA(),INDEX(Daten_Risiken!$A:$ZZ,MATCH($B48&amp;"|Inlandsnachfrage",Daten_Risiken!$A$1:$A$529,0),$BK$6)),NA()),"")</f>
        <v>-2</v>
      </c>
      <c r="AG48" s="50">
        <f>IFERROR(IF(INDEX(Daten_Risiken!$A:$ZZ,MATCH($B48&amp;"|Wirtschaftspolitische Rahmenbedingungen",Daten_Risiken!$A$1:$A$529,0),$BK$4)="","",INDEX(Daten_Risiken!$A:$ZZ,MATCH($B48&amp;"|Wirtschaftspolitische Rahmenbedingungen",Daten_Risiken!$A$1:$A$529,0),$BK$4)),"")</f>
        <v>61</v>
      </c>
      <c r="AH48" s="49">
        <f>IFERROR(AG48-IFERROR(IF(INDEX(Daten_Risiken!$A:$ZZ,MATCH($B48&amp;"|Wirtschaftspolitische Rahmenbedingungen",Daten_Risiken!$A$1:$A$529,0),$BK$5)="",NA(),INDEX(Daten_Risiken!$A:$ZZ,MATCH($B48&amp;"|Wirtschaftspolitische Rahmenbedingungen",Daten_Risiken!$A$1:$A$529,0),$BK$5)),NA()),"")</f>
        <v>2</v>
      </c>
      <c r="AI48" s="49">
        <f>IFERROR(AG48-IFERROR(IF(INDEX(Daten_Risiken!$A:$ZZ,MATCH($B48&amp;"|Wirtschaftspolitische Rahmenbedingungen",Daten_Risiken!$A$1:$A$529,0),$BK$6)="",NA(),INDEX(Daten_Risiken!$A:$ZZ,MATCH($B48&amp;"|Wirtschaftspolitische Rahmenbedingungen",Daten_Risiken!$A$1:$A$529,0),$BK$6)),NA()),"")</f>
        <v>4</v>
      </c>
      <c r="AJ48" s="50">
        <f>IFERROR(IF(INDEX(Daten_Risiken!$A:$ZZ,MATCH($B48&amp;"|Fachkräftemangel",Daten_Risiken!$A$1:$A$529,0),$BK$4)="","",INDEX(Daten_Risiken!$A:$ZZ,MATCH($B48&amp;"|Fachkräftemangel",Daten_Risiken!$A$1:$A$529,0),$BK$4)),"")</f>
        <v>38</v>
      </c>
      <c r="AK48" s="49">
        <f>IFERROR(AJ48-IFERROR(IF(INDEX(Daten_Risiken!$A:$ZZ,MATCH($B48&amp;"|Fachkräftemangel",Daten_Risiken!$A$1:$A$529,0),$BK$5)="",NA(),INDEX(Daten_Risiken!$A:$ZZ,MATCH($B48&amp;"|Fachkräftemangel",Daten_Risiken!$A$1:$A$529,0),$BK$5)),NA()),"")</f>
        <v>2</v>
      </c>
      <c r="AL48" s="49">
        <f>IFERROR(AJ48-IFERROR(IF(INDEX(Daten_Risiken!$A:$ZZ,MATCH($B48&amp;"|Fachkräftemangel",Daten_Risiken!$A$1:$A$529,0),$BK$6)="",NA(),INDEX(Daten_Risiken!$A:$ZZ,MATCH($B48&amp;"|Fachkräftemangel",Daten_Risiken!$A$1:$A$529,0),$BK$6)),NA()),"")</f>
        <v>-11</v>
      </c>
      <c r="AM48" s="50" t="str">
        <f>IFERROR(IF(INDEX(Daten_Risiken!$A:$ZZ,MATCH($B48&amp;"|Auslandsnachfrage",Daten_Risiken!$A$1:$A$529,0),$BK$4)="","",INDEX(Daten_Risiken!$A:$ZZ,MATCH($B48&amp;"|Auslandsnachfrage",Daten_Risiken!$A$1:$A$529,0),$BK$4)),"")</f>
        <v/>
      </c>
      <c r="AN48" s="49" t="str">
        <f>IFERROR(AM48-IFERROR(IF(INDEX(Daten_Risiken!$A:$ZZ,MATCH($B48&amp;"|Auslandsnachfrage",Daten_Risiken!$A$1:$A$529,0),$BK$5)="",NA(),INDEX(Daten_Risiken!$A:$ZZ,MATCH($B48&amp;"|Auslandsnachfrage",Daten_Risiken!$A$1:$A$529,0),$BK$5)),NA()),"")</f>
        <v/>
      </c>
      <c r="AO48" s="49" t="str">
        <f>IFERROR(AM48-IFERROR(IF(INDEX(Daten_Risiken!$A:$ZZ,MATCH($B48&amp;"|Auslandsnachfrage",Daten_Risiken!$A$1:$A$529,0),$BK$6)="",NA(),INDEX(Daten_Risiken!$A:$ZZ,MATCH($B48&amp;"|Auslandsnachfrage",Daten_Risiken!$A$1:$A$529,0),$BK$6)),NA()),"")</f>
        <v/>
      </c>
      <c r="AP48" s="50">
        <f>IFERROR(IF(INDEX(Daten_Risiken!$A:$ZZ,MATCH($B48&amp;"|Finanzierung",Daten_Risiken!$A$1:$A$529,0),$BK$4)="","",INDEX(Daten_Risiken!$A:$ZZ,MATCH($B48&amp;"|Finanzierung",Daten_Risiken!$A$1:$A$529,0),$BK$4)),"")</f>
        <v>17</v>
      </c>
      <c r="AQ48" s="49">
        <f>IFERROR(AP48-IFERROR(IF(INDEX(Daten_Risiken!$A:$ZZ,MATCH($B48&amp;"|Finanzierung",Daten_Risiken!$A$1:$A$529,0),$BK$5)="",NA(),INDEX(Daten_Risiken!$A:$ZZ,MATCH($B48&amp;"|Finanzierung",Daten_Risiken!$A$1:$A$529,0),$BK$5)),NA()),"")</f>
        <v>1</v>
      </c>
      <c r="AR48" s="49">
        <f>IFERROR(AP48-IFERROR(IF(INDEX(Daten_Risiken!$A:$ZZ,MATCH($B48&amp;"|Finanzierung",Daten_Risiken!$A$1:$A$529,0),$BK$6)="",NA(),INDEX(Daten_Risiken!$A:$ZZ,MATCH($B48&amp;"|Finanzierung",Daten_Risiken!$A$1:$A$529,0),$BK$6)),NA()),"")</f>
        <v>2</v>
      </c>
      <c r="AS48" s="50" t="str">
        <f>IFERROR(IF(INDEX(Daten_Risiken!$A:$ZZ,MATCH($B48&amp;"|Wechselkurs",Daten_Risiken!$A$1:$A$529,0),$BK$4)="","",INDEX(Daten_Risiken!$A:$ZZ,MATCH($B48&amp;"|Wechselkurs",Daten_Risiken!$A$1:$A$529,0),$BK$4)),"")</f>
        <v/>
      </c>
      <c r="AT48" s="49" t="str">
        <f>IFERROR(AS48-IFERROR(IF(INDEX(Daten_Risiken!$A:$ZZ,MATCH($B48&amp;"|Wechselkurs",Daten_Risiken!$A$1:$A$529,0),$BK$5)="",NA(),INDEX(Daten_Risiken!$A:$ZZ,MATCH($B48&amp;"|Wechselkurs",Daten_Risiken!$A$1:$A$529,0),$BK$5)),NA()),"")</f>
        <v/>
      </c>
      <c r="AU48" s="49" t="str">
        <f>IFERROR(AS48-IFERROR(IF(INDEX(Daten_Risiken!$A:$ZZ,MATCH($B48&amp;"|Wechselkurs",Daten_Risiken!$A$1:$A$529,0),$BK$6)="",NA(),INDEX(Daten_Risiken!$A:$ZZ,MATCH($B48&amp;"|Wechselkurs",Daten_Risiken!$A$1:$A$529,0),$BK$6)),NA()),"")</f>
        <v/>
      </c>
      <c r="AV48" s="50">
        <f>IFERROR(IF(INDEX(Daten_Motive!$A:$ZZ,MATCH($B48&amp;"|Ersatzbedarf",Daten_Motive!$A$1:$A$331,0),$BK$7)="","",INDEX(Daten_Motive!$A:$ZZ,MATCH($B48&amp;"|Ersatzbedarf",Daten_Motive!$A$1:$A$331,0),$BK$7)),"")</f>
        <v>76</v>
      </c>
      <c r="AW48" s="49">
        <f>IFERROR(AV48-IFERROR(IF(INDEX(Daten_Motive!$A:$ZZ,MATCH($B48&amp;"|Ersatzbedarf",Daten_Motive!$A$1:$A$331,0),$BK$8)="",NA(),INDEX(Daten_Motive!$A:$ZZ,MATCH($B48&amp;"|Ersatzbedarf",Daten_Motive!$A$1:$A$331,0),$BK$8)),NA()),"")</f>
        <v>-1</v>
      </c>
      <c r="AX48" s="49">
        <f>IFERROR(AV48-IFERROR(IF(INDEX(Daten_Motive!$A:$ZZ,MATCH($B48&amp;"|Ersatzbedarf",Daten_Motive!$A$1:$A$331,0),$BK$9)="",NA(),INDEX(Daten_Motive!$A:$ZZ,MATCH($B48&amp;"|Ersatzbedarf",Daten_Motive!$A$1:$A$331,0),$BK$9)),NA()),"")</f>
        <v>-1</v>
      </c>
      <c r="AY48" s="50">
        <f>IFERROR(IF(INDEX(Daten_Motive!$A:$ZZ,MATCH($B48&amp;"|Rationalisierung",Daten_Motive!$A$1:$A$331,0),$BK$7)="","",INDEX(Daten_Motive!$A:$ZZ,MATCH($B48&amp;"|Rationalisierung",Daten_Motive!$A$1:$A$331,0),$BK$7)),"")</f>
        <v>28</v>
      </c>
      <c r="AZ48" s="49">
        <f>IFERROR(AY48-IFERROR(IF(INDEX(Daten_Motive!$A:$ZZ,MATCH($B48&amp;"|Rationalisierung",Daten_Motive!$A$1:$A$331,0),$BK$8)="",NA(),INDEX(Daten_Motive!$A:$ZZ,MATCH($B48&amp;"|Rationalisierung",Daten_Motive!$A$1:$A$331,0),$BK$8)),NA()),"")</f>
        <v>0</v>
      </c>
      <c r="BA48" s="49">
        <f>IFERROR(AY48-IFERROR(IF(INDEX(Daten_Motive!$A:$ZZ,MATCH($B48&amp;"|Rationalisierung",Daten_Motive!$A$1:$A$331,0),$BK$9)="",NA(),INDEX(Daten_Motive!$A:$ZZ,MATCH($B48&amp;"|Rationalisierung",Daten_Motive!$A$1:$A$331,0),$BK$9)),NA()),"")</f>
        <v>-1</v>
      </c>
      <c r="BB48" s="50">
        <f>IFERROR(IF(INDEX(Daten_Motive!$A:$ZZ,MATCH($B48&amp;"|Produktinnovation",Daten_Motive!$A$1:$A$331,0),$BK$7)="","",INDEX(Daten_Motive!$A:$ZZ,MATCH($B48&amp;"|Produktinnovation",Daten_Motive!$A$1:$A$331,0),$BK$7)),"")</f>
        <v>28</v>
      </c>
      <c r="BC48" s="49">
        <f>IFERROR(BB48-IFERROR(IF(INDEX(Daten_Motive!$A:$ZZ,MATCH($B48&amp;"|Produktinnovation",Daten_Motive!$A$1:$A$331,0),$BK$8)="",NA(),INDEX(Daten_Motive!$A:$ZZ,MATCH($B48&amp;"|Produktinnovation",Daten_Motive!$A$1:$A$331,0),$BK$8)),NA()),"")</f>
        <v>2</v>
      </c>
      <c r="BD48" s="49">
        <f>IFERROR(BB48-IFERROR(IF(INDEX(Daten_Motive!$A:$ZZ,MATCH($B48&amp;"|Produktinnovation",Daten_Motive!$A$1:$A$331,0),$BK$9)="",NA(),INDEX(Daten_Motive!$A:$ZZ,MATCH($B48&amp;"|Produktinnovation",Daten_Motive!$A$1:$A$331,0),$BK$9)),NA()),"")</f>
        <v>3</v>
      </c>
      <c r="BE48" s="50">
        <f>IFERROR(IF(INDEX(Daten_Motive!$A:$ZZ,MATCH($B48&amp;"|Umweltschutz",Daten_Motive!$A$1:$A$331,0),$BK$7)="","",INDEX(Daten_Motive!$A:$ZZ,MATCH($B48&amp;"|Umweltschutz",Daten_Motive!$A$1:$A$331,0),$BK$7)),"")</f>
        <v>24</v>
      </c>
      <c r="BF48" s="49">
        <f>IFERROR(BE48-IFERROR(IF(INDEX(Daten_Motive!$A:$ZZ,MATCH($B48&amp;"|Umweltschutz",Daten_Motive!$A$1:$A$331,0),$BK$8)="",NA(),INDEX(Daten_Motive!$A:$ZZ,MATCH($B48&amp;"|Umweltschutz",Daten_Motive!$A$1:$A$331,0),$BK$8)),NA()),"")</f>
        <v>5</v>
      </c>
      <c r="BG48" s="49">
        <f>IFERROR(BE48-IFERROR(IF(INDEX(Daten_Motive!$A:$ZZ,MATCH($B48&amp;"|Umweltschutz",Daten_Motive!$A$1:$A$331,0),$BK$9)="",NA(),INDEX(Daten_Motive!$A:$ZZ,MATCH($B48&amp;"|Umweltschutz",Daten_Motive!$A$1:$A$331,0),$BK$9)),NA()),"")</f>
        <v>2</v>
      </c>
      <c r="BH48" s="50">
        <f>IFERROR(IF(INDEX(Daten_Motive!$A:$ZZ,MATCH($B48&amp;"|Kapazitätserweiterung",Daten_Motive!$A$1:$A$331,0),$BK$7)="","",INDEX(Daten_Motive!$A:$ZZ,MATCH($B48&amp;"|Kapazitätserweiterung",Daten_Motive!$A$1:$A$331,0),$BK$7)),"")</f>
        <v>11</v>
      </c>
      <c r="BI48" s="49">
        <f>IFERROR(BH48-IFERROR(IF(INDEX(Daten_Motive!$A:$ZZ,MATCH($B48&amp;"|Kapazitätserweiterung",Daten_Motive!$A$1:$A$331,0),$BK$8)="",NA(),INDEX(Daten_Motive!$A:$ZZ,MATCH($B48&amp;"|Kapazitätserweiterung",Daten_Motive!$A$1:$A$331,0),$BK$8)),NA()),"")</f>
        <v>0</v>
      </c>
      <c r="BJ48" s="49">
        <f>IFERROR(BH48-IFERROR(IF(INDEX(Daten_Motive!$A:$ZZ,MATCH($B48&amp;"|Kapazitätserweiterung",Daten_Motive!$A$1:$A$331,0),$BK$9)="",NA(),INDEX(Daten_Motive!$A:$ZZ,MATCH($B48&amp;"|Kapazitätserweiterung",Daten_Motive!$A$1:$A$331,0),$BK$9)),NA()),"")</f>
        <v>0</v>
      </c>
    </row>
    <row r="49" spans="1:62" x14ac:dyDescent="0.25">
      <c r="A49" s="42">
        <v>41</v>
      </c>
      <c r="B49" s="52" t="str">
        <f>Listen!A42</f>
        <v>Gastronomie</v>
      </c>
      <c r="C49" s="44" t="s">
        <v>4535</v>
      </c>
      <c r="D49" s="44" t="str">
        <f>Listen!B42</f>
        <v>Dienstleister</v>
      </c>
      <c r="E49" s="45">
        <f>IFERROR(IF(INDEX(Daten_Anteile!$A:$ZZ,MATCH($B49&amp;"|Lage|"&amp;$C$3,Daten_Anteile!$A$1:$A$2971,0),5)="","",INDEX(Daten_Anteile!$A:$ZZ,MATCH($B49&amp;"|Lage|"&amp;$C$3,Daten_Anteile!$A$1:$A$2971,0),5)),"")</f>
        <v>774</v>
      </c>
      <c r="F49" s="46">
        <f t="shared" si="3"/>
        <v>85.4</v>
      </c>
      <c r="G49" s="47">
        <f t="shared" si="4"/>
        <v>2.6</v>
      </c>
      <c r="H49" s="47">
        <f t="shared" si="5"/>
        <v>1.1000000000000001</v>
      </c>
      <c r="I49" s="48">
        <f>IFERROR(IF(INDEX(Daten_Salden!$A:$ZZ,MATCH($B49&amp;"|Lage",Daten_Salden!$A$1:$A$331,0),$BK$1)="","",INDEX(Daten_Salden!$A:$ZZ,MATCH($B49&amp;"|Lage",Daten_Salden!$A$1:$A$331,0),$BK$1)),"")</f>
        <v>0</v>
      </c>
      <c r="J49" s="49">
        <f>IFERROR(I49-IFERROR(IF(INDEX(Daten_Salden!$A:$ZZ,MATCH($B49&amp;"|Lage",Daten_Salden!$A$1:$A$331,0),$BK$2)="",NA(),INDEX(Daten_Salden!$A:$ZZ,MATCH($B49&amp;"|Lage",Daten_Salden!$A$1:$A$331,0),$BK$2)),NA()),"")</f>
        <v>12</v>
      </c>
      <c r="K49" s="49">
        <f>IFERROR(I49-IFERROR(IF(INDEX(Daten_Salden!$A:$ZZ,MATCH($B49&amp;"|Lage",Daten_Salden!$A$1:$A$331,0),$BK$3)="",NA(),INDEX(Daten_Salden!$A:$ZZ,MATCH($B49&amp;"|Lage",Daten_Salden!$A$1:$A$331,0),$BK$3)),NA()),"")</f>
        <v>4</v>
      </c>
      <c r="L49" s="48">
        <f>IFERROR(IF(INDEX(Daten_Salden!$A:$ZZ,MATCH($B49&amp;"|Erwartungen",Daten_Salden!$A$1:$A$331,0),$BK$1)="","",INDEX(Daten_Salden!$A:$ZZ,MATCH($B49&amp;"|Erwartungen",Daten_Salden!$A$1:$A$331,0),$BK$1)),"")</f>
        <v>-27</v>
      </c>
      <c r="M49" s="49">
        <f>IFERROR(L49-IFERROR(IF(INDEX(Daten_Salden!$A:$ZZ,MATCH($B49&amp;"|Erwartungen",Daten_Salden!$A$1:$A$331,0),$BK$2)="",NA(),INDEX(Daten_Salden!$A:$ZZ,MATCH($B49&amp;"|Erwartungen",Daten_Salden!$A$1:$A$331,0),$BK$2)),NA()),"")</f>
        <v>-5</v>
      </c>
      <c r="N49" s="49">
        <f>IFERROR(L49-IFERROR(IF(INDEX(Daten_Salden!$A:$ZZ,MATCH($B49&amp;"|Erwartungen",Daten_Salden!$A$1:$A$331,0),$BK$3)="",NA(),INDEX(Daten_Salden!$A:$ZZ,MATCH($B49&amp;"|Erwartungen",Daten_Salden!$A$1:$A$331,0),$BK$3)),NA()),"")</f>
        <v>-1</v>
      </c>
      <c r="O49" s="48" t="str">
        <f>IFERROR(IF(INDEX(Daten_Salden!$A:$ZZ,MATCH($B49&amp;"|Export",Daten_Salden!$A$1:$A$331,0),$BK$1)="","",INDEX(Daten_Salden!$A:$ZZ,MATCH($B49&amp;"|Export",Daten_Salden!$A$1:$A$331,0),$BK$1)),"")</f>
        <v/>
      </c>
      <c r="P49" s="49" t="str">
        <f>IFERROR(O49-IFERROR(IF(INDEX(Daten_Salden!$A:$ZZ,MATCH($B49&amp;"|Export",Daten_Salden!$A$1:$A$331,0),$BK$2)="",NA(),INDEX(Daten_Salden!$A:$ZZ,MATCH($B49&amp;"|Export",Daten_Salden!$A$1:$A$331,0),$BK$2)),NA()),"")</f>
        <v/>
      </c>
      <c r="Q49" s="49" t="str">
        <f>IFERROR(O49-IFERROR(IF(INDEX(Daten_Salden!$A:$ZZ,MATCH($B49&amp;"|Export",Daten_Salden!$A$1:$A$331,0),$BK$3)="",NA(),INDEX(Daten_Salden!$A:$ZZ,MATCH($B49&amp;"|Export",Daten_Salden!$A$1:$A$331,0),$BK$3)),NA()),"")</f>
        <v/>
      </c>
      <c r="R49" s="48">
        <f>IFERROR(IF(INDEX(Daten_Salden!$A:$ZZ,MATCH($B49&amp;"|Investitionen",Daten_Salden!$A$1:$A$331,0),$BK$1)="","",INDEX(Daten_Salden!$A:$ZZ,MATCH($B49&amp;"|Investitionen",Daten_Salden!$A$1:$A$331,0),$BK$1)),"")</f>
        <v>-8</v>
      </c>
      <c r="S49" s="49">
        <f>IFERROR(R49-IFERROR(IF(INDEX(Daten_Salden!$A:$ZZ,MATCH($B49&amp;"|Investitionen",Daten_Salden!$A$1:$A$331,0),$BK$2)="",NA(),INDEX(Daten_Salden!$A:$ZZ,MATCH($B49&amp;"|Investitionen",Daten_Salden!$A$1:$A$331,0),$BK$2)),NA()),"")</f>
        <v>2</v>
      </c>
      <c r="T49" s="49">
        <f>IFERROR(R49-IFERROR(IF(INDEX(Daten_Salden!$A:$ZZ,MATCH($B49&amp;"|Investitionen",Daten_Salden!$A$1:$A$331,0),$BK$3)="",NA(),INDEX(Daten_Salden!$A:$ZZ,MATCH($B49&amp;"|Investitionen",Daten_Salden!$A$1:$A$331,0),$BK$3)),NA()),"")</f>
        <v>6</v>
      </c>
      <c r="U49" s="48">
        <f>IFERROR(IF(INDEX(Daten_Salden!$A:$ZZ,MATCH($B49&amp;"|Beschäftigung",Daten_Salden!$A$1:$A$331,0),$BK$1)="","",INDEX(Daten_Salden!$A:$ZZ,MATCH($B49&amp;"|Beschäftigung",Daten_Salden!$A$1:$A$331,0),$BK$1)),"")</f>
        <v>-25</v>
      </c>
      <c r="V49" s="49">
        <f>IFERROR(U49-IFERROR(IF(INDEX(Daten_Salden!$A:$ZZ,MATCH($B49&amp;"|Beschäftigung",Daten_Salden!$A$1:$A$331,0),$BK$2)="",NA(),INDEX(Daten_Salden!$A:$ZZ,MATCH($B49&amp;"|Beschäftigung",Daten_Salden!$A$1:$A$331,0),$BK$2)),NA()),"")</f>
        <v>-4</v>
      </c>
      <c r="W49" s="49">
        <f>IFERROR(U49-IFERROR(IF(INDEX(Daten_Salden!$A:$ZZ,MATCH($B49&amp;"|Beschäftigung",Daten_Salden!$A$1:$A$331,0),$BK$3)="",NA(),INDEX(Daten_Salden!$A:$ZZ,MATCH($B49&amp;"|Beschäftigung",Daten_Salden!$A$1:$A$331,0),$BK$3)),NA()),"")</f>
        <v>-5</v>
      </c>
      <c r="X49" s="50">
        <f>IFERROR(IF(INDEX(Daten_Risiken!$A:$ZZ,MATCH($B49&amp;"|Energie- und Rohstoffpreise",Daten_Risiken!$A$1:$A$529,0),$BK$4)="","",INDEX(Daten_Risiken!$A:$ZZ,MATCH($B49&amp;"|Energie- und Rohstoffpreise",Daten_Risiken!$A$1:$A$529,0),$BK$4)),"")</f>
        <v>86</v>
      </c>
      <c r="Y49" s="49">
        <f>IFERROR(X49-IFERROR(IF(INDEX(Daten_Risiken!$A:$ZZ,MATCH($B49&amp;"|Energie- und Rohstoffpreise",Daten_Risiken!$A$1:$A$529,0),$BK$5)="",NA(),INDEX(Daten_Risiken!$A:$ZZ,MATCH($B49&amp;"|Energie- und Rohstoffpreise",Daten_Risiken!$A$1:$A$529,0),$BK$5)),NA()),"")</f>
        <v>0</v>
      </c>
      <c r="Z49" s="49">
        <f>IFERROR(X49-IFERROR(IF(INDEX(Daten_Risiken!$A:$ZZ,MATCH($B49&amp;"|Energie- und Rohstoffpreise",Daten_Risiken!$A$1:$A$529,0),$BK$6)="",NA(),INDEX(Daten_Risiken!$A:$ZZ,MATCH($B49&amp;"|Energie- und Rohstoffpreise",Daten_Risiken!$A$1:$A$529,0),$BK$6)),NA()),"")</f>
        <v>8</v>
      </c>
      <c r="AA49" s="50">
        <f>IFERROR(IF(INDEX(Daten_Risiken!$A:$ZZ,MATCH($B49&amp;"|Arbeitskosten",Daten_Risiken!$A$1:$A$529,0),$BK$4)="","",INDEX(Daten_Risiken!$A:$ZZ,MATCH($B49&amp;"|Arbeitskosten",Daten_Risiken!$A$1:$A$529,0),$BK$4)),"")</f>
        <v>78</v>
      </c>
      <c r="AB49" s="49">
        <f>IFERROR(AA49-IFERROR(IF(INDEX(Daten_Risiken!$A:$ZZ,MATCH($B49&amp;"|Arbeitskosten",Daten_Risiken!$A$1:$A$529,0),$BK$5)="",NA(),INDEX(Daten_Risiken!$A:$ZZ,MATCH($B49&amp;"|Arbeitskosten",Daten_Risiken!$A$1:$A$529,0),$BK$5)),NA()),"")</f>
        <v>1</v>
      </c>
      <c r="AC49" s="49">
        <f>IFERROR(AA49-IFERROR(IF(INDEX(Daten_Risiken!$A:$ZZ,MATCH($B49&amp;"|Arbeitskosten",Daten_Risiken!$A$1:$A$529,0),$BK$6)="",NA(),INDEX(Daten_Risiken!$A:$ZZ,MATCH($B49&amp;"|Arbeitskosten",Daten_Risiken!$A$1:$A$529,0),$BK$6)),NA()),"")</f>
        <v>1</v>
      </c>
      <c r="AD49" s="50">
        <f>IFERROR(IF(INDEX(Daten_Risiken!$A:$ZZ,MATCH($B49&amp;"|Inlandsnachfrage",Daten_Risiken!$A$1:$A$529,0),$BK$4)="","",INDEX(Daten_Risiken!$A:$ZZ,MATCH($B49&amp;"|Inlandsnachfrage",Daten_Risiken!$A$1:$A$529,0),$BK$4)),"")</f>
        <v>35</v>
      </c>
      <c r="AE49" s="49">
        <f>IFERROR(AD49-IFERROR(IF(INDEX(Daten_Risiken!$A:$ZZ,MATCH($B49&amp;"|Inlandsnachfrage",Daten_Risiken!$A$1:$A$529,0),$BK$5)="",NA(),INDEX(Daten_Risiken!$A:$ZZ,MATCH($B49&amp;"|Inlandsnachfrage",Daten_Risiken!$A$1:$A$529,0),$BK$5)),NA()),"")</f>
        <v>-3</v>
      </c>
      <c r="AF49" s="49">
        <f>IFERROR(AD49-IFERROR(IF(INDEX(Daten_Risiken!$A:$ZZ,MATCH($B49&amp;"|Inlandsnachfrage",Daten_Risiken!$A$1:$A$529,0),$BK$6)="",NA(),INDEX(Daten_Risiken!$A:$ZZ,MATCH($B49&amp;"|Inlandsnachfrage",Daten_Risiken!$A$1:$A$529,0),$BK$6)),NA()),"")</f>
        <v>0</v>
      </c>
      <c r="AG49" s="50">
        <f>IFERROR(IF(INDEX(Daten_Risiken!$A:$ZZ,MATCH($B49&amp;"|Wirtschaftspolitische Rahmenbedingungen",Daten_Risiken!$A$1:$A$529,0),$BK$4)="","",INDEX(Daten_Risiken!$A:$ZZ,MATCH($B49&amp;"|Wirtschaftspolitische Rahmenbedingungen",Daten_Risiken!$A$1:$A$529,0),$BK$4)),"")</f>
        <v>53</v>
      </c>
      <c r="AH49" s="49">
        <f>IFERROR(AG49-IFERROR(IF(INDEX(Daten_Risiken!$A:$ZZ,MATCH($B49&amp;"|Wirtschaftspolitische Rahmenbedingungen",Daten_Risiken!$A$1:$A$529,0),$BK$5)="",NA(),INDEX(Daten_Risiken!$A:$ZZ,MATCH($B49&amp;"|Wirtschaftspolitische Rahmenbedingungen",Daten_Risiken!$A$1:$A$529,0),$BK$5)),NA()),"")</f>
        <v>2</v>
      </c>
      <c r="AI49" s="49">
        <f>IFERROR(AG49-IFERROR(IF(INDEX(Daten_Risiken!$A:$ZZ,MATCH($B49&amp;"|Wirtschaftspolitische Rahmenbedingungen",Daten_Risiken!$A$1:$A$529,0),$BK$6)="",NA(),INDEX(Daten_Risiken!$A:$ZZ,MATCH($B49&amp;"|Wirtschaftspolitische Rahmenbedingungen",Daten_Risiken!$A$1:$A$529,0),$BK$6)),NA()),"")</f>
        <v>-2</v>
      </c>
      <c r="AJ49" s="50">
        <f>IFERROR(IF(INDEX(Daten_Risiken!$A:$ZZ,MATCH($B49&amp;"|Fachkräftemangel",Daten_Risiken!$A$1:$A$529,0),$BK$4)="","",INDEX(Daten_Risiken!$A:$ZZ,MATCH($B49&amp;"|Fachkräftemangel",Daten_Risiken!$A$1:$A$529,0),$BK$4)),"")</f>
        <v>38</v>
      </c>
      <c r="AK49" s="49">
        <f>IFERROR(AJ49-IFERROR(IF(INDEX(Daten_Risiken!$A:$ZZ,MATCH($B49&amp;"|Fachkräftemangel",Daten_Risiken!$A$1:$A$529,0),$BK$5)="",NA(),INDEX(Daten_Risiken!$A:$ZZ,MATCH($B49&amp;"|Fachkräftemangel",Daten_Risiken!$A$1:$A$529,0),$BK$5)),NA()),"")</f>
        <v>0</v>
      </c>
      <c r="AL49" s="49">
        <f>IFERROR(AJ49-IFERROR(IF(INDEX(Daten_Risiken!$A:$ZZ,MATCH($B49&amp;"|Fachkräftemangel",Daten_Risiken!$A$1:$A$529,0),$BK$6)="",NA(),INDEX(Daten_Risiken!$A:$ZZ,MATCH($B49&amp;"|Fachkräftemangel",Daten_Risiken!$A$1:$A$529,0),$BK$6)),NA()),"")</f>
        <v>-12</v>
      </c>
      <c r="AM49" s="50" t="str">
        <f>IFERROR(IF(INDEX(Daten_Risiken!$A:$ZZ,MATCH($B49&amp;"|Auslandsnachfrage",Daten_Risiken!$A$1:$A$529,0),$BK$4)="","",INDEX(Daten_Risiken!$A:$ZZ,MATCH($B49&amp;"|Auslandsnachfrage",Daten_Risiken!$A$1:$A$529,0),$BK$4)),"")</f>
        <v/>
      </c>
      <c r="AN49" s="49" t="str">
        <f>IFERROR(AM49-IFERROR(IF(INDEX(Daten_Risiken!$A:$ZZ,MATCH($B49&amp;"|Auslandsnachfrage",Daten_Risiken!$A$1:$A$529,0),$BK$5)="",NA(),INDEX(Daten_Risiken!$A:$ZZ,MATCH($B49&amp;"|Auslandsnachfrage",Daten_Risiken!$A$1:$A$529,0),$BK$5)),NA()),"")</f>
        <v/>
      </c>
      <c r="AO49" s="49" t="str">
        <f>IFERROR(AM49-IFERROR(IF(INDEX(Daten_Risiken!$A:$ZZ,MATCH($B49&amp;"|Auslandsnachfrage",Daten_Risiken!$A$1:$A$529,0),$BK$6)="",NA(),INDEX(Daten_Risiken!$A:$ZZ,MATCH($B49&amp;"|Auslandsnachfrage",Daten_Risiken!$A$1:$A$529,0),$BK$6)),NA()),"")</f>
        <v/>
      </c>
      <c r="AP49" s="50">
        <f>IFERROR(IF(INDEX(Daten_Risiken!$A:$ZZ,MATCH($B49&amp;"|Finanzierung",Daten_Risiken!$A$1:$A$529,0),$BK$4)="","",INDEX(Daten_Risiken!$A:$ZZ,MATCH($B49&amp;"|Finanzierung",Daten_Risiken!$A$1:$A$529,0),$BK$4)),"")</f>
        <v>19</v>
      </c>
      <c r="AQ49" s="49">
        <f>IFERROR(AP49-IFERROR(IF(INDEX(Daten_Risiken!$A:$ZZ,MATCH($B49&amp;"|Finanzierung",Daten_Risiken!$A$1:$A$529,0),$BK$5)="",NA(),INDEX(Daten_Risiken!$A:$ZZ,MATCH($B49&amp;"|Finanzierung",Daten_Risiken!$A$1:$A$529,0),$BK$5)),NA()),"")</f>
        <v>0</v>
      </c>
      <c r="AR49" s="49">
        <f>IFERROR(AP49-IFERROR(IF(INDEX(Daten_Risiken!$A:$ZZ,MATCH($B49&amp;"|Finanzierung",Daten_Risiken!$A$1:$A$529,0),$BK$6)="",NA(),INDEX(Daten_Risiken!$A:$ZZ,MATCH($B49&amp;"|Finanzierung",Daten_Risiken!$A$1:$A$529,0),$BK$6)),NA()),"")</f>
        <v>3</v>
      </c>
      <c r="AS49" s="50" t="str">
        <f>IFERROR(IF(INDEX(Daten_Risiken!$A:$ZZ,MATCH($B49&amp;"|Wechselkurs",Daten_Risiken!$A$1:$A$529,0),$BK$4)="","",INDEX(Daten_Risiken!$A:$ZZ,MATCH($B49&amp;"|Wechselkurs",Daten_Risiken!$A$1:$A$529,0),$BK$4)),"")</f>
        <v/>
      </c>
      <c r="AT49" s="49" t="str">
        <f>IFERROR(AS49-IFERROR(IF(INDEX(Daten_Risiken!$A:$ZZ,MATCH($B49&amp;"|Wechselkurs",Daten_Risiken!$A$1:$A$529,0),$BK$5)="",NA(),INDEX(Daten_Risiken!$A:$ZZ,MATCH($B49&amp;"|Wechselkurs",Daten_Risiken!$A$1:$A$529,0),$BK$5)),NA()),"")</f>
        <v/>
      </c>
      <c r="AU49" s="49" t="str">
        <f>IFERROR(AS49-IFERROR(IF(INDEX(Daten_Risiken!$A:$ZZ,MATCH($B49&amp;"|Wechselkurs",Daten_Risiken!$A$1:$A$529,0),$BK$6)="",NA(),INDEX(Daten_Risiken!$A:$ZZ,MATCH($B49&amp;"|Wechselkurs",Daten_Risiken!$A$1:$A$529,0),$BK$6)),NA()),"")</f>
        <v/>
      </c>
      <c r="AV49" s="50">
        <f>IFERROR(IF(INDEX(Daten_Motive!$A:$ZZ,MATCH($B49&amp;"|Ersatzbedarf",Daten_Motive!$A$1:$A$331,0),$BK$7)="","",INDEX(Daten_Motive!$A:$ZZ,MATCH($B49&amp;"|Ersatzbedarf",Daten_Motive!$A$1:$A$331,0),$BK$7)),"")</f>
        <v>71</v>
      </c>
      <c r="AW49" s="49">
        <f>IFERROR(AV49-IFERROR(IF(INDEX(Daten_Motive!$A:$ZZ,MATCH($B49&amp;"|Ersatzbedarf",Daten_Motive!$A$1:$A$331,0),$BK$8)="",NA(),INDEX(Daten_Motive!$A:$ZZ,MATCH($B49&amp;"|Ersatzbedarf",Daten_Motive!$A$1:$A$331,0),$BK$8)),NA()),"")</f>
        <v>-3</v>
      </c>
      <c r="AX49" s="49">
        <f>IFERROR(AV49-IFERROR(IF(INDEX(Daten_Motive!$A:$ZZ,MATCH($B49&amp;"|Ersatzbedarf",Daten_Motive!$A$1:$A$331,0),$BK$9)="",NA(),INDEX(Daten_Motive!$A:$ZZ,MATCH($B49&amp;"|Ersatzbedarf",Daten_Motive!$A$1:$A$331,0),$BK$9)),NA()),"")</f>
        <v>-1</v>
      </c>
      <c r="AY49" s="50">
        <f>IFERROR(IF(INDEX(Daten_Motive!$A:$ZZ,MATCH($B49&amp;"|Rationalisierung",Daten_Motive!$A$1:$A$331,0),$BK$7)="","",INDEX(Daten_Motive!$A:$ZZ,MATCH($B49&amp;"|Rationalisierung",Daten_Motive!$A$1:$A$331,0),$BK$7)),"")</f>
        <v>32</v>
      </c>
      <c r="AZ49" s="49">
        <f>IFERROR(AY49-IFERROR(IF(INDEX(Daten_Motive!$A:$ZZ,MATCH($B49&amp;"|Rationalisierung",Daten_Motive!$A$1:$A$331,0),$BK$8)="",NA(),INDEX(Daten_Motive!$A:$ZZ,MATCH($B49&amp;"|Rationalisierung",Daten_Motive!$A$1:$A$331,0),$BK$8)),NA()),"")</f>
        <v>1</v>
      </c>
      <c r="BA49" s="49">
        <f>IFERROR(AY49-IFERROR(IF(INDEX(Daten_Motive!$A:$ZZ,MATCH($B49&amp;"|Rationalisierung",Daten_Motive!$A$1:$A$331,0),$BK$9)="",NA(),INDEX(Daten_Motive!$A:$ZZ,MATCH($B49&amp;"|Rationalisierung",Daten_Motive!$A$1:$A$331,0),$BK$9)),NA()),"")</f>
        <v>4</v>
      </c>
      <c r="BB49" s="50">
        <f>IFERROR(IF(INDEX(Daten_Motive!$A:$ZZ,MATCH($B49&amp;"|Produktinnovation",Daten_Motive!$A$1:$A$331,0),$BK$7)="","",INDEX(Daten_Motive!$A:$ZZ,MATCH($B49&amp;"|Produktinnovation",Daten_Motive!$A$1:$A$331,0),$BK$7)),"")</f>
        <v>22</v>
      </c>
      <c r="BC49" s="49">
        <f>IFERROR(BB49-IFERROR(IF(INDEX(Daten_Motive!$A:$ZZ,MATCH($B49&amp;"|Produktinnovation",Daten_Motive!$A$1:$A$331,0),$BK$8)="",NA(),INDEX(Daten_Motive!$A:$ZZ,MATCH($B49&amp;"|Produktinnovation",Daten_Motive!$A$1:$A$331,0),$BK$8)),NA()),"")</f>
        <v>1</v>
      </c>
      <c r="BD49" s="49">
        <f>IFERROR(BB49-IFERROR(IF(INDEX(Daten_Motive!$A:$ZZ,MATCH($B49&amp;"|Produktinnovation",Daten_Motive!$A$1:$A$331,0),$BK$9)="",NA(),INDEX(Daten_Motive!$A:$ZZ,MATCH($B49&amp;"|Produktinnovation",Daten_Motive!$A$1:$A$331,0),$BK$9)),NA()),"")</f>
        <v>-2</v>
      </c>
      <c r="BE49" s="50">
        <f>IFERROR(IF(INDEX(Daten_Motive!$A:$ZZ,MATCH($B49&amp;"|Umweltschutz",Daten_Motive!$A$1:$A$331,0),$BK$7)="","",INDEX(Daten_Motive!$A:$ZZ,MATCH($B49&amp;"|Umweltschutz",Daten_Motive!$A$1:$A$331,0),$BK$7)),"")</f>
        <v>19</v>
      </c>
      <c r="BF49" s="49">
        <f>IFERROR(BE49-IFERROR(IF(INDEX(Daten_Motive!$A:$ZZ,MATCH($B49&amp;"|Umweltschutz",Daten_Motive!$A$1:$A$331,0),$BK$8)="",NA(),INDEX(Daten_Motive!$A:$ZZ,MATCH($B49&amp;"|Umweltschutz",Daten_Motive!$A$1:$A$331,0),$BK$8)),NA()),"")</f>
        <v>4</v>
      </c>
      <c r="BG49" s="49">
        <f>IFERROR(BE49-IFERROR(IF(INDEX(Daten_Motive!$A:$ZZ,MATCH($B49&amp;"|Umweltschutz",Daten_Motive!$A$1:$A$331,0),$BK$9)="",NA(),INDEX(Daten_Motive!$A:$ZZ,MATCH($B49&amp;"|Umweltschutz",Daten_Motive!$A$1:$A$331,0),$BK$9)),NA()),"")</f>
        <v>-1</v>
      </c>
      <c r="BH49" s="50">
        <f>IFERROR(IF(INDEX(Daten_Motive!$A:$ZZ,MATCH($B49&amp;"|Kapazitätserweiterung",Daten_Motive!$A$1:$A$331,0),$BK$7)="","",INDEX(Daten_Motive!$A:$ZZ,MATCH($B49&amp;"|Kapazitätserweiterung",Daten_Motive!$A$1:$A$331,0),$BK$7)),"")</f>
        <v>15</v>
      </c>
      <c r="BI49" s="49">
        <f>IFERROR(BH49-IFERROR(IF(INDEX(Daten_Motive!$A:$ZZ,MATCH($B49&amp;"|Kapazitätserweiterung",Daten_Motive!$A$1:$A$331,0),$BK$8)="",NA(),INDEX(Daten_Motive!$A:$ZZ,MATCH($B49&amp;"|Kapazitätserweiterung",Daten_Motive!$A$1:$A$331,0),$BK$8)),NA()),"")</f>
        <v>1</v>
      </c>
      <c r="BJ49" s="49">
        <f>IFERROR(BH49-IFERROR(IF(INDEX(Daten_Motive!$A:$ZZ,MATCH($B49&amp;"|Kapazitätserweiterung",Daten_Motive!$A$1:$A$331,0),$BK$9)="",NA(),INDEX(Daten_Motive!$A:$ZZ,MATCH($B49&amp;"|Kapazitätserweiterung",Daten_Motive!$A$1:$A$331,0),$BK$9)),NA()),"")</f>
        <v>-1</v>
      </c>
    </row>
    <row r="50" spans="1:62" x14ac:dyDescent="0.25">
      <c r="A50" s="42">
        <v>42</v>
      </c>
      <c r="B50" s="51" t="str">
        <f>Listen!A67</f>
        <v>Informationswirtschaft</v>
      </c>
      <c r="C50" s="44" t="s">
        <v>4560</v>
      </c>
      <c r="D50" s="44" t="str">
        <f>Listen!B67</f>
        <v>Querschnitt</v>
      </c>
      <c r="E50" s="45">
        <f>IFERROR(IF(INDEX(Daten_Anteile!$A:$ZZ,MATCH($B50&amp;"|Lage|"&amp;$C$3,Daten_Anteile!$A$1:$A$2971,0),5)="","",INDEX(Daten_Anteile!$A:$ZZ,MATCH($B50&amp;"|Lage|"&amp;$C$3,Daten_Anteile!$A$1:$A$2971,0),5)),"")</f>
        <v>1148</v>
      </c>
      <c r="F50" s="46">
        <f t="shared" si="3"/>
        <v>102.5</v>
      </c>
      <c r="G50" s="47">
        <f t="shared" si="4"/>
        <v>3.8</v>
      </c>
      <c r="H50" s="47">
        <f t="shared" si="5"/>
        <v>-0.5</v>
      </c>
      <c r="I50" s="48">
        <f>IFERROR(IF(INDEX(Daten_Salden!$A:$ZZ,MATCH($B50&amp;"|Lage",Daten_Salden!$A$1:$A$331,0),$BK$1)="","",INDEX(Daten_Salden!$A:$ZZ,MATCH($B50&amp;"|Lage",Daten_Salden!$A$1:$A$331,0),$BK$1)),"")</f>
        <v>5</v>
      </c>
      <c r="J50" s="49">
        <f>IFERROR(I50-IFERROR(IF(INDEX(Daten_Salden!$A:$ZZ,MATCH($B50&amp;"|Lage",Daten_Salden!$A$1:$A$331,0),$BK$2)="",NA(),INDEX(Daten_Salden!$A:$ZZ,MATCH($B50&amp;"|Lage",Daten_Salden!$A$1:$A$331,0),$BK$2)),NA()),"")</f>
        <v>-2</v>
      </c>
      <c r="K50" s="49">
        <f>IFERROR(I50-IFERROR(IF(INDEX(Daten_Salden!$A:$ZZ,MATCH($B50&amp;"|Lage",Daten_Salden!$A$1:$A$331,0),$BK$3)="",NA(),INDEX(Daten_Salden!$A:$ZZ,MATCH($B50&amp;"|Lage",Daten_Salden!$A$1:$A$331,0),$BK$3)),NA()),"")</f>
        <v>0</v>
      </c>
      <c r="L50" s="48">
        <f>IFERROR(IF(INDEX(Daten_Salden!$A:$ZZ,MATCH($B50&amp;"|Erwartungen",Daten_Salden!$A$1:$A$331,0),$BK$1)="","",INDEX(Daten_Salden!$A:$ZZ,MATCH($B50&amp;"|Erwartungen",Daten_Salden!$A$1:$A$331,0),$BK$1)),"")</f>
        <v>0</v>
      </c>
      <c r="M50" s="49">
        <f>IFERROR(L50-IFERROR(IF(INDEX(Daten_Salden!$A:$ZZ,MATCH($B50&amp;"|Erwartungen",Daten_Salden!$A$1:$A$331,0),$BK$2)="",NA(),INDEX(Daten_Salden!$A:$ZZ,MATCH($B50&amp;"|Erwartungen",Daten_Salden!$A$1:$A$331,0),$BK$2)),NA()),"")</f>
        <v>9</v>
      </c>
      <c r="N50" s="49">
        <f>IFERROR(L50-IFERROR(IF(INDEX(Daten_Salden!$A:$ZZ,MATCH($B50&amp;"|Erwartungen",Daten_Salden!$A$1:$A$331,0),$BK$3)="",NA(),INDEX(Daten_Salden!$A:$ZZ,MATCH($B50&amp;"|Erwartungen",Daten_Salden!$A$1:$A$331,0),$BK$3)),NA()),"")</f>
        <v>-1</v>
      </c>
      <c r="O50" s="48" t="str">
        <f>IFERROR(IF(INDEX(Daten_Salden!$A:$ZZ,MATCH($B50&amp;"|Export",Daten_Salden!$A$1:$A$331,0),$BK$1)="","",INDEX(Daten_Salden!$A:$ZZ,MATCH($B50&amp;"|Export",Daten_Salden!$A$1:$A$331,0),$BK$1)),"")</f>
        <v/>
      </c>
      <c r="P50" s="49" t="str">
        <f>IFERROR(O50-IFERROR(IF(INDEX(Daten_Salden!$A:$ZZ,MATCH($B50&amp;"|Export",Daten_Salden!$A$1:$A$331,0),$BK$2)="",NA(),INDEX(Daten_Salden!$A:$ZZ,MATCH($B50&amp;"|Export",Daten_Salden!$A$1:$A$331,0),$BK$2)),NA()),"")</f>
        <v/>
      </c>
      <c r="Q50" s="49" t="str">
        <f>IFERROR(O50-IFERROR(IF(INDEX(Daten_Salden!$A:$ZZ,MATCH($B50&amp;"|Export",Daten_Salden!$A$1:$A$331,0),$BK$3)="",NA(),INDEX(Daten_Salden!$A:$ZZ,MATCH($B50&amp;"|Export",Daten_Salden!$A$1:$A$331,0),$BK$3)),NA()),"")</f>
        <v/>
      </c>
      <c r="R50" s="48">
        <f>IFERROR(IF(INDEX(Daten_Salden!$A:$ZZ,MATCH($B50&amp;"|Investitionen",Daten_Salden!$A$1:$A$331,0),$BK$1)="","",INDEX(Daten_Salden!$A:$ZZ,MATCH($B50&amp;"|Investitionen",Daten_Salden!$A$1:$A$331,0),$BK$1)),"")</f>
        <v>-2</v>
      </c>
      <c r="S50" s="49">
        <f>IFERROR(R50-IFERROR(IF(INDEX(Daten_Salden!$A:$ZZ,MATCH($B50&amp;"|Investitionen",Daten_Salden!$A$1:$A$331,0),$BK$2)="",NA(),INDEX(Daten_Salden!$A:$ZZ,MATCH($B50&amp;"|Investitionen",Daten_Salden!$A$1:$A$331,0),$BK$2)),NA()),"")</f>
        <v>5</v>
      </c>
      <c r="T50" s="49">
        <f>IFERROR(R50-IFERROR(IF(INDEX(Daten_Salden!$A:$ZZ,MATCH($B50&amp;"|Investitionen",Daten_Salden!$A$1:$A$331,0),$BK$3)="",NA(),INDEX(Daten_Salden!$A:$ZZ,MATCH($B50&amp;"|Investitionen",Daten_Salden!$A$1:$A$331,0),$BK$3)),NA()),"")</f>
        <v>3</v>
      </c>
      <c r="U50" s="48">
        <f>IFERROR(IF(INDEX(Daten_Salden!$A:$ZZ,MATCH($B50&amp;"|Beschäftigung",Daten_Salden!$A$1:$A$331,0),$BK$1)="","",INDEX(Daten_Salden!$A:$ZZ,MATCH($B50&amp;"|Beschäftigung",Daten_Salden!$A$1:$A$331,0),$BK$1)),"")</f>
        <v>-7</v>
      </c>
      <c r="V50" s="49">
        <f>IFERROR(U50-IFERROR(IF(INDEX(Daten_Salden!$A:$ZZ,MATCH($B50&amp;"|Beschäftigung",Daten_Salden!$A$1:$A$331,0),$BK$2)="",NA(),INDEX(Daten_Salden!$A:$ZZ,MATCH($B50&amp;"|Beschäftigung",Daten_Salden!$A$1:$A$331,0),$BK$2)),NA()),"")</f>
        <v>-2</v>
      </c>
      <c r="W50" s="49">
        <f>IFERROR(U50-IFERROR(IF(INDEX(Daten_Salden!$A:$ZZ,MATCH($B50&amp;"|Beschäftigung",Daten_Salden!$A$1:$A$331,0),$BK$3)="",NA(),INDEX(Daten_Salden!$A:$ZZ,MATCH($B50&amp;"|Beschäftigung",Daten_Salden!$A$1:$A$331,0),$BK$3)),NA()),"")</f>
        <v>-4</v>
      </c>
      <c r="X50" s="50">
        <f>IFERROR(IF(INDEX(Daten_Risiken!$A:$ZZ,MATCH($B50&amp;"|Energie- und Rohstoffpreise",Daten_Risiken!$A$1:$A$529,0),$BK$4)="","",INDEX(Daten_Risiken!$A:$ZZ,MATCH($B50&amp;"|Energie- und Rohstoffpreise",Daten_Risiken!$A$1:$A$529,0),$BK$4)),"")</f>
        <v>35</v>
      </c>
      <c r="Y50" s="49">
        <f>IFERROR(X50-IFERROR(IF(INDEX(Daten_Risiken!$A:$ZZ,MATCH($B50&amp;"|Energie- und Rohstoffpreise",Daten_Risiken!$A$1:$A$529,0),$BK$5)="",NA(),INDEX(Daten_Risiken!$A:$ZZ,MATCH($B50&amp;"|Energie- und Rohstoffpreise",Daten_Risiken!$A$1:$A$529,0),$BK$5)),NA()),"")</f>
        <v>-2</v>
      </c>
      <c r="Z50" s="49">
        <f>IFERROR(X50-IFERROR(IF(INDEX(Daten_Risiken!$A:$ZZ,MATCH($B50&amp;"|Energie- und Rohstoffpreise",Daten_Risiken!$A$1:$A$529,0),$BK$6)="",NA(),INDEX(Daten_Risiken!$A:$ZZ,MATCH($B50&amp;"|Energie- und Rohstoffpreise",Daten_Risiken!$A$1:$A$529,0),$BK$6)),NA()),"")</f>
        <v>13</v>
      </c>
      <c r="AA50" s="50">
        <f>IFERROR(IF(INDEX(Daten_Risiken!$A:$ZZ,MATCH($B50&amp;"|Arbeitskosten",Daten_Risiken!$A$1:$A$529,0),$BK$4)="","",INDEX(Daten_Risiken!$A:$ZZ,MATCH($B50&amp;"|Arbeitskosten",Daten_Risiken!$A$1:$A$529,0),$BK$4)),"")</f>
        <v>44</v>
      </c>
      <c r="AB50" s="49">
        <f>IFERROR(AA50-IFERROR(IF(INDEX(Daten_Risiken!$A:$ZZ,MATCH($B50&amp;"|Arbeitskosten",Daten_Risiken!$A$1:$A$529,0),$BK$5)="",NA(),INDEX(Daten_Risiken!$A:$ZZ,MATCH($B50&amp;"|Arbeitskosten",Daten_Risiken!$A$1:$A$529,0),$BK$5)),NA()),"")</f>
        <v>-4</v>
      </c>
      <c r="AC50" s="49">
        <f>IFERROR(AA50-IFERROR(IF(INDEX(Daten_Risiken!$A:$ZZ,MATCH($B50&amp;"|Arbeitskosten",Daten_Risiken!$A$1:$A$529,0),$BK$6)="",NA(),INDEX(Daten_Risiken!$A:$ZZ,MATCH($B50&amp;"|Arbeitskosten",Daten_Risiken!$A$1:$A$529,0),$BK$6)),NA()),"")</f>
        <v>-1</v>
      </c>
      <c r="AD50" s="50">
        <f>IFERROR(IF(INDEX(Daten_Risiken!$A:$ZZ,MATCH($B50&amp;"|Inlandsnachfrage",Daten_Risiken!$A$1:$A$529,0),$BK$4)="","",INDEX(Daten_Risiken!$A:$ZZ,MATCH($B50&amp;"|Inlandsnachfrage",Daten_Risiken!$A$1:$A$529,0),$BK$4)),"")</f>
        <v>66</v>
      </c>
      <c r="AE50" s="49">
        <f>IFERROR(AD50-IFERROR(IF(INDEX(Daten_Risiken!$A:$ZZ,MATCH($B50&amp;"|Inlandsnachfrage",Daten_Risiken!$A$1:$A$529,0),$BK$5)="",NA(),INDEX(Daten_Risiken!$A:$ZZ,MATCH($B50&amp;"|Inlandsnachfrage",Daten_Risiken!$A$1:$A$529,0),$BK$5)),NA()),"")</f>
        <v>-5</v>
      </c>
      <c r="AF50" s="49">
        <f>IFERROR(AD50-IFERROR(IF(INDEX(Daten_Risiken!$A:$ZZ,MATCH($B50&amp;"|Inlandsnachfrage",Daten_Risiken!$A$1:$A$529,0),$BK$6)="",NA(),INDEX(Daten_Risiken!$A:$ZZ,MATCH($B50&amp;"|Inlandsnachfrage",Daten_Risiken!$A$1:$A$529,0),$BK$6)),NA()),"")</f>
        <v>-6</v>
      </c>
      <c r="AG50" s="50">
        <f>IFERROR(IF(INDEX(Daten_Risiken!$A:$ZZ,MATCH($B50&amp;"|Wirtschaftspolitische Rahmenbedingungen",Daten_Risiken!$A$1:$A$529,0),$BK$4)="","",INDEX(Daten_Risiken!$A:$ZZ,MATCH($B50&amp;"|Wirtschaftspolitische Rahmenbedingungen",Daten_Risiken!$A$1:$A$529,0),$BK$4)),"")</f>
        <v>52</v>
      </c>
      <c r="AH50" s="49">
        <f>IFERROR(AG50-IFERROR(IF(INDEX(Daten_Risiken!$A:$ZZ,MATCH($B50&amp;"|Wirtschaftspolitische Rahmenbedingungen",Daten_Risiken!$A$1:$A$529,0),$BK$5)="",NA(),INDEX(Daten_Risiken!$A:$ZZ,MATCH($B50&amp;"|Wirtschaftspolitische Rahmenbedingungen",Daten_Risiken!$A$1:$A$529,0),$BK$5)),NA()),"")</f>
        <v>1</v>
      </c>
      <c r="AI50" s="49">
        <f>IFERROR(AG50-IFERROR(IF(INDEX(Daten_Risiken!$A:$ZZ,MATCH($B50&amp;"|Wirtschaftspolitische Rahmenbedingungen",Daten_Risiken!$A$1:$A$529,0),$BK$6)="",NA(),INDEX(Daten_Risiken!$A:$ZZ,MATCH($B50&amp;"|Wirtschaftspolitische Rahmenbedingungen",Daten_Risiken!$A$1:$A$529,0),$BK$6)),NA()),"")</f>
        <v>2</v>
      </c>
      <c r="AJ50" s="50">
        <f>IFERROR(IF(INDEX(Daten_Risiken!$A:$ZZ,MATCH($B50&amp;"|Fachkräftemangel",Daten_Risiken!$A$1:$A$529,0),$BK$4)="","",INDEX(Daten_Risiken!$A:$ZZ,MATCH($B50&amp;"|Fachkräftemangel",Daten_Risiken!$A$1:$A$529,0),$BK$4)),"")</f>
        <v>20</v>
      </c>
      <c r="AK50" s="49">
        <f>IFERROR(AJ50-IFERROR(IF(INDEX(Daten_Risiken!$A:$ZZ,MATCH($B50&amp;"|Fachkräftemangel",Daten_Risiken!$A$1:$A$529,0),$BK$5)="",NA(),INDEX(Daten_Risiken!$A:$ZZ,MATCH($B50&amp;"|Fachkräftemangel",Daten_Risiken!$A$1:$A$529,0),$BK$5)),NA()),"")</f>
        <v>-4</v>
      </c>
      <c r="AL50" s="49">
        <f>IFERROR(AJ50-IFERROR(IF(INDEX(Daten_Risiken!$A:$ZZ,MATCH($B50&amp;"|Fachkräftemangel",Daten_Risiken!$A$1:$A$529,0),$BK$6)="",NA(),INDEX(Daten_Risiken!$A:$ZZ,MATCH($B50&amp;"|Fachkräftemangel",Daten_Risiken!$A$1:$A$529,0),$BK$6)),NA()),"")</f>
        <v>-8</v>
      </c>
      <c r="AM50" s="50" t="str">
        <f>IFERROR(IF(INDEX(Daten_Risiken!$A:$ZZ,MATCH($B50&amp;"|Auslandsnachfrage",Daten_Risiken!$A$1:$A$529,0),$BK$4)="","",INDEX(Daten_Risiken!$A:$ZZ,MATCH($B50&amp;"|Auslandsnachfrage",Daten_Risiken!$A$1:$A$529,0),$BK$4)),"")</f>
        <v/>
      </c>
      <c r="AN50" s="49" t="str">
        <f>IFERROR(AM50-IFERROR(IF(INDEX(Daten_Risiken!$A:$ZZ,MATCH($B50&amp;"|Auslandsnachfrage",Daten_Risiken!$A$1:$A$529,0),$BK$5)="",NA(),INDEX(Daten_Risiken!$A:$ZZ,MATCH($B50&amp;"|Auslandsnachfrage",Daten_Risiken!$A$1:$A$529,0),$BK$5)),NA()),"")</f>
        <v/>
      </c>
      <c r="AO50" s="49" t="str">
        <f>IFERROR(AM50-IFERROR(IF(INDEX(Daten_Risiken!$A:$ZZ,MATCH($B50&amp;"|Auslandsnachfrage",Daten_Risiken!$A$1:$A$529,0),$BK$6)="",NA(),INDEX(Daten_Risiken!$A:$ZZ,MATCH($B50&amp;"|Auslandsnachfrage",Daten_Risiken!$A$1:$A$529,0),$BK$6)),NA()),"")</f>
        <v/>
      </c>
      <c r="AP50" s="50">
        <f>IFERROR(IF(INDEX(Daten_Risiken!$A:$ZZ,MATCH($B50&amp;"|Finanzierung",Daten_Risiken!$A$1:$A$529,0),$BK$4)="","",INDEX(Daten_Risiken!$A:$ZZ,MATCH($B50&amp;"|Finanzierung",Daten_Risiken!$A$1:$A$529,0),$BK$4)),"")</f>
        <v>11</v>
      </c>
      <c r="AQ50" s="49">
        <f>IFERROR(AP50-IFERROR(IF(INDEX(Daten_Risiken!$A:$ZZ,MATCH($B50&amp;"|Finanzierung",Daten_Risiken!$A$1:$A$529,0),$BK$5)="",NA(),INDEX(Daten_Risiken!$A:$ZZ,MATCH($B50&amp;"|Finanzierung",Daten_Risiken!$A$1:$A$529,0),$BK$5)),NA()),"")</f>
        <v>1</v>
      </c>
      <c r="AR50" s="49">
        <f>IFERROR(AP50-IFERROR(IF(INDEX(Daten_Risiken!$A:$ZZ,MATCH($B50&amp;"|Finanzierung",Daten_Risiken!$A$1:$A$529,0),$BK$6)="",NA(),INDEX(Daten_Risiken!$A:$ZZ,MATCH($B50&amp;"|Finanzierung",Daten_Risiken!$A$1:$A$529,0),$BK$6)),NA()),"")</f>
        <v>0</v>
      </c>
      <c r="AS50" s="50" t="str">
        <f>IFERROR(IF(INDEX(Daten_Risiken!$A:$ZZ,MATCH($B50&amp;"|Wechselkurs",Daten_Risiken!$A$1:$A$529,0),$BK$4)="","",INDEX(Daten_Risiken!$A:$ZZ,MATCH($B50&amp;"|Wechselkurs",Daten_Risiken!$A$1:$A$529,0),$BK$4)),"")</f>
        <v/>
      </c>
      <c r="AT50" s="49" t="str">
        <f>IFERROR(AS50-IFERROR(IF(INDEX(Daten_Risiken!$A:$ZZ,MATCH($B50&amp;"|Wechselkurs",Daten_Risiken!$A$1:$A$529,0),$BK$5)="",NA(),INDEX(Daten_Risiken!$A:$ZZ,MATCH($B50&amp;"|Wechselkurs",Daten_Risiken!$A$1:$A$529,0),$BK$5)),NA()),"")</f>
        <v/>
      </c>
      <c r="AU50" s="49" t="str">
        <f>IFERROR(AS50-IFERROR(IF(INDEX(Daten_Risiken!$A:$ZZ,MATCH($B50&amp;"|Wechselkurs",Daten_Risiken!$A$1:$A$529,0),$BK$6)="",NA(),INDEX(Daten_Risiken!$A:$ZZ,MATCH($B50&amp;"|Wechselkurs",Daten_Risiken!$A$1:$A$529,0),$BK$6)),NA()),"")</f>
        <v/>
      </c>
      <c r="AV50" s="50">
        <f>IFERROR(IF(INDEX(Daten_Motive!$A:$ZZ,MATCH($B50&amp;"|Ersatzbedarf",Daten_Motive!$A$1:$A$331,0),$BK$7)="","",INDEX(Daten_Motive!$A:$ZZ,MATCH($B50&amp;"|Ersatzbedarf",Daten_Motive!$A$1:$A$331,0),$BK$7)),"")</f>
        <v>48</v>
      </c>
      <c r="AW50" s="49">
        <f>IFERROR(AV50-IFERROR(IF(INDEX(Daten_Motive!$A:$ZZ,MATCH($B50&amp;"|Ersatzbedarf",Daten_Motive!$A$1:$A$331,0),$BK$8)="",NA(),INDEX(Daten_Motive!$A:$ZZ,MATCH($B50&amp;"|Ersatzbedarf",Daten_Motive!$A$1:$A$331,0),$BK$8)),NA()),"")</f>
        <v>-2</v>
      </c>
      <c r="AX50" s="49">
        <f>IFERROR(AV50-IFERROR(IF(INDEX(Daten_Motive!$A:$ZZ,MATCH($B50&amp;"|Ersatzbedarf",Daten_Motive!$A$1:$A$331,0),$BK$9)="",NA(),INDEX(Daten_Motive!$A:$ZZ,MATCH($B50&amp;"|Ersatzbedarf",Daten_Motive!$A$1:$A$331,0),$BK$9)),NA()),"")</f>
        <v>-3</v>
      </c>
      <c r="AY50" s="50">
        <f>IFERROR(IF(INDEX(Daten_Motive!$A:$ZZ,MATCH($B50&amp;"|Rationalisierung",Daten_Motive!$A$1:$A$331,0),$BK$7)="","",INDEX(Daten_Motive!$A:$ZZ,MATCH($B50&amp;"|Rationalisierung",Daten_Motive!$A$1:$A$331,0),$BK$7)),"")</f>
        <v>32</v>
      </c>
      <c r="AZ50" s="49">
        <f>IFERROR(AY50-IFERROR(IF(INDEX(Daten_Motive!$A:$ZZ,MATCH($B50&amp;"|Rationalisierung",Daten_Motive!$A$1:$A$331,0),$BK$8)="",NA(),INDEX(Daten_Motive!$A:$ZZ,MATCH($B50&amp;"|Rationalisierung",Daten_Motive!$A$1:$A$331,0),$BK$8)),NA()),"")</f>
        <v>0</v>
      </c>
      <c r="BA50" s="49">
        <f>IFERROR(AY50-IFERROR(IF(INDEX(Daten_Motive!$A:$ZZ,MATCH($B50&amp;"|Rationalisierung",Daten_Motive!$A$1:$A$331,0),$BK$9)="",NA(),INDEX(Daten_Motive!$A:$ZZ,MATCH($B50&amp;"|Rationalisierung",Daten_Motive!$A$1:$A$331,0),$BK$9)),NA()),"")</f>
        <v>3</v>
      </c>
      <c r="BB50" s="50">
        <f>IFERROR(IF(INDEX(Daten_Motive!$A:$ZZ,MATCH($B50&amp;"|Produktinnovation",Daten_Motive!$A$1:$A$331,0),$BK$7)="","",INDEX(Daten_Motive!$A:$ZZ,MATCH($B50&amp;"|Produktinnovation",Daten_Motive!$A$1:$A$331,0),$BK$7)),"")</f>
        <v>52</v>
      </c>
      <c r="BC50" s="49">
        <f>IFERROR(BB50-IFERROR(IF(INDEX(Daten_Motive!$A:$ZZ,MATCH($B50&amp;"|Produktinnovation",Daten_Motive!$A$1:$A$331,0),$BK$8)="",NA(),INDEX(Daten_Motive!$A:$ZZ,MATCH($B50&amp;"|Produktinnovation",Daten_Motive!$A$1:$A$331,0),$BK$8)),NA()),"")</f>
        <v>-3</v>
      </c>
      <c r="BD50" s="49">
        <f>IFERROR(BB50-IFERROR(IF(INDEX(Daten_Motive!$A:$ZZ,MATCH($B50&amp;"|Produktinnovation",Daten_Motive!$A$1:$A$331,0),$BK$9)="",NA(),INDEX(Daten_Motive!$A:$ZZ,MATCH($B50&amp;"|Produktinnovation",Daten_Motive!$A$1:$A$331,0),$BK$9)),NA()),"")</f>
        <v>3</v>
      </c>
      <c r="BE50" s="50">
        <f>IFERROR(IF(INDEX(Daten_Motive!$A:$ZZ,MATCH($B50&amp;"|Umweltschutz",Daten_Motive!$A$1:$A$331,0),$BK$7)="","",INDEX(Daten_Motive!$A:$ZZ,MATCH($B50&amp;"|Umweltschutz",Daten_Motive!$A$1:$A$331,0),$BK$7)),"")</f>
        <v>8</v>
      </c>
      <c r="BF50" s="49">
        <f>IFERROR(BE50-IFERROR(IF(INDEX(Daten_Motive!$A:$ZZ,MATCH($B50&amp;"|Umweltschutz",Daten_Motive!$A$1:$A$331,0),$BK$8)="",NA(),INDEX(Daten_Motive!$A:$ZZ,MATCH($B50&amp;"|Umweltschutz",Daten_Motive!$A$1:$A$331,0),$BK$8)),NA()),"")</f>
        <v>2</v>
      </c>
      <c r="BG50" s="49">
        <f>IFERROR(BE50-IFERROR(IF(INDEX(Daten_Motive!$A:$ZZ,MATCH($B50&amp;"|Umweltschutz",Daten_Motive!$A$1:$A$331,0),$BK$9)="",NA(),INDEX(Daten_Motive!$A:$ZZ,MATCH($B50&amp;"|Umweltschutz",Daten_Motive!$A$1:$A$331,0),$BK$9)),NA()),"")</f>
        <v>1</v>
      </c>
      <c r="BH50" s="50">
        <f>IFERROR(IF(INDEX(Daten_Motive!$A:$ZZ,MATCH($B50&amp;"|Kapazitätserweiterung",Daten_Motive!$A$1:$A$331,0),$BK$7)="","",INDEX(Daten_Motive!$A:$ZZ,MATCH($B50&amp;"|Kapazitätserweiterung",Daten_Motive!$A$1:$A$331,0),$BK$7)),"")</f>
        <v>22</v>
      </c>
      <c r="BI50" s="49">
        <f>IFERROR(BH50-IFERROR(IF(INDEX(Daten_Motive!$A:$ZZ,MATCH($B50&amp;"|Kapazitätserweiterung",Daten_Motive!$A$1:$A$331,0),$BK$8)="",NA(),INDEX(Daten_Motive!$A:$ZZ,MATCH($B50&amp;"|Kapazitätserweiterung",Daten_Motive!$A$1:$A$331,0),$BK$8)),NA()),"")</f>
        <v>3</v>
      </c>
      <c r="BJ50" s="49">
        <f>IFERROR(BH50-IFERROR(IF(INDEX(Daten_Motive!$A:$ZZ,MATCH($B50&amp;"|Kapazitätserweiterung",Daten_Motive!$A$1:$A$331,0),$BK$9)="",NA(),INDEX(Daten_Motive!$A:$ZZ,MATCH($B50&amp;"|Kapazitätserweiterung",Daten_Motive!$A$1:$A$331,0),$BK$9)),NA()),"")</f>
        <v>1</v>
      </c>
    </row>
    <row r="51" spans="1:62" x14ac:dyDescent="0.25">
      <c r="A51" s="42">
        <v>43</v>
      </c>
      <c r="B51" s="52" t="str">
        <f>Listen!A43</f>
        <v>Verlagswesen</v>
      </c>
      <c r="C51" s="44" t="s">
        <v>4536</v>
      </c>
      <c r="D51" s="44" t="str">
        <f>Listen!B43</f>
        <v>Dienstleister</v>
      </c>
      <c r="E51" s="45">
        <f>IFERROR(IF(INDEX(Daten_Anteile!$A:$ZZ,MATCH($B51&amp;"|Lage|"&amp;$C$3,Daten_Anteile!$A$1:$A$2971,0),5)="","",INDEX(Daten_Anteile!$A:$ZZ,MATCH($B51&amp;"|Lage|"&amp;$C$3,Daten_Anteile!$A$1:$A$2971,0),5)),"")</f>
        <v>84</v>
      </c>
      <c r="F51" s="46">
        <f t="shared" si="3"/>
        <v>77.8</v>
      </c>
      <c r="G51" s="47">
        <f t="shared" si="4"/>
        <v>-3</v>
      </c>
      <c r="H51" s="47">
        <f t="shared" si="5"/>
        <v>-1.7</v>
      </c>
      <c r="I51" s="48">
        <f>IFERROR(IF(INDEX(Daten_Salden!$A:$ZZ,MATCH($B51&amp;"|Lage",Daten_Salden!$A$1:$A$331,0),$BK$1)="","",INDEX(Daten_Salden!$A:$ZZ,MATCH($B51&amp;"|Lage",Daten_Salden!$A$1:$A$331,0),$BK$1)),"")</f>
        <v>-17</v>
      </c>
      <c r="J51" s="49">
        <f>IFERROR(I51-IFERROR(IF(INDEX(Daten_Salden!$A:$ZZ,MATCH($B51&amp;"|Lage",Daten_Salden!$A$1:$A$331,0),$BK$2)="",NA(),INDEX(Daten_Salden!$A:$ZZ,MATCH($B51&amp;"|Lage",Daten_Salden!$A$1:$A$331,0),$BK$2)),NA()),"")</f>
        <v>-9</v>
      </c>
      <c r="K51" s="49">
        <f>IFERROR(I51-IFERROR(IF(INDEX(Daten_Salden!$A:$ZZ,MATCH($B51&amp;"|Lage",Daten_Salden!$A$1:$A$331,0),$BK$3)="",NA(),INDEX(Daten_Salden!$A:$ZZ,MATCH($B51&amp;"|Lage",Daten_Salden!$A$1:$A$331,0),$BK$3)),NA()),"")</f>
        <v>4</v>
      </c>
      <c r="L51" s="48">
        <f>IFERROR(IF(INDEX(Daten_Salden!$A:$ZZ,MATCH($B51&amp;"|Erwartungen",Daten_Salden!$A$1:$A$331,0),$BK$1)="","",INDEX(Daten_Salden!$A:$ZZ,MATCH($B51&amp;"|Erwartungen",Daten_Salden!$A$1:$A$331,0),$BK$1)),"")</f>
        <v>-27</v>
      </c>
      <c r="M51" s="49">
        <f>IFERROR(L51-IFERROR(IF(INDEX(Daten_Salden!$A:$ZZ,MATCH($B51&amp;"|Erwartungen",Daten_Salden!$A$1:$A$331,0),$BK$2)="",NA(),INDEX(Daten_Salden!$A:$ZZ,MATCH($B51&amp;"|Erwartungen",Daten_Salden!$A$1:$A$331,0),$BK$2)),NA()),"")</f>
        <v>2</v>
      </c>
      <c r="N51" s="49">
        <f>IFERROR(L51-IFERROR(IF(INDEX(Daten_Salden!$A:$ZZ,MATCH($B51&amp;"|Erwartungen",Daten_Salden!$A$1:$A$331,0),$BK$3)="",NA(),INDEX(Daten_Salden!$A:$ZZ,MATCH($B51&amp;"|Erwartungen",Daten_Salden!$A$1:$A$331,0),$BK$3)),NA()),"")</f>
        <v>-7</v>
      </c>
      <c r="O51" s="48" t="str">
        <f>IFERROR(IF(INDEX(Daten_Salden!$A:$ZZ,MATCH($B51&amp;"|Export",Daten_Salden!$A$1:$A$331,0),$BK$1)="","",INDEX(Daten_Salden!$A:$ZZ,MATCH($B51&amp;"|Export",Daten_Salden!$A$1:$A$331,0),$BK$1)),"")</f>
        <v/>
      </c>
      <c r="P51" s="49" t="str">
        <f>IFERROR(O51-IFERROR(IF(INDEX(Daten_Salden!$A:$ZZ,MATCH($B51&amp;"|Export",Daten_Salden!$A$1:$A$331,0),$BK$2)="",NA(),INDEX(Daten_Salden!$A:$ZZ,MATCH($B51&amp;"|Export",Daten_Salden!$A$1:$A$331,0),$BK$2)),NA()),"")</f>
        <v/>
      </c>
      <c r="Q51" s="49" t="str">
        <f>IFERROR(O51-IFERROR(IF(INDEX(Daten_Salden!$A:$ZZ,MATCH($B51&amp;"|Export",Daten_Salden!$A$1:$A$331,0),$BK$3)="",NA(),INDEX(Daten_Salden!$A:$ZZ,MATCH($B51&amp;"|Export",Daten_Salden!$A$1:$A$331,0),$BK$3)),NA()),"")</f>
        <v/>
      </c>
      <c r="R51" s="48">
        <f>IFERROR(IF(INDEX(Daten_Salden!$A:$ZZ,MATCH($B51&amp;"|Investitionen",Daten_Salden!$A$1:$A$331,0),$BK$1)="","",INDEX(Daten_Salden!$A:$ZZ,MATCH($B51&amp;"|Investitionen",Daten_Salden!$A$1:$A$331,0),$BK$1)),"")</f>
        <v>-18</v>
      </c>
      <c r="S51" s="49">
        <f>IFERROR(R51-IFERROR(IF(INDEX(Daten_Salden!$A:$ZZ,MATCH($B51&amp;"|Investitionen",Daten_Salden!$A$1:$A$331,0),$BK$2)="",NA(),INDEX(Daten_Salden!$A:$ZZ,MATCH($B51&amp;"|Investitionen",Daten_Salden!$A$1:$A$331,0),$BK$2)),NA()),"")</f>
        <v>-3</v>
      </c>
      <c r="T51" s="49">
        <f>IFERROR(R51-IFERROR(IF(INDEX(Daten_Salden!$A:$ZZ,MATCH($B51&amp;"|Investitionen",Daten_Salden!$A$1:$A$331,0),$BK$3)="",NA(),INDEX(Daten_Salden!$A:$ZZ,MATCH($B51&amp;"|Investitionen",Daten_Salden!$A$1:$A$331,0),$BK$3)),NA()),"")</f>
        <v>-18</v>
      </c>
      <c r="U51" s="48">
        <f>IFERROR(IF(INDEX(Daten_Salden!$A:$ZZ,MATCH($B51&amp;"|Beschäftigung",Daten_Salden!$A$1:$A$331,0),$BK$1)="","",INDEX(Daten_Salden!$A:$ZZ,MATCH($B51&amp;"|Beschäftigung",Daten_Salden!$A$1:$A$331,0),$BK$1)),"")</f>
        <v>-39</v>
      </c>
      <c r="V51" s="49">
        <f>IFERROR(U51-IFERROR(IF(INDEX(Daten_Salden!$A:$ZZ,MATCH($B51&amp;"|Beschäftigung",Daten_Salden!$A$1:$A$331,0),$BK$2)="",NA(),INDEX(Daten_Salden!$A:$ZZ,MATCH($B51&amp;"|Beschäftigung",Daten_Salden!$A$1:$A$331,0),$BK$2)),NA()),"")</f>
        <v>-7</v>
      </c>
      <c r="W51" s="49">
        <f>IFERROR(U51-IFERROR(IF(INDEX(Daten_Salden!$A:$ZZ,MATCH($B51&amp;"|Beschäftigung",Daten_Salden!$A$1:$A$331,0),$BK$3)="",NA(),INDEX(Daten_Salden!$A:$ZZ,MATCH($B51&amp;"|Beschäftigung",Daten_Salden!$A$1:$A$331,0),$BK$3)),NA()),"")</f>
        <v>-14</v>
      </c>
      <c r="X51" s="50">
        <f>IFERROR(IF(INDEX(Daten_Risiken!$A:$ZZ,MATCH($B51&amp;"|Energie- und Rohstoffpreise",Daten_Risiken!$A$1:$A$529,0),$BK$4)="","",INDEX(Daten_Risiken!$A:$ZZ,MATCH($B51&amp;"|Energie- und Rohstoffpreise",Daten_Risiken!$A$1:$A$529,0),$BK$4)),"")</f>
        <v>55</v>
      </c>
      <c r="Y51" s="49">
        <f>IFERROR(X51-IFERROR(IF(INDEX(Daten_Risiken!$A:$ZZ,MATCH($B51&amp;"|Energie- und Rohstoffpreise",Daten_Risiken!$A$1:$A$529,0),$BK$5)="",NA(),INDEX(Daten_Risiken!$A:$ZZ,MATCH($B51&amp;"|Energie- und Rohstoffpreise",Daten_Risiken!$A$1:$A$529,0),$BK$5)),NA()),"")</f>
        <v>-1</v>
      </c>
      <c r="Z51" s="49">
        <f>IFERROR(X51-IFERROR(IF(INDEX(Daten_Risiken!$A:$ZZ,MATCH($B51&amp;"|Energie- und Rohstoffpreise",Daten_Risiken!$A$1:$A$529,0),$BK$6)="",NA(),INDEX(Daten_Risiken!$A:$ZZ,MATCH($B51&amp;"|Energie- und Rohstoffpreise",Daten_Risiken!$A$1:$A$529,0),$BK$6)),NA()),"")</f>
        <v>17</v>
      </c>
      <c r="AA51" s="50">
        <f>IFERROR(IF(INDEX(Daten_Risiken!$A:$ZZ,MATCH($B51&amp;"|Arbeitskosten",Daten_Risiken!$A$1:$A$529,0),$BK$4)="","",INDEX(Daten_Risiken!$A:$ZZ,MATCH($B51&amp;"|Arbeitskosten",Daten_Risiken!$A$1:$A$529,0),$BK$4)),"")</f>
        <v>54</v>
      </c>
      <c r="AB51" s="49">
        <f>IFERROR(AA51-IFERROR(IF(INDEX(Daten_Risiken!$A:$ZZ,MATCH($B51&amp;"|Arbeitskosten",Daten_Risiken!$A$1:$A$529,0),$BK$5)="",NA(),INDEX(Daten_Risiken!$A:$ZZ,MATCH($B51&amp;"|Arbeitskosten",Daten_Risiken!$A$1:$A$529,0),$BK$5)),NA()),"")</f>
        <v>-3</v>
      </c>
      <c r="AC51" s="49">
        <f>IFERROR(AA51-IFERROR(IF(INDEX(Daten_Risiken!$A:$ZZ,MATCH($B51&amp;"|Arbeitskosten",Daten_Risiken!$A$1:$A$529,0),$BK$6)="",NA(),INDEX(Daten_Risiken!$A:$ZZ,MATCH($B51&amp;"|Arbeitskosten",Daten_Risiken!$A$1:$A$529,0),$BK$6)),NA()),"")</f>
        <v>3</v>
      </c>
      <c r="AD51" s="50">
        <f>IFERROR(IF(INDEX(Daten_Risiken!$A:$ZZ,MATCH($B51&amp;"|Inlandsnachfrage",Daten_Risiken!$A$1:$A$529,0),$BK$4)="","",INDEX(Daten_Risiken!$A:$ZZ,MATCH($B51&amp;"|Inlandsnachfrage",Daten_Risiken!$A$1:$A$529,0),$BK$4)),"")</f>
        <v>76</v>
      </c>
      <c r="AE51" s="49">
        <f>IFERROR(AD51-IFERROR(IF(INDEX(Daten_Risiken!$A:$ZZ,MATCH($B51&amp;"|Inlandsnachfrage",Daten_Risiken!$A$1:$A$529,0),$BK$5)="",NA(),INDEX(Daten_Risiken!$A:$ZZ,MATCH($B51&amp;"|Inlandsnachfrage",Daten_Risiken!$A$1:$A$529,0),$BK$5)),NA()),"")</f>
        <v>-3</v>
      </c>
      <c r="AF51" s="49">
        <f>IFERROR(AD51-IFERROR(IF(INDEX(Daten_Risiken!$A:$ZZ,MATCH($B51&amp;"|Inlandsnachfrage",Daten_Risiken!$A$1:$A$529,0),$BK$6)="",NA(),INDEX(Daten_Risiken!$A:$ZZ,MATCH($B51&amp;"|Inlandsnachfrage",Daten_Risiken!$A$1:$A$529,0),$BK$6)),NA()),"")</f>
        <v>-5</v>
      </c>
      <c r="AG51" s="50">
        <f>IFERROR(IF(INDEX(Daten_Risiken!$A:$ZZ,MATCH($B51&amp;"|Wirtschaftspolitische Rahmenbedingungen",Daten_Risiken!$A$1:$A$529,0),$BK$4)="","",INDEX(Daten_Risiken!$A:$ZZ,MATCH($B51&amp;"|Wirtschaftspolitische Rahmenbedingungen",Daten_Risiken!$A$1:$A$529,0),$BK$4)),"")</f>
        <v>40</v>
      </c>
      <c r="AH51" s="49">
        <f>IFERROR(AG51-IFERROR(IF(INDEX(Daten_Risiken!$A:$ZZ,MATCH($B51&amp;"|Wirtschaftspolitische Rahmenbedingungen",Daten_Risiken!$A$1:$A$529,0),$BK$5)="",NA(),INDEX(Daten_Risiken!$A:$ZZ,MATCH($B51&amp;"|Wirtschaftspolitische Rahmenbedingungen",Daten_Risiken!$A$1:$A$529,0),$BK$5)),NA()),"")</f>
        <v>-11</v>
      </c>
      <c r="AI51" s="49">
        <f>IFERROR(AG51-IFERROR(IF(INDEX(Daten_Risiken!$A:$ZZ,MATCH($B51&amp;"|Wirtschaftspolitische Rahmenbedingungen",Daten_Risiken!$A$1:$A$529,0),$BK$6)="",NA(),INDEX(Daten_Risiken!$A:$ZZ,MATCH($B51&amp;"|Wirtschaftspolitische Rahmenbedingungen",Daten_Risiken!$A$1:$A$529,0),$BK$6)),NA()),"")</f>
        <v>-5</v>
      </c>
      <c r="AJ51" s="50">
        <f>IFERROR(IF(INDEX(Daten_Risiken!$A:$ZZ,MATCH($B51&amp;"|Fachkräftemangel",Daten_Risiken!$A$1:$A$529,0),$BK$4)="","",INDEX(Daten_Risiken!$A:$ZZ,MATCH($B51&amp;"|Fachkräftemangel",Daten_Risiken!$A$1:$A$529,0),$BK$4)),"")</f>
        <v>18</v>
      </c>
      <c r="AK51" s="49">
        <f>IFERROR(AJ51-IFERROR(IF(INDEX(Daten_Risiken!$A:$ZZ,MATCH($B51&amp;"|Fachkräftemangel",Daten_Risiken!$A$1:$A$529,0),$BK$5)="",NA(),INDEX(Daten_Risiken!$A:$ZZ,MATCH($B51&amp;"|Fachkräftemangel",Daten_Risiken!$A$1:$A$529,0),$BK$5)),NA()),"")</f>
        <v>-5</v>
      </c>
      <c r="AL51" s="49">
        <f>IFERROR(AJ51-IFERROR(IF(INDEX(Daten_Risiken!$A:$ZZ,MATCH($B51&amp;"|Fachkräftemangel",Daten_Risiken!$A$1:$A$529,0),$BK$6)="",NA(),INDEX(Daten_Risiken!$A:$ZZ,MATCH($B51&amp;"|Fachkräftemangel",Daten_Risiken!$A$1:$A$529,0),$BK$6)),NA()),"")</f>
        <v>0</v>
      </c>
      <c r="AM51" s="50" t="str">
        <f>IFERROR(IF(INDEX(Daten_Risiken!$A:$ZZ,MATCH($B51&amp;"|Auslandsnachfrage",Daten_Risiken!$A$1:$A$529,0),$BK$4)="","",INDEX(Daten_Risiken!$A:$ZZ,MATCH($B51&amp;"|Auslandsnachfrage",Daten_Risiken!$A$1:$A$529,0),$BK$4)),"")</f>
        <v/>
      </c>
      <c r="AN51" s="49" t="str">
        <f>IFERROR(AM51-IFERROR(IF(INDEX(Daten_Risiken!$A:$ZZ,MATCH($B51&amp;"|Auslandsnachfrage",Daten_Risiken!$A$1:$A$529,0),$BK$5)="",NA(),INDEX(Daten_Risiken!$A:$ZZ,MATCH($B51&amp;"|Auslandsnachfrage",Daten_Risiken!$A$1:$A$529,0),$BK$5)),NA()),"")</f>
        <v/>
      </c>
      <c r="AO51" s="49" t="str">
        <f>IFERROR(AM51-IFERROR(IF(INDEX(Daten_Risiken!$A:$ZZ,MATCH($B51&amp;"|Auslandsnachfrage",Daten_Risiken!$A$1:$A$529,0),$BK$6)="",NA(),INDEX(Daten_Risiken!$A:$ZZ,MATCH($B51&amp;"|Auslandsnachfrage",Daten_Risiken!$A$1:$A$529,0),$BK$6)),NA()),"")</f>
        <v/>
      </c>
      <c r="AP51" s="50">
        <f>IFERROR(IF(INDEX(Daten_Risiken!$A:$ZZ,MATCH($B51&amp;"|Finanzierung",Daten_Risiken!$A$1:$A$529,0),$BK$4)="","",INDEX(Daten_Risiken!$A:$ZZ,MATCH($B51&amp;"|Finanzierung",Daten_Risiken!$A$1:$A$529,0),$BK$4)),"")</f>
        <v>5</v>
      </c>
      <c r="AQ51" s="49">
        <f>IFERROR(AP51-IFERROR(IF(INDEX(Daten_Risiken!$A:$ZZ,MATCH($B51&amp;"|Finanzierung",Daten_Risiken!$A$1:$A$529,0),$BK$5)="",NA(),INDEX(Daten_Risiken!$A:$ZZ,MATCH($B51&amp;"|Finanzierung",Daten_Risiken!$A$1:$A$529,0),$BK$5)),NA()),"")</f>
        <v>3</v>
      </c>
      <c r="AR51" s="49">
        <f>IFERROR(AP51-IFERROR(IF(INDEX(Daten_Risiken!$A:$ZZ,MATCH($B51&amp;"|Finanzierung",Daten_Risiken!$A$1:$A$529,0),$BK$6)="",NA(),INDEX(Daten_Risiken!$A:$ZZ,MATCH($B51&amp;"|Finanzierung",Daten_Risiken!$A$1:$A$529,0),$BK$6)),NA()),"")</f>
        <v>2</v>
      </c>
      <c r="AS51" s="50" t="str">
        <f>IFERROR(IF(INDEX(Daten_Risiken!$A:$ZZ,MATCH($B51&amp;"|Wechselkurs",Daten_Risiken!$A$1:$A$529,0),$BK$4)="","",INDEX(Daten_Risiken!$A:$ZZ,MATCH($B51&amp;"|Wechselkurs",Daten_Risiken!$A$1:$A$529,0),$BK$4)),"")</f>
        <v/>
      </c>
      <c r="AT51" s="49" t="str">
        <f>IFERROR(AS51-IFERROR(IF(INDEX(Daten_Risiken!$A:$ZZ,MATCH($B51&amp;"|Wechselkurs",Daten_Risiken!$A$1:$A$529,0),$BK$5)="",NA(),INDEX(Daten_Risiken!$A:$ZZ,MATCH($B51&amp;"|Wechselkurs",Daten_Risiken!$A$1:$A$529,0),$BK$5)),NA()),"")</f>
        <v/>
      </c>
      <c r="AU51" s="49" t="str">
        <f>IFERROR(AS51-IFERROR(IF(INDEX(Daten_Risiken!$A:$ZZ,MATCH($B51&amp;"|Wechselkurs",Daten_Risiken!$A$1:$A$529,0),$BK$6)="",NA(),INDEX(Daten_Risiken!$A:$ZZ,MATCH($B51&amp;"|Wechselkurs",Daten_Risiken!$A$1:$A$529,0),$BK$6)),NA()),"")</f>
        <v/>
      </c>
      <c r="AV51" s="50">
        <f>IFERROR(IF(INDEX(Daten_Motive!$A:$ZZ,MATCH($B51&amp;"|Ersatzbedarf",Daten_Motive!$A$1:$A$331,0),$BK$7)="","",INDEX(Daten_Motive!$A:$ZZ,MATCH($B51&amp;"|Ersatzbedarf",Daten_Motive!$A$1:$A$331,0),$BK$7)),"")</f>
        <v>55</v>
      </c>
      <c r="AW51" s="49">
        <f>IFERROR(AV51-IFERROR(IF(INDEX(Daten_Motive!$A:$ZZ,MATCH($B51&amp;"|Ersatzbedarf",Daten_Motive!$A$1:$A$331,0),$BK$8)="",NA(),INDEX(Daten_Motive!$A:$ZZ,MATCH($B51&amp;"|Ersatzbedarf",Daten_Motive!$A$1:$A$331,0),$BK$8)),NA()),"")</f>
        <v>0</v>
      </c>
      <c r="AX51" s="49">
        <f>IFERROR(AV51-IFERROR(IF(INDEX(Daten_Motive!$A:$ZZ,MATCH($B51&amp;"|Ersatzbedarf",Daten_Motive!$A$1:$A$331,0),$BK$9)="",NA(),INDEX(Daten_Motive!$A:$ZZ,MATCH($B51&amp;"|Ersatzbedarf",Daten_Motive!$A$1:$A$331,0),$BK$9)),NA()),"")</f>
        <v>-4</v>
      </c>
      <c r="AY51" s="50">
        <f>IFERROR(IF(INDEX(Daten_Motive!$A:$ZZ,MATCH($B51&amp;"|Rationalisierung",Daten_Motive!$A$1:$A$331,0),$BK$7)="","",INDEX(Daten_Motive!$A:$ZZ,MATCH($B51&amp;"|Rationalisierung",Daten_Motive!$A$1:$A$331,0),$BK$7)),"")</f>
        <v>51</v>
      </c>
      <c r="AZ51" s="49">
        <f>IFERROR(AY51-IFERROR(IF(INDEX(Daten_Motive!$A:$ZZ,MATCH($B51&amp;"|Rationalisierung",Daten_Motive!$A$1:$A$331,0),$BK$8)="",NA(),INDEX(Daten_Motive!$A:$ZZ,MATCH($B51&amp;"|Rationalisierung",Daten_Motive!$A$1:$A$331,0),$BK$8)),NA()),"")</f>
        <v>8</v>
      </c>
      <c r="BA51" s="49">
        <f>IFERROR(AY51-IFERROR(IF(INDEX(Daten_Motive!$A:$ZZ,MATCH($B51&amp;"|Rationalisierung",Daten_Motive!$A$1:$A$331,0),$BK$9)="",NA(),INDEX(Daten_Motive!$A:$ZZ,MATCH($B51&amp;"|Rationalisierung",Daten_Motive!$A$1:$A$331,0),$BK$9)),NA()),"")</f>
        <v>1</v>
      </c>
      <c r="BB51" s="50">
        <f>IFERROR(IF(INDEX(Daten_Motive!$A:$ZZ,MATCH($B51&amp;"|Produktinnovation",Daten_Motive!$A$1:$A$331,0),$BK$7)="","",INDEX(Daten_Motive!$A:$ZZ,MATCH($B51&amp;"|Produktinnovation",Daten_Motive!$A$1:$A$331,0),$BK$7)),"")</f>
        <v>47</v>
      </c>
      <c r="BC51" s="49">
        <f>IFERROR(BB51-IFERROR(IF(INDEX(Daten_Motive!$A:$ZZ,MATCH($B51&amp;"|Produktinnovation",Daten_Motive!$A$1:$A$331,0),$BK$8)="",NA(),INDEX(Daten_Motive!$A:$ZZ,MATCH($B51&amp;"|Produktinnovation",Daten_Motive!$A$1:$A$331,0),$BK$8)),NA()),"")</f>
        <v>-13</v>
      </c>
      <c r="BD51" s="49">
        <f>IFERROR(BB51-IFERROR(IF(INDEX(Daten_Motive!$A:$ZZ,MATCH($B51&amp;"|Produktinnovation",Daten_Motive!$A$1:$A$331,0),$BK$9)="",NA(),INDEX(Daten_Motive!$A:$ZZ,MATCH($B51&amp;"|Produktinnovation",Daten_Motive!$A$1:$A$331,0),$BK$9)),NA()),"")</f>
        <v>8</v>
      </c>
      <c r="BE51" s="50">
        <f>IFERROR(IF(INDEX(Daten_Motive!$A:$ZZ,MATCH($B51&amp;"|Umweltschutz",Daten_Motive!$A$1:$A$331,0),$BK$7)="","",INDEX(Daten_Motive!$A:$ZZ,MATCH($B51&amp;"|Umweltschutz",Daten_Motive!$A$1:$A$331,0),$BK$7)),"")</f>
        <v>7</v>
      </c>
      <c r="BF51" s="49">
        <f>IFERROR(BE51-IFERROR(IF(INDEX(Daten_Motive!$A:$ZZ,MATCH($B51&amp;"|Umweltschutz",Daten_Motive!$A$1:$A$331,0),$BK$8)="",NA(),INDEX(Daten_Motive!$A:$ZZ,MATCH($B51&amp;"|Umweltschutz",Daten_Motive!$A$1:$A$331,0),$BK$8)),NA()),"")</f>
        <v>0</v>
      </c>
      <c r="BG51" s="49">
        <f>IFERROR(BE51-IFERROR(IF(INDEX(Daten_Motive!$A:$ZZ,MATCH($B51&amp;"|Umweltschutz",Daten_Motive!$A$1:$A$331,0),$BK$9)="",NA(),INDEX(Daten_Motive!$A:$ZZ,MATCH($B51&amp;"|Umweltschutz",Daten_Motive!$A$1:$A$331,0),$BK$9)),NA()),"")</f>
        <v>-5</v>
      </c>
      <c r="BH51" s="50">
        <f>IFERROR(IF(INDEX(Daten_Motive!$A:$ZZ,MATCH($B51&amp;"|Kapazitätserweiterung",Daten_Motive!$A$1:$A$331,0),$BK$7)="","",INDEX(Daten_Motive!$A:$ZZ,MATCH($B51&amp;"|Kapazitätserweiterung",Daten_Motive!$A$1:$A$331,0),$BK$7)),"")</f>
        <v>8</v>
      </c>
      <c r="BI51" s="49">
        <f>IFERROR(BH51-IFERROR(IF(INDEX(Daten_Motive!$A:$ZZ,MATCH($B51&amp;"|Kapazitätserweiterung",Daten_Motive!$A$1:$A$331,0),$BK$8)="",NA(),INDEX(Daten_Motive!$A:$ZZ,MATCH($B51&amp;"|Kapazitätserweiterung",Daten_Motive!$A$1:$A$331,0),$BK$8)),NA()),"")</f>
        <v>2</v>
      </c>
      <c r="BJ51" s="49">
        <f>IFERROR(BH51-IFERROR(IF(INDEX(Daten_Motive!$A:$ZZ,MATCH($B51&amp;"|Kapazitätserweiterung",Daten_Motive!$A$1:$A$331,0),$BK$9)="",NA(),INDEX(Daten_Motive!$A:$ZZ,MATCH($B51&amp;"|Kapazitätserweiterung",Daten_Motive!$A$1:$A$331,0),$BK$9)),NA()),"")</f>
        <v>1</v>
      </c>
    </row>
    <row r="52" spans="1:62" x14ac:dyDescent="0.25">
      <c r="A52" s="42">
        <v>44</v>
      </c>
      <c r="B52" s="51" t="str">
        <f>Listen!A44</f>
        <v>Medien- und Filmwirtschaft</v>
      </c>
      <c r="C52" s="44" t="s">
        <v>4537</v>
      </c>
      <c r="D52" s="44" t="str">
        <f>Listen!B44</f>
        <v>Dienstleister</v>
      </c>
      <c r="E52" s="45">
        <f>IFERROR(IF(INDEX(Daten_Anteile!$A:$ZZ,MATCH($B52&amp;"|Lage|"&amp;$C$3,Daten_Anteile!$A$1:$A$2971,0),5)="","",INDEX(Daten_Anteile!$A:$ZZ,MATCH($B52&amp;"|Lage|"&amp;$C$3,Daten_Anteile!$A$1:$A$2971,0),5)),"")</f>
        <v>110</v>
      </c>
      <c r="F52" s="46">
        <f t="shared" si="3"/>
        <v>90</v>
      </c>
      <c r="G52" s="47">
        <f t="shared" si="4"/>
        <v>12.3</v>
      </c>
      <c r="H52" s="47">
        <f t="shared" si="5"/>
        <v>3.1</v>
      </c>
      <c r="I52" s="48">
        <f>IFERROR(IF(INDEX(Daten_Salden!$A:$ZZ,MATCH($B52&amp;"|Lage",Daten_Salden!$A$1:$A$331,0),$BK$1)="","",INDEX(Daten_Salden!$A:$ZZ,MATCH($B52&amp;"|Lage",Daten_Salden!$A$1:$A$331,0),$BK$1)),"")</f>
        <v>-11</v>
      </c>
      <c r="J52" s="49">
        <f>IFERROR(I52-IFERROR(IF(INDEX(Daten_Salden!$A:$ZZ,MATCH($B52&amp;"|Lage",Daten_Salden!$A$1:$A$331,0),$BK$2)="",NA(),INDEX(Daten_Salden!$A:$ZZ,MATCH($B52&amp;"|Lage",Daten_Salden!$A$1:$A$331,0),$BK$2)),NA()),"")</f>
        <v>18</v>
      </c>
      <c r="K52" s="49">
        <f>IFERROR(I52-IFERROR(IF(INDEX(Daten_Salden!$A:$ZZ,MATCH($B52&amp;"|Lage",Daten_Salden!$A$1:$A$331,0),$BK$3)="",NA(),INDEX(Daten_Salden!$A:$ZZ,MATCH($B52&amp;"|Lage",Daten_Salden!$A$1:$A$331,0),$BK$3)),NA()),"")</f>
        <v>6</v>
      </c>
      <c r="L52" s="48">
        <f>IFERROR(IF(INDEX(Daten_Salden!$A:$ZZ,MATCH($B52&amp;"|Erwartungen",Daten_Salden!$A$1:$A$331,0),$BK$1)="","",INDEX(Daten_Salden!$A:$ZZ,MATCH($B52&amp;"|Erwartungen",Daten_Salden!$A$1:$A$331,0),$BK$1)),"")</f>
        <v>-9</v>
      </c>
      <c r="M52" s="49">
        <f>IFERROR(L52-IFERROR(IF(INDEX(Daten_Salden!$A:$ZZ,MATCH($B52&amp;"|Erwartungen",Daten_Salden!$A$1:$A$331,0),$BK$2)="",NA(),INDEX(Daten_Salden!$A:$ZZ,MATCH($B52&amp;"|Erwartungen",Daten_Salden!$A$1:$A$331,0),$BK$2)),NA()),"")</f>
        <v>6</v>
      </c>
      <c r="N52" s="49">
        <f>IFERROR(L52-IFERROR(IF(INDEX(Daten_Salden!$A:$ZZ,MATCH($B52&amp;"|Erwartungen",Daten_Salden!$A$1:$A$331,0),$BK$3)="",NA(),INDEX(Daten_Salden!$A:$ZZ,MATCH($B52&amp;"|Erwartungen",Daten_Salden!$A$1:$A$331,0),$BK$3)),NA()),"")</f>
        <v>0</v>
      </c>
      <c r="O52" s="48" t="str">
        <f>IFERROR(IF(INDEX(Daten_Salden!$A:$ZZ,MATCH($B52&amp;"|Export",Daten_Salden!$A$1:$A$331,0),$BK$1)="","",INDEX(Daten_Salden!$A:$ZZ,MATCH($B52&amp;"|Export",Daten_Salden!$A$1:$A$331,0),$BK$1)),"")</f>
        <v/>
      </c>
      <c r="P52" s="49" t="str">
        <f>IFERROR(O52-IFERROR(IF(INDEX(Daten_Salden!$A:$ZZ,MATCH($B52&amp;"|Export",Daten_Salden!$A$1:$A$331,0),$BK$2)="",NA(),INDEX(Daten_Salden!$A:$ZZ,MATCH($B52&amp;"|Export",Daten_Salden!$A$1:$A$331,0),$BK$2)),NA()),"")</f>
        <v/>
      </c>
      <c r="Q52" s="49" t="str">
        <f>IFERROR(O52-IFERROR(IF(INDEX(Daten_Salden!$A:$ZZ,MATCH($B52&amp;"|Export",Daten_Salden!$A$1:$A$331,0),$BK$3)="",NA(),INDEX(Daten_Salden!$A:$ZZ,MATCH($B52&amp;"|Export",Daten_Salden!$A$1:$A$331,0),$BK$3)),NA()),"")</f>
        <v/>
      </c>
      <c r="R52" s="48">
        <f>IFERROR(IF(INDEX(Daten_Salden!$A:$ZZ,MATCH($B52&amp;"|Investitionen",Daten_Salden!$A$1:$A$331,0),$BK$1)="","",INDEX(Daten_Salden!$A:$ZZ,MATCH($B52&amp;"|Investitionen",Daten_Salden!$A$1:$A$331,0),$BK$1)),"")</f>
        <v>-15</v>
      </c>
      <c r="S52" s="49">
        <f>IFERROR(R52-IFERROR(IF(INDEX(Daten_Salden!$A:$ZZ,MATCH($B52&amp;"|Investitionen",Daten_Salden!$A$1:$A$331,0),$BK$2)="",NA(),INDEX(Daten_Salden!$A:$ZZ,MATCH($B52&amp;"|Investitionen",Daten_Salden!$A$1:$A$331,0),$BK$2)),NA()),"")</f>
        <v>13</v>
      </c>
      <c r="T52" s="49">
        <f>IFERROR(R52-IFERROR(IF(INDEX(Daten_Salden!$A:$ZZ,MATCH($B52&amp;"|Investitionen",Daten_Salden!$A$1:$A$331,0),$BK$3)="",NA(),INDEX(Daten_Salden!$A:$ZZ,MATCH($B52&amp;"|Investitionen",Daten_Salden!$A$1:$A$331,0),$BK$3)),NA()),"")</f>
        <v>2</v>
      </c>
      <c r="U52" s="48">
        <f>IFERROR(IF(INDEX(Daten_Salden!$A:$ZZ,MATCH($B52&amp;"|Beschäftigung",Daten_Salden!$A$1:$A$331,0),$BK$1)="","",INDEX(Daten_Salden!$A:$ZZ,MATCH($B52&amp;"|Beschäftigung",Daten_Salden!$A$1:$A$331,0),$BK$1)),"")</f>
        <v>-26</v>
      </c>
      <c r="V52" s="49">
        <f>IFERROR(U52-IFERROR(IF(INDEX(Daten_Salden!$A:$ZZ,MATCH($B52&amp;"|Beschäftigung",Daten_Salden!$A$1:$A$331,0),$BK$2)="",NA(),INDEX(Daten_Salden!$A:$ZZ,MATCH($B52&amp;"|Beschäftigung",Daten_Salden!$A$1:$A$331,0),$BK$2)),NA()),"")</f>
        <v>0</v>
      </c>
      <c r="W52" s="49">
        <f>IFERROR(U52-IFERROR(IF(INDEX(Daten_Salden!$A:$ZZ,MATCH($B52&amp;"|Beschäftigung",Daten_Salden!$A$1:$A$331,0),$BK$3)="",NA(),INDEX(Daten_Salden!$A:$ZZ,MATCH($B52&amp;"|Beschäftigung",Daten_Salden!$A$1:$A$331,0),$BK$3)),NA()),"")</f>
        <v>-4</v>
      </c>
      <c r="X52" s="50">
        <f>IFERROR(IF(INDEX(Daten_Risiken!$A:$ZZ,MATCH($B52&amp;"|Energie- und Rohstoffpreise",Daten_Risiken!$A$1:$A$529,0),$BK$4)="","",INDEX(Daten_Risiken!$A:$ZZ,MATCH($B52&amp;"|Energie- und Rohstoffpreise",Daten_Risiken!$A$1:$A$529,0),$BK$4)),"")</f>
        <v>43</v>
      </c>
      <c r="Y52" s="49">
        <f>IFERROR(X52-IFERROR(IF(INDEX(Daten_Risiken!$A:$ZZ,MATCH($B52&amp;"|Energie- und Rohstoffpreise",Daten_Risiken!$A$1:$A$529,0),$BK$5)="",NA(),INDEX(Daten_Risiken!$A:$ZZ,MATCH($B52&amp;"|Energie- und Rohstoffpreise",Daten_Risiken!$A$1:$A$529,0),$BK$5)),NA()),"")</f>
        <v>0</v>
      </c>
      <c r="Z52" s="49">
        <f>IFERROR(X52-IFERROR(IF(INDEX(Daten_Risiken!$A:$ZZ,MATCH($B52&amp;"|Energie- und Rohstoffpreise",Daten_Risiken!$A$1:$A$529,0),$BK$6)="",NA(),INDEX(Daten_Risiken!$A:$ZZ,MATCH($B52&amp;"|Energie- und Rohstoffpreise",Daten_Risiken!$A$1:$A$529,0),$BK$6)),NA()),"")</f>
        <v>19</v>
      </c>
      <c r="AA52" s="50">
        <f>IFERROR(IF(INDEX(Daten_Risiken!$A:$ZZ,MATCH($B52&amp;"|Arbeitskosten",Daten_Risiken!$A$1:$A$529,0),$BK$4)="","",INDEX(Daten_Risiken!$A:$ZZ,MATCH($B52&amp;"|Arbeitskosten",Daten_Risiken!$A$1:$A$529,0),$BK$4)),"")</f>
        <v>47</v>
      </c>
      <c r="AB52" s="49">
        <f>IFERROR(AA52-IFERROR(IF(INDEX(Daten_Risiken!$A:$ZZ,MATCH($B52&amp;"|Arbeitskosten",Daten_Risiken!$A$1:$A$529,0),$BK$5)="",NA(),INDEX(Daten_Risiken!$A:$ZZ,MATCH($B52&amp;"|Arbeitskosten",Daten_Risiken!$A$1:$A$529,0),$BK$5)),NA()),"")</f>
        <v>3</v>
      </c>
      <c r="AC52" s="49">
        <f>IFERROR(AA52-IFERROR(IF(INDEX(Daten_Risiken!$A:$ZZ,MATCH($B52&amp;"|Arbeitskosten",Daten_Risiken!$A$1:$A$529,0),$BK$6)="",NA(),INDEX(Daten_Risiken!$A:$ZZ,MATCH($B52&amp;"|Arbeitskosten",Daten_Risiken!$A$1:$A$529,0),$BK$6)),NA()),"")</f>
        <v>6</v>
      </c>
      <c r="AD52" s="50">
        <f>IFERROR(IF(INDEX(Daten_Risiken!$A:$ZZ,MATCH($B52&amp;"|Inlandsnachfrage",Daten_Risiken!$A$1:$A$529,0),$BK$4)="","",INDEX(Daten_Risiken!$A:$ZZ,MATCH($B52&amp;"|Inlandsnachfrage",Daten_Risiken!$A$1:$A$529,0),$BK$4)),"")</f>
        <v>54</v>
      </c>
      <c r="AE52" s="49">
        <f>IFERROR(AD52-IFERROR(IF(INDEX(Daten_Risiken!$A:$ZZ,MATCH($B52&amp;"|Inlandsnachfrage",Daten_Risiken!$A$1:$A$529,0),$BK$5)="",NA(),INDEX(Daten_Risiken!$A:$ZZ,MATCH($B52&amp;"|Inlandsnachfrage",Daten_Risiken!$A$1:$A$529,0),$BK$5)),NA()),"")</f>
        <v>-18</v>
      </c>
      <c r="AF52" s="49">
        <f>IFERROR(AD52-IFERROR(IF(INDEX(Daten_Risiken!$A:$ZZ,MATCH($B52&amp;"|Inlandsnachfrage",Daten_Risiken!$A$1:$A$529,0),$BK$6)="",NA(),INDEX(Daten_Risiken!$A:$ZZ,MATCH($B52&amp;"|Inlandsnachfrage",Daten_Risiken!$A$1:$A$529,0),$BK$6)),NA()),"")</f>
        <v>-22</v>
      </c>
      <c r="AG52" s="50">
        <f>IFERROR(IF(INDEX(Daten_Risiken!$A:$ZZ,MATCH($B52&amp;"|Wirtschaftspolitische Rahmenbedingungen",Daten_Risiken!$A$1:$A$529,0),$BK$4)="","",INDEX(Daten_Risiken!$A:$ZZ,MATCH($B52&amp;"|Wirtschaftspolitische Rahmenbedingungen",Daten_Risiken!$A$1:$A$529,0),$BK$4)),"")</f>
        <v>52</v>
      </c>
      <c r="AH52" s="49">
        <f>IFERROR(AG52-IFERROR(IF(INDEX(Daten_Risiken!$A:$ZZ,MATCH($B52&amp;"|Wirtschaftspolitische Rahmenbedingungen",Daten_Risiken!$A$1:$A$529,0),$BK$5)="",NA(),INDEX(Daten_Risiken!$A:$ZZ,MATCH($B52&amp;"|Wirtschaftspolitische Rahmenbedingungen",Daten_Risiken!$A$1:$A$529,0),$BK$5)),NA()),"")</f>
        <v>-1</v>
      </c>
      <c r="AI52" s="49">
        <f>IFERROR(AG52-IFERROR(IF(INDEX(Daten_Risiken!$A:$ZZ,MATCH($B52&amp;"|Wirtschaftspolitische Rahmenbedingungen",Daten_Risiken!$A$1:$A$529,0),$BK$6)="",NA(),INDEX(Daten_Risiken!$A:$ZZ,MATCH($B52&amp;"|Wirtschaftspolitische Rahmenbedingungen",Daten_Risiken!$A$1:$A$529,0),$BK$6)),NA()),"")</f>
        <v>8</v>
      </c>
      <c r="AJ52" s="50">
        <f>IFERROR(IF(INDEX(Daten_Risiken!$A:$ZZ,MATCH($B52&amp;"|Fachkräftemangel",Daten_Risiken!$A$1:$A$529,0),$BK$4)="","",INDEX(Daten_Risiken!$A:$ZZ,MATCH($B52&amp;"|Fachkräftemangel",Daten_Risiken!$A$1:$A$529,0),$BK$4)),"")</f>
        <v>11</v>
      </c>
      <c r="AK52" s="49">
        <f>IFERROR(AJ52-IFERROR(IF(INDEX(Daten_Risiken!$A:$ZZ,MATCH($B52&amp;"|Fachkräftemangel",Daten_Risiken!$A$1:$A$529,0),$BK$5)="",NA(),INDEX(Daten_Risiken!$A:$ZZ,MATCH($B52&amp;"|Fachkräftemangel",Daten_Risiken!$A$1:$A$529,0),$BK$5)),NA()),"")</f>
        <v>3</v>
      </c>
      <c r="AL52" s="49">
        <f>IFERROR(AJ52-IFERROR(IF(INDEX(Daten_Risiken!$A:$ZZ,MATCH($B52&amp;"|Fachkräftemangel",Daten_Risiken!$A$1:$A$529,0),$BK$6)="",NA(),INDEX(Daten_Risiken!$A:$ZZ,MATCH($B52&amp;"|Fachkräftemangel",Daten_Risiken!$A$1:$A$529,0),$BK$6)),NA()),"")</f>
        <v>-3</v>
      </c>
      <c r="AM52" s="50" t="str">
        <f>IFERROR(IF(INDEX(Daten_Risiken!$A:$ZZ,MATCH($B52&amp;"|Auslandsnachfrage",Daten_Risiken!$A$1:$A$529,0),$BK$4)="","",INDEX(Daten_Risiken!$A:$ZZ,MATCH($B52&amp;"|Auslandsnachfrage",Daten_Risiken!$A$1:$A$529,0),$BK$4)),"")</f>
        <v/>
      </c>
      <c r="AN52" s="49" t="str">
        <f>IFERROR(AM52-IFERROR(IF(INDEX(Daten_Risiken!$A:$ZZ,MATCH($B52&amp;"|Auslandsnachfrage",Daten_Risiken!$A$1:$A$529,0),$BK$5)="",NA(),INDEX(Daten_Risiken!$A:$ZZ,MATCH($B52&amp;"|Auslandsnachfrage",Daten_Risiken!$A$1:$A$529,0),$BK$5)),NA()),"")</f>
        <v/>
      </c>
      <c r="AO52" s="49" t="str">
        <f>IFERROR(AM52-IFERROR(IF(INDEX(Daten_Risiken!$A:$ZZ,MATCH($B52&amp;"|Auslandsnachfrage",Daten_Risiken!$A$1:$A$529,0),$BK$6)="",NA(),INDEX(Daten_Risiken!$A:$ZZ,MATCH($B52&amp;"|Auslandsnachfrage",Daten_Risiken!$A$1:$A$529,0),$BK$6)),NA()),"")</f>
        <v/>
      </c>
      <c r="AP52" s="50">
        <f>IFERROR(IF(INDEX(Daten_Risiken!$A:$ZZ,MATCH($B52&amp;"|Finanzierung",Daten_Risiken!$A$1:$A$529,0),$BK$4)="","",INDEX(Daten_Risiken!$A:$ZZ,MATCH($B52&amp;"|Finanzierung",Daten_Risiken!$A$1:$A$529,0),$BK$4)),"")</f>
        <v>22</v>
      </c>
      <c r="AQ52" s="49">
        <f>IFERROR(AP52-IFERROR(IF(INDEX(Daten_Risiken!$A:$ZZ,MATCH($B52&amp;"|Finanzierung",Daten_Risiken!$A$1:$A$529,0),$BK$5)="",NA(),INDEX(Daten_Risiken!$A:$ZZ,MATCH($B52&amp;"|Finanzierung",Daten_Risiken!$A$1:$A$529,0),$BK$5)),NA()),"")</f>
        <v>3</v>
      </c>
      <c r="AR52" s="49">
        <f>IFERROR(AP52-IFERROR(IF(INDEX(Daten_Risiken!$A:$ZZ,MATCH($B52&amp;"|Finanzierung",Daten_Risiken!$A$1:$A$529,0),$BK$6)="",NA(),INDEX(Daten_Risiken!$A:$ZZ,MATCH($B52&amp;"|Finanzierung",Daten_Risiken!$A$1:$A$529,0),$BK$6)),NA()),"")</f>
        <v>3</v>
      </c>
      <c r="AS52" s="50" t="str">
        <f>IFERROR(IF(INDEX(Daten_Risiken!$A:$ZZ,MATCH($B52&amp;"|Wechselkurs",Daten_Risiken!$A$1:$A$529,0),$BK$4)="","",INDEX(Daten_Risiken!$A:$ZZ,MATCH($B52&amp;"|Wechselkurs",Daten_Risiken!$A$1:$A$529,0),$BK$4)),"")</f>
        <v/>
      </c>
      <c r="AT52" s="49" t="str">
        <f>IFERROR(AS52-IFERROR(IF(INDEX(Daten_Risiken!$A:$ZZ,MATCH($B52&amp;"|Wechselkurs",Daten_Risiken!$A$1:$A$529,0),$BK$5)="",NA(),INDEX(Daten_Risiken!$A:$ZZ,MATCH($B52&amp;"|Wechselkurs",Daten_Risiken!$A$1:$A$529,0),$BK$5)),NA()),"")</f>
        <v/>
      </c>
      <c r="AU52" s="49" t="str">
        <f>IFERROR(AS52-IFERROR(IF(INDEX(Daten_Risiken!$A:$ZZ,MATCH($B52&amp;"|Wechselkurs",Daten_Risiken!$A$1:$A$529,0),$BK$6)="",NA(),INDEX(Daten_Risiken!$A:$ZZ,MATCH($B52&amp;"|Wechselkurs",Daten_Risiken!$A$1:$A$529,0),$BK$6)),NA()),"")</f>
        <v/>
      </c>
      <c r="AV52" s="50">
        <f>IFERROR(IF(INDEX(Daten_Motive!$A:$ZZ,MATCH($B52&amp;"|Ersatzbedarf",Daten_Motive!$A$1:$A$331,0),$BK$7)="","",INDEX(Daten_Motive!$A:$ZZ,MATCH($B52&amp;"|Ersatzbedarf",Daten_Motive!$A$1:$A$331,0),$BK$7)),"")</f>
        <v>51</v>
      </c>
      <c r="AW52" s="49">
        <f>IFERROR(AV52-IFERROR(IF(INDEX(Daten_Motive!$A:$ZZ,MATCH($B52&amp;"|Ersatzbedarf",Daten_Motive!$A$1:$A$331,0),$BK$8)="",NA(),INDEX(Daten_Motive!$A:$ZZ,MATCH($B52&amp;"|Ersatzbedarf",Daten_Motive!$A$1:$A$331,0),$BK$8)),NA()),"")</f>
        <v>-5</v>
      </c>
      <c r="AX52" s="49">
        <f>IFERROR(AV52-IFERROR(IF(INDEX(Daten_Motive!$A:$ZZ,MATCH($B52&amp;"|Ersatzbedarf",Daten_Motive!$A$1:$A$331,0),$BK$9)="",NA(),INDEX(Daten_Motive!$A:$ZZ,MATCH($B52&amp;"|Ersatzbedarf",Daten_Motive!$A$1:$A$331,0),$BK$9)),NA()),"")</f>
        <v>-15</v>
      </c>
      <c r="AY52" s="50">
        <f>IFERROR(IF(INDEX(Daten_Motive!$A:$ZZ,MATCH($B52&amp;"|Rationalisierung",Daten_Motive!$A$1:$A$331,0),$BK$7)="","",INDEX(Daten_Motive!$A:$ZZ,MATCH($B52&amp;"|Rationalisierung",Daten_Motive!$A$1:$A$331,0),$BK$7)),"")</f>
        <v>26</v>
      </c>
      <c r="AZ52" s="49">
        <f>IFERROR(AY52-IFERROR(IF(INDEX(Daten_Motive!$A:$ZZ,MATCH($B52&amp;"|Rationalisierung",Daten_Motive!$A$1:$A$331,0),$BK$8)="",NA(),INDEX(Daten_Motive!$A:$ZZ,MATCH($B52&amp;"|Rationalisierung",Daten_Motive!$A$1:$A$331,0),$BK$8)),NA()),"")</f>
        <v>3</v>
      </c>
      <c r="BA52" s="49">
        <f>IFERROR(AY52-IFERROR(IF(INDEX(Daten_Motive!$A:$ZZ,MATCH($B52&amp;"|Rationalisierung",Daten_Motive!$A$1:$A$331,0),$BK$9)="",NA(),INDEX(Daten_Motive!$A:$ZZ,MATCH($B52&amp;"|Rationalisierung",Daten_Motive!$A$1:$A$331,0),$BK$9)),NA()),"")</f>
        <v>-2</v>
      </c>
      <c r="BB52" s="50">
        <f>IFERROR(IF(INDEX(Daten_Motive!$A:$ZZ,MATCH($B52&amp;"|Produktinnovation",Daten_Motive!$A$1:$A$331,0),$BK$7)="","",INDEX(Daten_Motive!$A:$ZZ,MATCH($B52&amp;"|Produktinnovation",Daten_Motive!$A$1:$A$331,0),$BK$7)),"")</f>
        <v>49</v>
      </c>
      <c r="BC52" s="49">
        <f>IFERROR(BB52-IFERROR(IF(INDEX(Daten_Motive!$A:$ZZ,MATCH($B52&amp;"|Produktinnovation",Daten_Motive!$A$1:$A$331,0),$BK$8)="",NA(),INDEX(Daten_Motive!$A:$ZZ,MATCH($B52&amp;"|Produktinnovation",Daten_Motive!$A$1:$A$331,0),$BK$8)),NA()),"")</f>
        <v>8</v>
      </c>
      <c r="BD52" s="49">
        <f>IFERROR(BB52-IFERROR(IF(INDEX(Daten_Motive!$A:$ZZ,MATCH($B52&amp;"|Produktinnovation",Daten_Motive!$A$1:$A$331,0),$BK$9)="",NA(),INDEX(Daten_Motive!$A:$ZZ,MATCH($B52&amp;"|Produktinnovation",Daten_Motive!$A$1:$A$331,0),$BK$9)),NA()),"")</f>
        <v>4</v>
      </c>
      <c r="BE52" s="50">
        <f>IFERROR(IF(INDEX(Daten_Motive!$A:$ZZ,MATCH($B52&amp;"|Umweltschutz",Daten_Motive!$A$1:$A$331,0),$BK$7)="","",INDEX(Daten_Motive!$A:$ZZ,MATCH($B52&amp;"|Umweltschutz",Daten_Motive!$A$1:$A$331,0),$BK$7)),"")</f>
        <v>14</v>
      </c>
      <c r="BF52" s="49">
        <f>IFERROR(BE52-IFERROR(IF(INDEX(Daten_Motive!$A:$ZZ,MATCH($B52&amp;"|Umweltschutz",Daten_Motive!$A$1:$A$331,0),$BK$8)="",NA(),INDEX(Daten_Motive!$A:$ZZ,MATCH($B52&amp;"|Umweltschutz",Daten_Motive!$A$1:$A$331,0),$BK$8)),NA()),"")</f>
        <v>1</v>
      </c>
      <c r="BG52" s="49">
        <f>IFERROR(BE52-IFERROR(IF(INDEX(Daten_Motive!$A:$ZZ,MATCH($B52&amp;"|Umweltschutz",Daten_Motive!$A$1:$A$331,0),$BK$9)="",NA(),INDEX(Daten_Motive!$A:$ZZ,MATCH($B52&amp;"|Umweltschutz",Daten_Motive!$A$1:$A$331,0),$BK$9)),NA()),"")</f>
        <v>8</v>
      </c>
      <c r="BH52" s="50">
        <f>IFERROR(IF(INDEX(Daten_Motive!$A:$ZZ,MATCH($B52&amp;"|Kapazitätserweiterung",Daten_Motive!$A$1:$A$331,0),$BK$7)="","",INDEX(Daten_Motive!$A:$ZZ,MATCH($B52&amp;"|Kapazitätserweiterung",Daten_Motive!$A$1:$A$331,0),$BK$7)),"")</f>
        <v>16</v>
      </c>
      <c r="BI52" s="49">
        <f>IFERROR(BH52-IFERROR(IF(INDEX(Daten_Motive!$A:$ZZ,MATCH($B52&amp;"|Kapazitätserweiterung",Daten_Motive!$A$1:$A$331,0),$BK$8)="",NA(),INDEX(Daten_Motive!$A:$ZZ,MATCH($B52&amp;"|Kapazitätserweiterung",Daten_Motive!$A$1:$A$331,0),$BK$8)),NA()),"")</f>
        <v>-1</v>
      </c>
      <c r="BJ52" s="49">
        <f>IFERROR(BH52-IFERROR(IF(INDEX(Daten_Motive!$A:$ZZ,MATCH($B52&amp;"|Kapazitätserweiterung",Daten_Motive!$A$1:$A$331,0),$BK$9)="",NA(),INDEX(Daten_Motive!$A:$ZZ,MATCH($B52&amp;"|Kapazitätserweiterung",Daten_Motive!$A$1:$A$331,0),$BK$9)),NA()),"")</f>
        <v>6</v>
      </c>
    </row>
    <row r="53" spans="1:62" x14ac:dyDescent="0.25">
      <c r="A53" s="42">
        <v>45</v>
      </c>
      <c r="B53" s="52" t="str">
        <f>Listen!A45</f>
        <v>IT-Dienstleistungen</v>
      </c>
      <c r="C53" s="44" t="s">
        <v>4538</v>
      </c>
      <c r="D53" s="44" t="str">
        <f>Listen!B45</f>
        <v>Dienstleister</v>
      </c>
      <c r="E53" s="45">
        <f>IFERROR(IF(INDEX(Daten_Anteile!$A:$ZZ,MATCH($B53&amp;"|Lage|"&amp;$C$3,Daten_Anteile!$A$1:$A$2971,0),5)="","",INDEX(Daten_Anteile!$A:$ZZ,MATCH($B53&amp;"|Lage|"&amp;$C$3,Daten_Anteile!$A$1:$A$2971,0),5)),"")</f>
        <v>863</v>
      </c>
      <c r="F53" s="46">
        <f t="shared" si="3"/>
        <v>107</v>
      </c>
      <c r="G53" s="47">
        <f t="shared" si="4"/>
        <v>2.8</v>
      </c>
      <c r="H53" s="47">
        <f t="shared" si="5"/>
        <v>-1.4</v>
      </c>
      <c r="I53" s="48">
        <f>IFERROR(IF(INDEX(Daten_Salden!$A:$ZZ,MATCH($B53&amp;"|Lage",Daten_Salden!$A$1:$A$331,0),$BK$1)="","",INDEX(Daten_Salden!$A:$ZZ,MATCH($B53&amp;"|Lage",Daten_Salden!$A$1:$A$331,0),$BK$1)),"")</f>
        <v>10</v>
      </c>
      <c r="J53" s="49">
        <f>IFERROR(I53-IFERROR(IF(INDEX(Daten_Salden!$A:$ZZ,MATCH($B53&amp;"|Lage",Daten_Salden!$A$1:$A$331,0),$BK$2)="",NA(),INDEX(Daten_Salden!$A:$ZZ,MATCH($B53&amp;"|Lage",Daten_Salden!$A$1:$A$331,0),$BK$2)),NA()),"")</f>
        <v>-3</v>
      </c>
      <c r="K53" s="49">
        <f>IFERROR(I53-IFERROR(IF(INDEX(Daten_Salden!$A:$ZZ,MATCH($B53&amp;"|Lage",Daten_Salden!$A$1:$A$331,0),$BK$3)="",NA(),INDEX(Daten_Salden!$A:$ZZ,MATCH($B53&amp;"|Lage",Daten_Salden!$A$1:$A$331,0),$BK$3)),NA()),"")</f>
        <v>-2</v>
      </c>
      <c r="L53" s="48">
        <f>IFERROR(IF(INDEX(Daten_Salden!$A:$ZZ,MATCH($B53&amp;"|Erwartungen",Daten_Salden!$A$1:$A$331,0),$BK$1)="","",INDEX(Daten_Salden!$A:$ZZ,MATCH($B53&amp;"|Erwartungen",Daten_Salden!$A$1:$A$331,0),$BK$1)),"")</f>
        <v>4</v>
      </c>
      <c r="M53" s="49">
        <f>IFERROR(L53-IFERROR(IF(INDEX(Daten_Salden!$A:$ZZ,MATCH($B53&amp;"|Erwartungen",Daten_Salden!$A$1:$A$331,0),$BK$2)="",NA(),INDEX(Daten_Salden!$A:$ZZ,MATCH($B53&amp;"|Erwartungen",Daten_Salden!$A$1:$A$331,0),$BK$2)),NA()),"")</f>
        <v>8</v>
      </c>
      <c r="N53" s="49">
        <f>IFERROR(L53-IFERROR(IF(INDEX(Daten_Salden!$A:$ZZ,MATCH($B53&amp;"|Erwartungen",Daten_Salden!$A$1:$A$331,0),$BK$3)="",NA(),INDEX(Daten_Salden!$A:$ZZ,MATCH($B53&amp;"|Erwartungen",Daten_Salden!$A$1:$A$331,0),$BK$3)),NA()),"")</f>
        <v>-1</v>
      </c>
      <c r="O53" s="48" t="str">
        <f>IFERROR(IF(INDEX(Daten_Salden!$A:$ZZ,MATCH($B53&amp;"|Export",Daten_Salden!$A$1:$A$331,0),$BK$1)="","",INDEX(Daten_Salden!$A:$ZZ,MATCH($B53&amp;"|Export",Daten_Salden!$A$1:$A$331,0),$BK$1)),"")</f>
        <v/>
      </c>
      <c r="P53" s="49" t="str">
        <f>IFERROR(O53-IFERROR(IF(INDEX(Daten_Salden!$A:$ZZ,MATCH($B53&amp;"|Export",Daten_Salden!$A$1:$A$331,0),$BK$2)="",NA(),INDEX(Daten_Salden!$A:$ZZ,MATCH($B53&amp;"|Export",Daten_Salden!$A$1:$A$331,0),$BK$2)),NA()),"")</f>
        <v/>
      </c>
      <c r="Q53" s="49" t="str">
        <f>IFERROR(O53-IFERROR(IF(INDEX(Daten_Salden!$A:$ZZ,MATCH($B53&amp;"|Export",Daten_Salden!$A$1:$A$331,0),$BK$3)="",NA(),INDEX(Daten_Salden!$A:$ZZ,MATCH($B53&amp;"|Export",Daten_Salden!$A$1:$A$331,0),$BK$3)),NA()),"")</f>
        <v/>
      </c>
      <c r="R53" s="48">
        <f>IFERROR(IF(INDEX(Daten_Salden!$A:$ZZ,MATCH($B53&amp;"|Investitionen",Daten_Salden!$A$1:$A$331,0),$BK$1)="","",INDEX(Daten_Salden!$A:$ZZ,MATCH($B53&amp;"|Investitionen",Daten_Salden!$A$1:$A$331,0),$BK$1)),"")</f>
        <v>1</v>
      </c>
      <c r="S53" s="49">
        <f>IFERROR(R53-IFERROR(IF(INDEX(Daten_Salden!$A:$ZZ,MATCH($B53&amp;"|Investitionen",Daten_Salden!$A$1:$A$331,0),$BK$2)="",NA(),INDEX(Daten_Salden!$A:$ZZ,MATCH($B53&amp;"|Investitionen",Daten_Salden!$A$1:$A$331,0),$BK$2)),NA()),"")</f>
        <v>4</v>
      </c>
      <c r="T53" s="49">
        <f>IFERROR(R53-IFERROR(IF(INDEX(Daten_Salden!$A:$ZZ,MATCH($B53&amp;"|Investitionen",Daten_Salden!$A$1:$A$331,0),$BK$3)="",NA(),INDEX(Daten_Salden!$A:$ZZ,MATCH($B53&amp;"|Investitionen",Daten_Salden!$A$1:$A$331,0),$BK$3)),NA()),"")</f>
        <v>5</v>
      </c>
      <c r="U53" s="48">
        <f>IFERROR(IF(INDEX(Daten_Salden!$A:$ZZ,MATCH($B53&amp;"|Beschäftigung",Daten_Salden!$A$1:$A$331,0),$BK$1)="","",INDEX(Daten_Salden!$A:$ZZ,MATCH($B53&amp;"|Beschäftigung",Daten_Salden!$A$1:$A$331,0),$BK$1)),"")</f>
        <v>-1</v>
      </c>
      <c r="V53" s="49">
        <f>IFERROR(U53-IFERROR(IF(INDEX(Daten_Salden!$A:$ZZ,MATCH($B53&amp;"|Beschäftigung",Daten_Salden!$A$1:$A$331,0),$BK$2)="",NA(),INDEX(Daten_Salden!$A:$ZZ,MATCH($B53&amp;"|Beschäftigung",Daten_Salden!$A$1:$A$331,0),$BK$2)),NA()),"")</f>
        <v>-4</v>
      </c>
      <c r="W53" s="49">
        <f>IFERROR(U53-IFERROR(IF(INDEX(Daten_Salden!$A:$ZZ,MATCH($B53&amp;"|Beschäftigung",Daten_Salden!$A$1:$A$331,0),$BK$3)="",NA(),INDEX(Daten_Salden!$A:$ZZ,MATCH($B53&amp;"|Beschäftigung",Daten_Salden!$A$1:$A$331,0),$BK$3)),NA()),"")</f>
        <v>-4</v>
      </c>
      <c r="X53" s="50">
        <f>IFERROR(IF(INDEX(Daten_Risiken!$A:$ZZ,MATCH($B53&amp;"|Energie- und Rohstoffpreise",Daten_Risiken!$A$1:$A$529,0),$BK$4)="","",INDEX(Daten_Risiken!$A:$ZZ,MATCH($B53&amp;"|Energie- und Rohstoffpreise",Daten_Risiken!$A$1:$A$529,0),$BK$4)),"")</f>
        <v>31</v>
      </c>
      <c r="Y53" s="49">
        <f>IFERROR(X53-IFERROR(IF(INDEX(Daten_Risiken!$A:$ZZ,MATCH($B53&amp;"|Energie- und Rohstoffpreise",Daten_Risiken!$A$1:$A$529,0),$BK$5)="",NA(),INDEX(Daten_Risiken!$A:$ZZ,MATCH($B53&amp;"|Energie- und Rohstoffpreise",Daten_Risiken!$A$1:$A$529,0),$BK$5)),NA()),"")</f>
        <v>-1</v>
      </c>
      <c r="Z53" s="49">
        <f>IFERROR(X53-IFERROR(IF(INDEX(Daten_Risiken!$A:$ZZ,MATCH($B53&amp;"|Energie- und Rohstoffpreise",Daten_Risiken!$A$1:$A$529,0),$BK$6)="",NA(),INDEX(Daten_Risiken!$A:$ZZ,MATCH($B53&amp;"|Energie- und Rohstoffpreise",Daten_Risiken!$A$1:$A$529,0),$BK$6)),NA()),"")</f>
        <v>12</v>
      </c>
      <c r="AA53" s="50">
        <f>IFERROR(IF(INDEX(Daten_Risiken!$A:$ZZ,MATCH($B53&amp;"|Arbeitskosten",Daten_Risiken!$A$1:$A$529,0),$BK$4)="","",INDEX(Daten_Risiken!$A:$ZZ,MATCH($B53&amp;"|Arbeitskosten",Daten_Risiken!$A$1:$A$529,0),$BK$4)),"")</f>
        <v>44</v>
      </c>
      <c r="AB53" s="49">
        <f>IFERROR(AA53-IFERROR(IF(INDEX(Daten_Risiken!$A:$ZZ,MATCH($B53&amp;"|Arbeitskosten",Daten_Risiken!$A$1:$A$529,0),$BK$5)="",NA(),INDEX(Daten_Risiken!$A:$ZZ,MATCH($B53&amp;"|Arbeitskosten",Daten_Risiken!$A$1:$A$529,0),$BK$5)),NA()),"")</f>
        <v>-3</v>
      </c>
      <c r="AC53" s="49">
        <f>IFERROR(AA53-IFERROR(IF(INDEX(Daten_Risiken!$A:$ZZ,MATCH($B53&amp;"|Arbeitskosten",Daten_Risiken!$A$1:$A$529,0),$BK$6)="",NA(),INDEX(Daten_Risiken!$A:$ZZ,MATCH($B53&amp;"|Arbeitskosten",Daten_Risiken!$A$1:$A$529,0),$BK$6)),NA()),"")</f>
        <v>-1</v>
      </c>
      <c r="AD53" s="50">
        <f>IFERROR(IF(INDEX(Daten_Risiken!$A:$ZZ,MATCH($B53&amp;"|Inlandsnachfrage",Daten_Risiken!$A$1:$A$529,0),$BK$4)="","",INDEX(Daten_Risiken!$A:$ZZ,MATCH($B53&amp;"|Inlandsnachfrage",Daten_Risiken!$A$1:$A$529,0),$BK$4)),"")</f>
        <v>66</v>
      </c>
      <c r="AE53" s="49">
        <f>IFERROR(AD53-IFERROR(IF(INDEX(Daten_Risiken!$A:$ZZ,MATCH($B53&amp;"|Inlandsnachfrage",Daten_Risiken!$A$1:$A$529,0),$BK$5)="",NA(),INDEX(Daten_Risiken!$A:$ZZ,MATCH($B53&amp;"|Inlandsnachfrage",Daten_Risiken!$A$1:$A$529,0),$BK$5)),NA()),"")</f>
        <v>-5</v>
      </c>
      <c r="AF53" s="49">
        <f>IFERROR(AD53-IFERROR(IF(INDEX(Daten_Risiken!$A:$ZZ,MATCH($B53&amp;"|Inlandsnachfrage",Daten_Risiken!$A$1:$A$529,0),$BK$6)="",NA(),INDEX(Daten_Risiken!$A:$ZZ,MATCH($B53&amp;"|Inlandsnachfrage",Daten_Risiken!$A$1:$A$529,0),$BK$6)),NA()),"")</f>
        <v>-5</v>
      </c>
      <c r="AG53" s="50">
        <f>IFERROR(IF(INDEX(Daten_Risiken!$A:$ZZ,MATCH($B53&amp;"|Wirtschaftspolitische Rahmenbedingungen",Daten_Risiken!$A$1:$A$529,0),$BK$4)="","",INDEX(Daten_Risiken!$A:$ZZ,MATCH($B53&amp;"|Wirtschaftspolitische Rahmenbedingungen",Daten_Risiken!$A$1:$A$529,0),$BK$4)),"")</f>
        <v>53</v>
      </c>
      <c r="AH53" s="49">
        <f>IFERROR(AG53-IFERROR(IF(INDEX(Daten_Risiken!$A:$ZZ,MATCH($B53&amp;"|Wirtschaftspolitische Rahmenbedingungen",Daten_Risiken!$A$1:$A$529,0),$BK$5)="",NA(),INDEX(Daten_Risiken!$A:$ZZ,MATCH($B53&amp;"|Wirtschaftspolitische Rahmenbedingungen",Daten_Risiken!$A$1:$A$529,0),$BK$5)),NA()),"")</f>
        <v>3</v>
      </c>
      <c r="AI53" s="49">
        <f>IFERROR(AG53-IFERROR(IF(INDEX(Daten_Risiken!$A:$ZZ,MATCH($B53&amp;"|Wirtschaftspolitische Rahmenbedingungen",Daten_Risiken!$A$1:$A$529,0),$BK$6)="",NA(),INDEX(Daten_Risiken!$A:$ZZ,MATCH($B53&amp;"|Wirtschaftspolitische Rahmenbedingungen",Daten_Risiken!$A$1:$A$529,0),$BK$6)),NA()),"")</f>
        <v>2</v>
      </c>
      <c r="AJ53" s="50">
        <f>IFERROR(IF(INDEX(Daten_Risiken!$A:$ZZ,MATCH($B53&amp;"|Fachkräftemangel",Daten_Risiken!$A$1:$A$529,0),$BK$4)="","",INDEX(Daten_Risiken!$A:$ZZ,MATCH($B53&amp;"|Fachkräftemangel",Daten_Risiken!$A$1:$A$529,0),$BK$4)),"")</f>
        <v>21</v>
      </c>
      <c r="AK53" s="49">
        <f>IFERROR(AJ53-IFERROR(IF(INDEX(Daten_Risiken!$A:$ZZ,MATCH($B53&amp;"|Fachkräftemangel",Daten_Risiken!$A$1:$A$529,0),$BK$5)="",NA(),INDEX(Daten_Risiken!$A:$ZZ,MATCH($B53&amp;"|Fachkräftemangel",Daten_Risiken!$A$1:$A$529,0),$BK$5)),NA()),"")</f>
        <v>-5</v>
      </c>
      <c r="AL53" s="49">
        <f>IFERROR(AJ53-IFERROR(IF(INDEX(Daten_Risiken!$A:$ZZ,MATCH($B53&amp;"|Fachkräftemangel",Daten_Risiken!$A$1:$A$529,0),$BK$6)="",NA(),INDEX(Daten_Risiken!$A:$ZZ,MATCH($B53&amp;"|Fachkräftemangel",Daten_Risiken!$A$1:$A$529,0),$BK$6)),NA()),"")</f>
        <v>-10</v>
      </c>
      <c r="AM53" s="50" t="str">
        <f>IFERROR(IF(INDEX(Daten_Risiken!$A:$ZZ,MATCH($B53&amp;"|Auslandsnachfrage",Daten_Risiken!$A$1:$A$529,0),$BK$4)="","",INDEX(Daten_Risiken!$A:$ZZ,MATCH($B53&amp;"|Auslandsnachfrage",Daten_Risiken!$A$1:$A$529,0),$BK$4)),"")</f>
        <v/>
      </c>
      <c r="AN53" s="49" t="str">
        <f>IFERROR(AM53-IFERROR(IF(INDEX(Daten_Risiken!$A:$ZZ,MATCH($B53&amp;"|Auslandsnachfrage",Daten_Risiken!$A$1:$A$529,0),$BK$5)="",NA(),INDEX(Daten_Risiken!$A:$ZZ,MATCH($B53&amp;"|Auslandsnachfrage",Daten_Risiken!$A$1:$A$529,0),$BK$5)),NA()),"")</f>
        <v/>
      </c>
      <c r="AO53" s="49" t="str">
        <f>IFERROR(AM53-IFERROR(IF(INDEX(Daten_Risiken!$A:$ZZ,MATCH($B53&amp;"|Auslandsnachfrage",Daten_Risiken!$A$1:$A$529,0),$BK$6)="",NA(),INDEX(Daten_Risiken!$A:$ZZ,MATCH($B53&amp;"|Auslandsnachfrage",Daten_Risiken!$A$1:$A$529,0),$BK$6)),NA()),"")</f>
        <v/>
      </c>
      <c r="AP53" s="50">
        <f>IFERROR(IF(INDEX(Daten_Risiken!$A:$ZZ,MATCH($B53&amp;"|Finanzierung",Daten_Risiken!$A$1:$A$529,0),$BK$4)="","",INDEX(Daten_Risiken!$A:$ZZ,MATCH($B53&amp;"|Finanzierung",Daten_Risiken!$A$1:$A$529,0),$BK$4)),"")</f>
        <v>10</v>
      </c>
      <c r="AQ53" s="49">
        <f>IFERROR(AP53-IFERROR(IF(INDEX(Daten_Risiken!$A:$ZZ,MATCH($B53&amp;"|Finanzierung",Daten_Risiken!$A$1:$A$529,0),$BK$5)="",NA(),INDEX(Daten_Risiken!$A:$ZZ,MATCH($B53&amp;"|Finanzierung",Daten_Risiken!$A$1:$A$529,0),$BK$5)),NA()),"")</f>
        <v>0</v>
      </c>
      <c r="AR53" s="49">
        <f>IFERROR(AP53-IFERROR(IF(INDEX(Daten_Risiken!$A:$ZZ,MATCH($B53&amp;"|Finanzierung",Daten_Risiken!$A$1:$A$529,0),$BK$6)="",NA(),INDEX(Daten_Risiken!$A:$ZZ,MATCH($B53&amp;"|Finanzierung",Daten_Risiken!$A$1:$A$529,0),$BK$6)),NA()),"")</f>
        <v>1</v>
      </c>
      <c r="AS53" s="50" t="str">
        <f>IFERROR(IF(INDEX(Daten_Risiken!$A:$ZZ,MATCH($B53&amp;"|Wechselkurs",Daten_Risiken!$A$1:$A$529,0),$BK$4)="","",INDEX(Daten_Risiken!$A:$ZZ,MATCH($B53&amp;"|Wechselkurs",Daten_Risiken!$A$1:$A$529,0),$BK$4)),"")</f>
        <v/>
      </c>
      <c r="AT53" s="49" t="str">
        <f>IFERROR(AS53-IFERROR(IF(INDEX(Daten_Risiken!$A:$ZZ,MATCH($B53&amp;"|Wechselkurs",Daten_Risiken!$A$1:$A$529,0),$BK$5)="",NA(),INDEX(Daten_Risiken!$A:$ZZ,MATCH($B53&amp;"|Wechselkurs",Daten_Risiken!$A$1:$A$529,0),$BK$5)),NA()),"")</f>
        <v/>
      </c>
      <c r="AU53" s="49" t="str">
        <f>IFERROR(AS53-IFERROR(IF(INDEX(Daten_Risiken!$A:$ZZ,MATCH($B53&amp;"|Wechselkurs",Daten_Risiken!$A$1:$A$529,0),$BK$6)="",NA(),INDEX(Daten_Risiken!$A:$ZZ,MATCH($B53&amp;"|Wechselkurs",Daten_Risiken!$A$1:$A$529,0),$BK$6)),NA()),"")</f>
        <v/>
      </c>
      <c r="AV53" s="50">
        <f>IFERROR(IF(INDEX(Daten_Motive!$A:$ZZ,MATCH($B53&amp;"|Ersatzbedarf",Daten_Motive!$A$1:$A$331,0),$BK$7)="","",INDEX(Daten_Motive!$A:$ZZ,MATCH($B53&amp;"|Ersatzbedarf",Daten_Motive!$A$1:$A$331,0),$BK$7)),"")</f>
        <v>47</v>
      </c>
      <c r="AW53" s="49">
        <f>IFERROR(AV53-IFERROR(IF(INDEX(Daten_Motive!$A:$ZZ,MATCH($B53&amp;"|Ersatzbedarf",Daten_Motive!$A$1:$A$331,0),$BK$8)="",NA(),INDEX(Daten_Motive!$A:$ZZ,MATCH($B53&amp;"|Ersatzbedarf",Daten_Motive!$A$1:$A$331,0),$BK$8)),NA()),"")</f>
        <v>-1</v>
      </c>
      <c r="AX53" s="49">
        <f>IFERROR(AV53-IFERROR(IF(INDEX(Daten_Motive!$A:$ZZ,MATCH($B53&amp;"|Ersatzbedarf",Daten_Motive!$A$1:$A$331,0),$BK$9)="",NA(),INDEX(Daten_Motive!$A:$ZZ,MATCH($B53&amp;"|Ersatzbedarf",Daten_Motive!$A$1:$A$331,0),$BK$9)),NA()),"")</f>
        <v>2</v>
      </c>
      <c r="AY53" s="50">
        <f>IFERROR(IF(INDEX(Daten_Motive!$A:$ZZ,MATCH($B53&amp;"|Rationalisierung",Daten_Motive!$A$1:$A$331,0),$BK$7)="","",INDEX(Daten_Motive!$A:$ZZ,MATCH($B53&amp;"|Rationalisierung",Daten_Motive!$A$1:$A$331,0),$BK$7)),"")</f>
        <v>31</v>
      </c>
      <c r="AZ53" s="49">
        <f>IFERROR(AY53-IFERROR(IF(INDEX(Daten_Motive!$A:$ZZ,MATCH($B53&amp;"|Rationalisierung",Daten_Motive!$A$1:$A$331,0),$BK$8)="",NA(),INDEX(Daten_Motive!$A:$ZZ,MATCH($B53&amp;"|Rationalisierung",Daten_Motive!$A$1:$A$331,0),$BK$8)),NA()),"")</f>
        <v>-1</v>
      </c>
      <c r="BA53" s="49">
        <f>IFERROR(AY53-IFERROR(IF(INDEX(Daten_Motive!$A:$ZZ,MATCH($B53&amp;"|Rationalisierung",Daten_Motive!$A$1:$A$331,0),$BK$9)="",NA(),INDEX(Daten_Motive!$A:$ZZ,MATCH($B53&amp;"|Rationalisierung",Daten_Motive!$A$1:$A$331,0),$BK$9)),NA()),"")</f>
        <v>4</v>
      </c>
      <c r="BB53" s="50">
        <f>IFERROR(IF(INDEX(Daten_Motive!$A:$ZZ,MATCH($B53&amp;"|Produktinnovation",Daten_Motive!$A$1:$A$331,0),$BK$7)="","",INDEX(Daten_Motive!$A:$ZZ,MATCH($B53&amp;"|Produktinnovation",Daten_Motive!$A$1:$A$331,0),$BK$7)),"")</f>
        <v>55</v>
      </c>
      <c r="BC53" s="49">
        <f>IFERROR(BB53-IFERROR(IF(INDEX(Daten_Motive!$A:$ZZ,MATCH($B53&amp;"|Produktinnovation",Daten_Motive!$A$1:$A$331,0),$BK$8)="",NA(),INDEX(Daten_Motive!$A:$ZZ,MATCH($B53&amp;"|Produktinnovation",Daten_Motive!$A$1:$A$331,0),$BK$8)),NA()),"")</f>
        <v>-1</v>
      </c>
      <c r="BD53" s="49">
        <f>IFERROR(BB53-IFERROR(IF(INDEX(Daten_Motive!$A:$ZZ,MATCH($B53&amp;"|Produktinnovation",Daten_Motive!$A$1:$A$331,0),$BK$9)="",NA(),INDEX(Daten_Motive!$A:$ZZ,MATCH($B53&amp;"|Produktinnovation",Daten_Motive!$A$1:$A$331,0),$BK$9)),NA()),"")</f>
        <v>4</v>
      </c>
      <c r="BE53" s="50">
        <f>IFERROR(IF(INDEX(Daten_Motive!$A:$ZZ,MATCH($B53&amp;"|Umweltschutz",Daten_Motive!$A$1:$A$331,0),$BK$7)="","",INDEX(Daten_Motive!$A:$ZZ,MATCH($B53&amp;"|Umweltschutz",Daten_Motive!$A$1:$A$331,0),$BK$7)),"")</f>
        <v>7</v>
      </c>
      <c r="BF53" s="49">
        <f>IFERROR(BE53-IFERROR(IF(INDEX(Daten_Motive!$A:$ZZ,MATCH($B53&amp;"|Umweltschutz",Daten_Motive!$A$1:$A$331,0),$BK$8)="",NA(),INDEX(Daten_Motive!$A:$ZZ,MATCH($B53&amp;"|Umweltschutz",Daten_Motive!$A$1:$A$331,0),$BK$8)),NA()),"")</f>
        <v>1</v>
      </c>
      <c r="BG53" s="49">
        <f>IFERROR(BE53-IFERROR(IF(INDEX(Daten_Motive!$A:$ZZ,MATCH($B53&amp;"|Umweltschutz",Daten_Motive!$A$1:$A$331,0),$BK$9)="",NA(),INDEX(Daten_Motive!$A:$ZZ,MATCH($B53&amp;"|Umweltschutz",Daten_Motive!$A$1:$A$331,0),$BK$9)),NA()),"")</f>
        <v>0</v>
      </c>
      <c r="BH53" s="50">
        <f>IFERROR(IF(INDEX(Daten_Motive!$A:$ZZ,MATCH($B53&amp;"|Kapazitätserweiterung",Daten_Motive!$A$1:$A$331,0),$BK$7)="","",INDEX(Daten_Motive!$A:$ZZ,MATCH($B53&amp;"|Kapazitätserweiterung",Daten_Motive!$A$1:$A$331,0),$BK$7)),"")</f>
        <v>23</v>
      </c>
      <c r="BI53" s="49">
        <f>IFERROR(BH53-IFERROR(IF(INDEX(Daten_Motive!$A:$ZZ,MATCH($B53&amp;"|Kapazitätserweiterung",Daten_Motive!$A$1:$A$331,0),$BK$8)="",NA(),INDEX(Daten_Motive!$A:$ZZ,MATCH($B53&amp;"|Kapazitätserweiterung",Daten_Motive!$A$1:$A$331,0),$BK$8)),NA()),"")</f>
        <v>2</v>
      </c>
      <c r="BJ53" s="49">
        <f>IFERROR(BH53-IFERROR(IF(INDEX(Daten_Motive!$A:$ZZ,MATCH($B53&amp;"|Kapazitätserweiterung",Daten_Motive!$A$1:$A$331,0),$BK$9)="",NA(),INDEX(Daten_Motive!$A:$ZZ,MATCH($B53&amp;"|Kapazitätserweiterung",Daten_Motive!$A$1:$A$331,0),$BK$9)),NA()),"")</f>
        <v>-1</v>
      </c>
    </row>
    <row r="54" spans="1:62" x14ac:dyDescent="0.25">
      <c r="A54" s="42">
        <v>46</v>
      </c>
      <c r="B54" s="52" t="str">
        <f>Listen!A46</f>
        <v>Informationsdienstleistungen</v>
      </c>
      <c r="C54" s="44" t="s">
        <v>4539</v>
      </c>
      <c r="D54" s="44" t="str">
        <f>Listen!B46</f>
        <v>Dienstleister</v>
      </c>
      <c r="E54" s="45">
        <f>IFERROR(IF(INDEX(Daten_Anteile!$A:$ZZ,MATCH($B54&amp;"|Lage|"&amp;$C$3,Daten_Anteile!$A$1:$A$2971,0),5)="","",INDEX(Daten_Anteile!$A:$ZZ,MATCH($B54&amp;"|Lage|"&amp;$C$3,Daten_Anteile!$A$1:$A$2971,0),5)),"")</f>
        <v>67</v>
      </c>
      <c r="F54" s="46">
        <f t="shared" si="3"/>
        <v>94</v>
      </c>
      <c r="G54" s="47">
        <f t="shared" si="4"/>
        <v>-4.4000000000000004</v>
      </c>
      <c r="H54" s="47">
        <f t="shared" si="5"/>
        <v>-12.5</v>
      </c>
      <c r="I54" s="48">
        <f>IFERROR(IF(INDEX(Daten_Salden!$A:$ZZ,MATCH($B54&amp;"|Lage",Daten_Salden!$A$1:$A$331,0),$BK$1)="","",INDEX(Daten_Salden!$A:$ZZ,MATCH($B54&amp;"|Lage",Daten_Salden!$A$1:$A$331,0),$BK$1)),"")</f>
        <v>-6</v>
      </c>
      <c r="J54" s="49">
        <f>IFERROR(I54-IFERROR(IF(INDEX(Daten_Salden!$A:$ZZ,MATCH($B54&amp;"|Lage",Daten_Salden!$A$1:$A$331,0),$BK$2)="",NA(),INDEX(Daten_Salden!$A:$ZZ,MATCH($B54&amp;"|Lage",Daten_Salden!$A$1:$A$331,0),$BK$2)),NA()),"")</f>
        <v>-27</v>
      </c>
      <c r="K54" s="49">
        <f>IFERROR(I54-IFERROR(IF(INDEX(Daten_Salden!$A:$ZZ,MATCH($B54&amp;"|Lage",Daten_Salden!$A$1:$A$331,0),$BK$3)="",NA(),INDEX(Daten_Salden!$A:$ZZ,MATCH($B54&amp;"|Lage",Daten_Salden!$A$1:$A$331,0),$BK$3)),NA()),"")</f>
        <v>-11</v>
      </c>
      <c r="L54" s="48">
        <f>IFERROR(IF(INDEX(Daten_Salden!$A:$ZZ,MATCH($B54&amp;"|Erwartungen",Daten_Salden!$A$1:$A$331,0),$BK$1)="","",INDEX(Daten_Salden!$A:$ZZ,MATCH($B54&amp;"|Erwartungen",Daten_Salden!$A$1:$A$331,0),$BK$1)),"")</f>
        <v>-6</v>
      </c>
      <c r="M54" s="49">
        <f>IFERROR(L54-IFERROR(IF(INDEX(Daten_Salden!$A:$ZZ,MATCH($B54&amp;"|Erwartungen",Daten_Salden!$A$1:$A$331,0),$BK$2)="",NA(),INDEX(Daten_Salden!$A:$ZZ,MATCH($B54&amp;"|Erwartungen",Daten_Salden!$A$1:$A$331,0),$BK$2)),NA()),"")</f>
        <v>14</v>
      </c>
      <c r="N54" s="49">
        <f>IFERROR(L54-IFERROR(IF(INDEX(Daten_Salden!$A:$ZZ,MATCH($B54&amp;"|Erwartungen",Daten_Salden!$A$1:$A$331,0),$BK$3)="",NA(),INDEX(Daten_Salden!$A:$ZZ,MATCH($B54&amp;"|Erwartungen",Daten_Salden!$A$1:$A$331,0),$BK$3)),NA()),"")</f>
        <v>-14</v>
      </c>
      <c r="O54" s="48" t="str">
        <f>IFERROR(IF(INDEX(Daten_Salden!$A:$ZZ,MATCH($B54&amp;"|Export",Daten_Salden!$A$1:$A$331,0),$BK$1)="","",INDEX(Daten_Salden!$A:$ZZ,MATCH($B54&amp;"|Export",Daten_Salden!$A$1:$A$331,0),$BK$1)),"")</f>
        <v/>
      </c>
      <c r="P54" s="49" t="str">
        <f>IFERROR(O54-IFERROR(IF(INDEX(Daten_Salden!$A:$ZZ,MATCH($B54&amp;"|Export",Daten_Salden!$A$1:$A$331,0),$BK$2)="",NA(),INDEX(Daten_Salden!$A:$ZZ,MATCH($B54&amp;"|Export",Daten_Salden!$A$1:$A$331,0),$BK$2)),NA()),"")</f>
        <v/>
      </c>
      <c r="Q54" s="49" t="str">
        <f>IFERROR(O54-IFERROR(IF(INDEX(Daten_Salden!$A:$ZZ,MATCH($B54&amp;"|Export",Daten_Salden!$A$1:$A$331,0),$BK$3)="",NA(),INDEX(Daten_Salden!$A:$ZZ,MATCH($B54&amp;"|Export",Daten_Salden!$A$1:$A$331,0),$BK$3)),NA()),"")</f>
        <v/>
      </c>
      <c r="R54" s="48">
        <f>IFERROR(IF(INDEX(Daten_Salden!$A:$ZZ,MATCH($B54&amp;"|Investitionen",Daten_Salden!$A$1:$A$331,0),$BK$1)="","",INDEX(Daten_Salden!$A:$ZZ,MATCH($B54&amp;"|Investitionen",Daten_Salden!$A$1:$A$331,0),$BK$1)),"")</f>
        <v>0</v>
      </c>
      <c r="S54" s="49">
        <f>IFERROR(R54-IFERROR(IF(INDEX(Daten_Salden!$A:$ZZ,MATCH($B54&amp;"|Investitionen",Daten_Salden!$A$1:$A$331,0),$BK$2)="",NA(),INDEX(Daten_Salden!$A:$ZZ,MATCH($B54&amp;"|Investitionen",Daten_Salden!$A$1:$A$331,0),$BK$2)),NA()),"")</f>
        <v>-1</v>
      </c>
      <c r="T54" s="49">
        <f>IFERROR(R54-IFERROR(IF(INDEX(Daten_Salden!$A:$ZZ,MATCH($B54&amp;"|Investitionen",Daten_Salden!$A$1:$A$331,0),$BK$3)="",NA(),INDEX(Daten_Salden!$A:$ZZ,MATCH($B54&amp;"|Investitionen",Daten_Salden!$A$1:$A$331,0),$BK$3)),NA()),"")</f>
        <v>-2</v>
      </c>
      <c r="U54" s="48">
        <f>IFERROR(IF(INDEX(Daten_Salden!$A:$ZZ,MATCH($B54&amp;"|Beschäftigung",Daten_Salden!$A$1:$A$331,0),$BK$1)="","",INDEX(Daten_Salden!$A:$ZZ,MATCH($B54&amp;"|Beschäftigung",Daten_Salden!$A$1:$A$331,0),$BK$1)),"")</f>
        <v>-13</v>
      </c>
      <c r="V54" s="49">
        <f>IFERROR(U54-IFERROR(IF(INDEX(Daten_Salden!$A:$ZZ,MATCH($B54&amp;"|Beschäftigung",Daten_Salden!$A$1:$A$331,0),$BK$2)="",NA(),INDEX(Daten_Salden!$A:$ZZ,MATCH($B54&amp;"|Beschäftigung",Daten_Salden!$A$1:$A$331,0),$BK$2)),NA()),"")</f>
        <v>-9</v>
      </c>
      <c r="W54" s="49">
        <f>IFERROR(U54-IFERROR(IF(INDEX(Daten_Salden!$A:$ZZ,MATCH($B54&amp;"|Beschäftigung",Daten_Salden!$A$1:$A$331,0),$BK$3)="",NA(),INDEX(Daten_Salden!$A:$ZZ,MATCH($B54&amp;"|Beschäftigung",Daten_Salden!$A$1:$A$331,0),$BK$3)),NA()),"")</f>
        <v>-13</v>
      </c>
      <c r="X54" s="50">
        <f>IFERROR(IF(INDEX(Daten_Risiken!$A:$ZZ,MATCH($B54&amp;"|Energie- und Rohstoffpreise",Daten_Risiken!$A$1:$A$529,0),$BK$4)="","",INDEX(Daten_Risiken!$A:$ZZ,MATCH($B54&amp;"|Energie- und Rohstoffpreise",Daten_Risiken!$A$1:$A$529,0),$BK$4)),"")</f>
        <v>41</v>
      </c>
      <c r="Y54" s="49">
        <f>IFERROR(X54-IFERROR(IF(INDEX(Daten_Risiken!$A:$ZZ,MATCH($B54&amp;"|Energie- und Rohstoffpreise",Daten_Risiken!$A$1:$A$529,0),$BK$5)="",NA(),INDEX(Daten_Risiken!$A:$ZZ,MATCH($B54&amp;"|Energie- und Rohstoffpreise",Daten_Risiken!$A$1:$A$529,0),$BK$5)),NA()),"")</f>
        <v>5</v>
      </c>
      <c r="Z54" s="49">
        <f>IFERROR(X54-IFERROR(IF(INDEX(Daten_Risiken!$A:$ZZ,MATCH($B54&amp;"|Energie- und Rohstoffpreise",Daten_Risiken!$A$1:$A$529,0),$BK$6)="",NA(),INDEX(Daten_Risiken!$A:$ZZ,MATCH($B54&amp;"|Energie- und Rohstoffpreise",Daten_Risiken!$A$1:$A$529,0),$BK$6)),NA()),"")</f>
        <v>14</v>
      </c>
      <c r="AA54" s="50">
        <f>IFERROR(IF(INDEX(Daten_Risiken!$A:$ZZ,MATCH($B54&amp;"|Arbeitskosten",Daten_Risiken!$A$1:$A$529,0),$BK$4)="","",INDEX(Daten_Risiken!$A:$ZZ,MATCH($B54&amp;"|Arbeitskosten",Daten_Risiken!$A$1:$A$529,0),$BK$4)),"")</f>
        <v>31</v>
      </c>
      <c r="AB54" s="49">
        <f>IFERROR(AA54-IFERROR(IF(INDEX(Daten_Risiken!$A:$ZZ,MATCH($B54&amp;"|Arbeitskosten",Daten_Risiken!$A$1:$A$529,0),$BK$5)="",NA(),INDEX(Daten_Risiken!$A:$ZZ,MATCH($B54&amp;"|Arbeitskosten",Daten_Risiken!$A$1:$A$529,0),$BK$5)),NA()),"")</f>
        <v>-14</v>
      </c>
      <c r="AC54" s="49">
        <f>IFERROR(AA54-IFERROR(IF(INDEX(Daten_Risiken!$A:$ZZ,MATCH($B54&amp;"|Arbeitskosten",Daten_Risiken!$A$1:$A$529,0),$BK$6)="",NA(),INDEX(Daten_Risiken!$A:$ZZ,MATCH($B54&amp;"|Arbeitskosten",Daten_Risiken!$A$1:$A$529,0),$BK$6)),NA()),"")</f>
        <v>-8</v>
      </c>
      <c r="AD54" s="50">
        <f>IFERROR(IF(INDEX(Daten_Risiken!$A:$ZZ,MATCH($B54&amp;"|Inlandsnachfrage",Daten_Risiken!$A$1:$A$529,0),$BK$4)="","",INDEX(Daten_Risiken!$A:$ZZ,MATCH($B54&amp;"|Inlandsnachfrage",Daten_Risiken!$A$1:$A$529,0),$BK$4)),"")</f>
        <v>70</v>
      </c>
      <c r="AE54" s="49">
        <f>IFERROR(AD54-IFERROR(IF(INDEX(Daten_Risiken!$A:$ZZ,MATCH($B54&amp;"|Inlandsnachfrage",Daten_Risiken!$A$1:$A$529,0),$BK$5)="",NA(),INDEX(Daten_Risiken!$A:$ZZ,MATCH($B54&amp;"|Inlandsnachfrage",Daten_Risiken!$A$1:$A$529,0),$BK$5)),NA()),"")</f>
        <v>6</v>
      </c>
      <c r="AF54" s="49">
        <f>IFERROR(AD54-IFERROR(IF(INDEX(Daten_Risiken!$A:$ZZ,MATCH($B54&amp;"|Inlandsnachfrage",Daten_Risiken!$A$1:$A$529,0),$BK$6)="",NA(),INDEX(Daten_Risiken!$A:$ZZ,MATCH($B54&amp;"|Inlandsnachfrage",Daten_Risiken!$A$1:$A$529,0),$BK$6)),NA()),"")</f>
        <v>4</v>
      </c>
      <c r="AG54" s="50">
        <f>IFERROR(IF(INDEX(Daten_Risiken!$A:$ZZ,MATCH($B54&amp;"|Wirtschaftspolitische Rahmenbedingungen",Daten_Risiken!$A$1:$A$529,0),$BK$4)="","",INDEX(Daten_Risiken!$A:$ZZ,MATCH($B54&amp;"|Wirtschaftspolitische Rahmenbedingungen",Daten_Risiken!$A$1:$A$529,0),$BK$4)),"")</f>
        <v>48</v>
      </c>
      <c r="AH54" s="49">
        <f>IFERROR(AG54-IFERROR(IF(INDEX(Daten_Risiken!$A:$ZZ,MATCH($B54&amp;"|Wirtschaftspolitische Rahmenbedingungen",Daten_Risiken!$A$1:$A$529,0),$BK$5)="",NA(),INDEX(Daten_Risiken!$A:$ZZ,MATCH($B54&amp;"|Wirtschaftspolitische Rahmenbedingungen",Daten_Risiken!$A$1:$A$529,0),$BK$5)),NA()),"")</f>
        <v>-4</v>
      </c>
      <c r="AI54" s="49">
        <f>IFERROR(AG54-IFERROR(IF(INDEX(Daten_Risiken!$A:$ZZ,MATCH($B54&amp;"|Wirtschaftspolitische Rahmenbedingungen",Daten_Risiken!$A$1:$A$529,0),$BK$6)="",NA(),INDEX(Daten_Risiken!$A:$ZZ,MATCH($B54&amp;"|Wirtschaftspolitische Rahmenbedingungen",Daten_Risiken!$A$1:$A$529,0),$BK$6)),NA()),"")</f>
        <v>-9</v>
      </c>
      <c r="AJ54" s="50">
        <f>IFERROR(IF(INDEX(Daten_Risiken!$A:$ZZ,MATCH($B54&amp;"|Fachkräftemangel",Daten_Risiken!$A$1:$A$529,0),$BK$4)="","",INDEX(Daten_Risiken!$A:$ZZ,MATCH($B54&amp;"|Fachkräftemangel",Daten_Risiken!$A$1:$A$529,0),$BK$4)),"")</f>
        <v>14</v>
      </c>
      <c r="AK54" s="49">
        <f>IFERROR(AJ54-IFERROR(IF(INDEX(Daten_Risiken!$A:$ZZ,MATCH($B54&amp;"|Fachkräftemangel",Daten_Risiken!$A$1:$A$529,0),$BK$5)="",NA(),INDEX(Daten_Risiken!$A:$ZZ,MATCH($B54&amp;"|Fachkräftemangel",Daten_Risiken!$A$1:$A$529,0),$BK$5)),NA()),"")</f>
        <v>-13</v>
      </c>
      <c r="AL54" s="49">
        <f>IFERROR(AJ54-IFERROR(IF(INDEX(Daten_Risiken!$A:$ZZ,MATCH($B54&amp;"|Fachkräftemangel",Daten_Risiken!$A$1:$A$529,0),$BK$6)="",NA(),INDEX(Daten_Risiken!$A:$ZZ,MATCH($B54&amp;"|Fachkräftemangel",Daten_Risiken!$A$1:$A$529,0),$BK$6)),NA()),"")</f>
        <v>-17</v>
      </c>
      <c r="AM54" s="50" t="str">
        <f>IFERROR(IF(INDEX(Daten_Risiken!$A:$ZZ,MATCH($B54&amp;"|Auslandsnachfrage",Daten_Risiken!$A$1:$A$529,0),$BK$4)="","",INDEX(Daten_Risiken!$A:$ZZ,MATCH($B54&amp;"|Auslandsnachfrage",Daten_Risiken!$A$1:$A$529,0),$BK$4)),"")</f>
        <v/>
      </c>
      <c r="AN54" s="49" t="str">
        <f>IFERROR(AM54-IFERROR(IF(INDEX(Daten_Risiken!$A:$ZZ,MATCH($B54&amp;"|Auslandsnachfrage",Daten_Risiken!$A$1:$A$529,0),$BK$5)="",NA(),INDEX(Daten_Risiken!$A:$ZZ,MATCH($B54&amp;"|Auslandsnachfrage",Daten_Risiken!$A$1:$A$529,0),$BK$5)),NA()),"")</f>
        <v/>
      </c>
      <c r="AO54" s="49" t="str">
        <f>IFERROR(AM54-IFERROR(IF(INDEX(Daten_Risiken!$A:$ZZ,MATCH($B54&amp;"|Auslandsnachfrage",Daten_Risiken!$A$1:$A$529,0),$BK$6)="",NA(),INDEX(Daten_Risiken!$A:$ZZ,MATCH($B54&amp;"|Auslandsnachfrage",Daten_Risiken!$A$1:$A$529,0),$BK$6)),NA()),"")</f>
        <v/>
      </c>
      <c r="AP54" s="50">
        <f>IFERROR(IF(INDEX(Daten_Risiken!$A:$ZZ,MATCH($B54&amp;"|Finanzierung",Daten_Risiken!$A$1:$A$529,0),$BK$4)="","",INDEX(Daten_Risiken!$A:$ZZ,MATCH($B54&amp;"|Finanzierung",Daten_Risiken!$A$1:$A$529,0),$BK$4)),"")</f>
        <v>8</v>
      </c>
      <c r="AQ54" s="49">
        <f>IFERROR(AP54-IFERROR(IF(INDEX(Daten_Risiken!$A:$ZZ,MATCH($B54&amp;"|Finanzierung",Daten_Risiken!$A$1:$A$529,0),$BK$5)="",NA(),INDEX(Daten_Risiken!$A:$ZZ,MATCH($B54&amp;"|Finanzierung",Daten_Risiken!$A$1:$A$529,0),$BK$5)),NA()),"")</f>
        <v>4</v>
      </c>
      <c r="AR54" s="49">
        <f>IFERROR(AP54-IFERROR(IF(INDEX(Daten_Risiken!$A:$ZZ,MATCH($B54&amp;"|Finanzierung",Daten_Risiken!$A$1:$A$529,0),$BK$6)="",NA(),INDEX(Daten_Risiken!$A:$ZZ,MATCH($B54&amp;"|Finanzierung",Daten_Risiken!$A$1:$A$529,0),$BK$6)),NA()),"")</f>
        <v>-10</v>
      </c>
      <c r="AS54" s="50" t="str">
        <f>IFERROR(IF(INDEX(Daten_Risiken!$A:$ZZ,MATCH($B54&amp;"|Wechselkurs",Daten_Risiken!$A$1:$A$529,0),$BK$4)="","",INDEX(Daten_Risiken!$A:$ZZ,MATCH($B54&amp;"|Wechselkurs",Daten_Risiken!$A$1:$A$529,0),$BK$4)),"")</f>
        <v/>
      </c>
      <c r="AT54" s="49" t="str">
        <f>IFERROR(AS54-IFERROR(IF(INDEX(Daten_Risiken!$A:$ZZ,MATCH($B54&amp;"|Wechselkurs",Daten_Risiken!$A$1:$A$529,0),$BK$5)="",NA(),INDEX(Daten_Risiken!$A:$ZZ,MATCH($B54&amp;"|Wechselkurs",Daten_Risiken!$A$1:$A$529,0),$BK$5)),NA()),"")</f>
        <v/>
      </c>
      <c r="AU54" s="49" t="str">
        <f>IFERROR(AS54-IFERROR(IF(INDEX(Daten_Risiken!$A:$ZZ,MATCH($B54&amp;"|Wechselkurs",Daten_Risiken!$A$1:$A$529,0),$BK$6)="",NA(),INDEX(Daten_Risiken!$A:$ZZ,MATCH($B54&amp;"|Wechselkurs",Daten_Risiken!$A$1:$A$529,0),$BK$6)),NA()),"")</f>
        <v/>
      </c>
      <c r="AV54" s="50">
        <f>IFERROR(IF(INDEX(Daten_Motive!$A:$ZZ,MATCH($B54&amp;"|Ersatzbedarf",Daten_Motive!$A$1:$A$331,0),$BK$7)="","",INDEX(Daten_Motive!$A:$ZZ,MATCH($B54&amp;"|Ersatzbedarf",Daten_Motive!$A$1:$A$331,0),$BK$7)),"")</f>
        <v>48</v>
      </c>
      <c r="AW54" s="49">
        <f>IFERROR(AV54-IFERROR(IF(INDEX(Daten_Motive!$A:$ZZ,MATCH($B54&amp;"|Ersatzbedarf",Daten_Motive!$A$1:$A$331,0),$BK$8)="",NA(),INDEX(Daten_Motive!$A:$ZZ,MATCH($B54&amp;"|Ersatzbedarf",Daten_Motive!$A$1:$A$331,0),$BK$8)),NA()),"")</f>
        <v>-5</v>
      </c>
      <c r="AX54" s="49">
        <f>IFERROR(AV54-IFERROR(IF(INDEX(Daten_Motive!$A:$ZZ,MATCH($B54&amp;"|Ersatzbedarf",Daten_Motive!$A$1:$A$331,0),$BK$9)="",NA(),INDEX(Daten_Motive!$A:$ZZ,MATCH($B54&amp;"|Ersatzbedarf",Daten_Motive!$A$1:$A$331,0),$BK$9)),NA()),"")</f>
        <v>-9</v>
      </c>
      <c r="AY54" s="50">
        <f>IFERROR(IF(INDEX(Daten_Motive!$A:$ZZ,MATCH($B54&amp;"|Rationalisierung",Daten_Motive!$A$1:$A$331,0),$BK$7)="","",INDEX(Daten_Motive!$A:$ZZ,MATCH($B54&amp;"|Rationalisierung",Daten_Motive!$A$1:$A$331,0),$BK$7)),"")</f>
        <v>30</v>
      </c>
      <c r="AZ54" s="49">
        <f>IFERROR(AY54-IFERROR(IF(INDEX(Daten_Motive!$A:$ZZ,MATCH($B54&amp;"|Rationalisierung",Daten_Motive!$A$1:$A$331,0),$BK$8)="",NA(),INDEX(Daten_Motive!$A:$ZZ,MATCH($B54&amp;"|Rationalisierung",Daten_Motive!$A$1:$A$331,0),$BK$8)),NA()),"")</f>
        <v>-6</v>
      </c>
      <c r="BA54" s="49">
        <f>IFERROR(AY54-IFERROR(IF(INDEX(Daten_Motive!$A:$ZZ,MATCH($B54&amp;"|Rationalisierung",Daten_Motive!$A$1:$A$331,0),$BK$9)="",NA(),INDEX(Daten_Motive!$A:$ZZ,MATCH($B54&amp;"|Rationalisierung",Daten_Motive!$A$1:$A$331,0),$BK$9)),NA()),"")</f>
        <v>-3</v>
      </c>
      <c r="BB54" s="50">
        <f>IFERROR(IF(INDEX(Daten_Motive!$A:$ZZ,MATCH($B54&amp;"|Produktinnovation",Daten_Motive!$A$1:$A$331,0),$BK$7)="","",INDEX(Daten_Motive!$A:$ZZ,MATCH($B54&amp;"|Produktinnovation",Daten_Motive!$A$1:$A$331,0),$BK$7)),"")</f>
        <v>48</v>
      </c>
      <c r="BC54" s="49">
        <f>IFERROR(BB54-IFERROR(IF(INDEX(Daten_Motive!$A:$ZZ,MATCH($B54&amp;"|Produktinnovation",Daten_Motive!$A$1:$A$331,0),$BK$8)="",NA(),INDEX(Daten_Motive!$A:$ZZ,MATCH($B54&amp;"|Produktinnovation",Daten_Motive!$A$1:$A$331,0),$BK$8)),NA()),"")</f>
        <v>-15</v>
      </c>
      <c r="BD54" s="49">
        <f>IFERROR(BB54-IFERROR(IF(INDEX(Daten_Motive!$A:$ZZ,MATCH($B54&amp;"|Produktinnovation",Daten_Motive!$A$1:$A$331,0),$BK$9)="",NA(),INDEX(Daten_Motive!$A:$ZZ,MATCH($B54&amp;"|Produktinnovation",Daten_Motive!$A$1:$A$331,0),$BK$9)),NA()),"")</f>
        <v>-6</v>
      </c>
      <c r="BE54" s="50">
        <f>IFERROR(IF(INDEX(Daten_Motive!$A:$ZZ,MATCH($B54&amp;"|Umweltschutz",Daten_Motive!$A$1:$A$331,0),$BK$7)="","",INDEX(Daten_Motive!$A:$ZZ,MATCH($B54&amp;"|Umweltschutz",Daten_Motive!$A$1:$A$331,0),$BK$7)),"")</f>
        <v>4</v>
      </c>
      <c r="BF54" s="49">
        <f>IFERROR(BE54-IFERROR(IF(INDEX(Daten_Motive!$A:$ZZ,MATCH($B54&amp;"|Umweltschutz",Daten_Motive!$A$1:$A$331,0),$BK$8)="",NA(),INDEX(Daten_Motive!$A:$ZZ,MATCH($B54&amp;"|Umweltschutz",Daten_Motive!$A$1:$A$331,0),$BK$8)),NA()),"")</f>
        <v>4</v>
      </c>
      <c r="BG54" s="49">
        <f>IFERROR(BE54-IFERROR(IF(INDEX(Daten_Motive!$A:$ZZ,MATCH($B54&amp;"|Umweltschutz",Daten_Motive!$A$1:$A$331,0),$BK$9)="",NA(),INDEX(Daten_Motive!$A:$ZZ,MATCH($B54&amp;"|Umweltschutz",Daten_Motive!$A$1:$A$331,0),$BK$9)),NA()),"")</f>
        <v>0</v>
      </c>
      <c r="BH54" s="50">
        <f>IFERROR(IF(INDEX(Daten_Motive!$A:$ZZ,MATCH($B54&amp;"|Kapazitätserweiterung",Daten_Motive!$A$1:$A$331,0),$BK$7)="","",INDEX(Daten_Motive!$A:$ZZ,MATCH($B54&amp;"|Kapazitätserweiterung",Daten_Motive!$A$1:$A$331,0),$BK$7)),"")</f>
        <v>33</v>
      </c>
      <c r="BI54" s="49">
        <f>IFERROR(BH54-IFERROR(IF(INDEX(Daten_Motive!$A:$ZZ,MATCH($B54&amp;"|Kapazitätserweiterung",Daten_Motive!$A$1:$A$331,0),$BK$8)="",NA(),INDEX(Daten_Motive!$A:$ZZ,MATCH($B54&amp;"|Kapazitätserweiterung",Daten_Motive!$A$1:$A$331,0),$BK$8)),NA()),"")</f>
        <v>21</v>
      </c>
      <c r="BJ54" s="49">
        <f>IFERROR(BH54-IFERROR(IF(INDEX(Daten_Motive!$A:$ZZ,MATCH($B54&amp;"|Kapazitätserweiterung",Daten_Motive!$A$1:$A$331,0),$BK$9)="",NA(),INDEX(Daten_Motive!$A:$ZZ,MATCH($B54&amp;"|Kapazitätserweiterung",Daten_Motive!$A$1:$A$331,0),$BK$9)),NA()),"")</f>
        <v>5</v>
      </c>
    </row>
    <row r="55" spans="1:62" x14ac:dyDescent="0.25">
      <c r="A55" s="42">
        <v>47</v>
      </c>
      <c r="B55" s="51" t="str">
        <f>Listen!A47</f>
        <v>Finanz- und Versicherungsdienstleistungen</v>
      </c>
      <c r="C55" s="44" t="s">
        <v>4540</v>
      </c>
      <c r="D55" s="44" t="str">
        <f>Listen!B47</f>
        <v>Dienstleister</v>
      </c>
      <c r="E55" s="45">
        <f>IFERROR(IF(INDEX(Daten_Anteile!$A:$ZZ,MATCH($B55&amp;"|Lage|"&amp;$C$3,Daten_Anteile!$A$1:$A$2971,0),5)="","",INDEX(Daten_Anteile!$A:$ZZ,MATCH($B55&amp;"|Lage|"&amp;$C$3,Daten_Anteile!$A$1:$A$2971,0),5)),"")</f>
        <v>1030</v>
      </c>
      <c r="F55" s="46">
        <f t="shared" si="3"/>
        <v>117.6</v>
      </c>
      <c r="G55" s="47">
        <f t="shared" si="4"/>
        <v>1.6</v>
      </c>
      <c r="H55" s="47">
        <f t="shared" si="5"/>
        <v>0.4</v>
      </c>
      <c r="I55" s="48">
        <f>IFERROR(IF(INDEX(Daten_Salden!$A:$ZZ,MATCH($B55&amp;"|Lage",Daten_Salden!$A$1:$A$331,0),$BK$1)="","",INDEX(Daten_Salden!$A:$ZZ,MATCH($B55&amp;"|Lage",Daten_Salden!$A$1:$A$331,0),$BK$1)),"")</f>
        <v>37</v>
      </c>
      <c r="J55" s="49">
        <f>IFERROR(I55-IFERROR(IF(INDEX(Daten_Salden!$A:$ZZ,MATCH($B55&amp;"|Lage",Daten_Salden!$A$1:$A$331,0),$BK$2)="",NA(),INDEX(Daten_Salden!$A:$ZZ,MATCH($B55&amp;"|Lage",Daten_Salden!$A$1:$A$331,0),$BK$2)),NA()),"")</f>
        <v>1</v>
      </c>
      <c r="K55" s="49">
        <f>IFERROR(I55-IFERROR(IF(INDEX(Daten_Salden!$A:$ZZ,MATCH($B55&amp;"|Lage",Daten_Salden!$A$1:$A$331,0),$BK$3)="",NA(),INDEX(Daten_Salden!$A:$ZZ,MATCH($B55&amp;"|Lage",Daten_Salden!$A$1:$A$331,0),$BK$3)),NA()),"")</f>
        <v>5</v>
      </c>
      <c r="L55" s="48">
        <f>IFERROR(IF(INDEX(Daten_Salden!$A:$ZZ,MATCH($B55&amp;"|Erwartungen",Daten_Salden!$A$1:$A$331,0),$BK$1)="","",INDEX(Daten_Salden!$A:$ZZ,MATCH($B55&amp;"|Erwartungen",Daten_Salden!$A$1:$A$331,0),$BK$1)),"")</f>
        <v>1</v>
      </c>
      <c r="M55" s="49">
        <f>IFERROR(L55-IFERROR(IF(INDEX(Daten_Salden!$A:$ZZ,MATCH($B55&amp;"|Erwartungen",Daten_Salden!$A$1:$A$331,0),$BK$2)="",NA(),INDEX(Daten_Salden!$A:$ZZ,MATCH($B55&amp;"|Erwartungen",Daten_Salden!$A$1:$A$331,0),$BK$2)),NA()),"")</f>
        <v>2</v>
      </c>
      <c r="N55" s="49">
        <f>IFERROR(L55-IFERROR(IF(INDEX(Daten_Salden!$A:$ZZ,MATCH($B55&amp;"|Erwartungen",Daten_Salden!$A$1:$A$331,0),$BK$3)="",NA(),INDEX(Daten_Salden!$A:$ZZ,MATCH($B55&amp;"|Erwartungen",Daten_Salden!$A$1:$A$331,0),$BK$3)),NA()),"")</f>
        <v>-3</v>
      </c>
      <c r="O55" s="48" t="str">
        <f>IFERROR(IF(INDEX(Daten_Salden!$A:$ZZ,MATCH($B55&amp;"|Export",Daten_Salden!$A$1:$A$331,0),$BK$1)="","",INDEX(Daten_Salden!$A:$ZZ,MATCH($B55&amp;"|Export",Daten_Salden!$A$1:$A$331,0),$BK$1)),"")</f>
        <v/>
      </c>
      <c r="P55" s="49" t="str">
        <f>IFERROR(O55-IFERROR(IF(INDEX(Daten_Salden!$A:$ZZ,MATCH($B55&amp;"|Export",Daten_Salden!$A$1:$A$331,0),$BK$2)="",NA(),INDEX(Daten_Salden!$A:$ZZ,MATCH($B55&amp;"|Export",Daten_Salden!$A$1:$A$331,0),$BK$2)),NA()),"")</f>
        <v/>
      </c>
      <c r="Q55" s="49" t="str">
        <f>IFERROR(O55-IFERROR(IF(INDEX(Daten_Salden!$A:$ZZ,MATCH($B55&amp;"|Export",Daten_Salden!$A$1:$A$331,0),$BK$3)="",NA(),INDEX(Daten_Salden!$A:$ZZ,MATCH($B55&amp;"|Export",Daten_Salden!$A$1:$A$331,0),$BK$3)),NA()),"")</f>
        <v/>
      </c>
      <c r="R55" s="48">
        <f>IFERROR(IF(INDEX(Daten_Salden!$A:$ZZ,MATCH($B55&amp;"|Investitionen",Daten_Salden!$A$1:$A$331,0),$BK$1)="","",INDEX(Daten_Salden!$A:$ZZ,MATCH($B55&amp;"|Investitionen",Daten_Salden!$A$1:$A$331,0),$BK$1)),"")</f>
        <v>16</v>
      </c>
      <c r="S55" s="49">
        <f>IFERROR(R55-IFERROR(IF(INDEX(Daten_Salden!$A:$ZZ,MATCH($B55&amp;"|Investitionen",Daten_Salden!$A$1:$A$331,0),$BK$2)="",NA(),INDEX(Daten_Salden!$A:$ZZ,MATCH($B55&amp;"|Investitionen",Daten_Salden!$A$1:$A$331,0),$BK$2)),NA()),"")</f>
        <v>0</v>
      </c>
      <c r="T55" s="49">
        <f>IFERROR(R55-IFERROR(IF(INDEX(Daten_Salden!$A:$ZZ,MATCH($B55&amp;"|Investitionen",Daten_Salden!$A$1:$A$331,0),$BK$3)="",NA(),INDEX(Daten_Salden!$A:$ZZ,MATCH($B55&amp;"|Investitionen",Daten_Salden!$A$1:$A$331,0),$BK$3)),NA()),"")</f>
        <v>-4</v>
      </c>
      <c r="U55" s="48">
        <f>IFERROR(IF(INDEX(Daten_Salden!$A:$ZZ,MATCH($B55&amp;"|Beschäftigung",Daten_Salden!$A$1:$A$331,0),$BK$1)="","",INDEX(Daten_Salden!$A:$ZZ,MATCH($B55&amp;"|Beschäftigung",Daten_Salden!$A$1:$A$331,0),$BK$1)),"")</f>
        <v>-3</v>
      </c>
      <c r="V55" s="49">
        <f>IFERROR(U55-IFERROR(IF(INDEX(Daten_Salden!$A:$ZZ,MATCH($B55&amp;"|Beschäftigung",Daten_Salden!$A$1:$A$331,0),$BK$2)="",NA(),INDEX(Daten_Salden!$A:$ZZ,MATCH($B55&amp;"|Beschäftigung",Daten_Salden!$A$1:$A$331,0),$BK$2)),NA()),"")</f>
        <v>-1</v>
      </c>
      <c r="W55" s="49">
        <f>IFERROR(U55-IFERROR(IF(INDEX(Daten_Salden!$A:$ZZ,MATCH($B55&amp;"|Beschäftigung",Daten_Salden!$A$1:$A$331,0),$BK$3)="",NA(),INDEX(Daten_Salden!$A:$ZZ,MATCH($B55&amp;"|Beschäftigung",Daten_Salden!$A$1:$A$331,0),$BK$3)),NA()),"")</f>
        <v>-4</v>
      </c>
      <c r="X55" s="50">
        <f>IFERROR(IF(INDEX(Daten_Risiken!$A:$ZZ,MATCH($B55&amp;"|Energie- und Rohstoffpreise",Daten_Risiken!$A$1:$A$529,0),$BK$4)="","",INDEX(Daten_Risiken!$A:$ZZ,MATCH($B55&amp;"|Energie- und Rohstoffpreise",Daten_Risiken!$A$1:$A$529,0),$BK$4)),"")</f>
        <v>41</v>
      </c>
      <c r="Y55" s="49">
        <f>IFERROR(X55-IFERROR(IF(INDEX(Daten_Risiken!$A:$ZZ,MATCH($B55&amp;"|Energie- und Rohstoffpreise",Daten_Risiken!$A$1:$A$529,0),$BK$5)="",NA(),INDEX(Daten_Risiken!$A:$ZZ,MATCH($B55&amp;"|Energie- und Rohstoffpreise",Daten_Risiken!$A$1:$A$529,0),$BK$5)),NA()),"")</f>
        <v>0</v>
      </c>
      <c r="Z55" s="49">
        <f>IFERROR(X55-IFERROR(IF(INDEX(Daten_Risiken!$A:$ZZ,MATCH($B55&amp;"|Energie- und Rohstoffpreise",Daten_Risiken!$A$1:$A$529,0),$BK$6)="",NA(),INDEX(Daten_Risiken!$A:$ZZ,MATCH($B55&amp;"|Energie- und Rohstoffpreise",Daten_Risiken!$A$1:$A$529,0),$BK$6)),NA()),"")</f>
        <v>17</v>
      </c>
      <c r="AA55" s="50">
        <f>IFERROR(IF(INDEX(Daten_Risiken!$A:$ZZ,MATCH($B55&amp;"|Arbeitskosten",Daten_Risiken!$A$1:$A$529,0),$BK$4)="","",INDEX(Daten_Risiken!$A:$ZZ,MATCH($B55&amp;"|Arbeitskosten",Daten_Risiken!$A$1:$A$529,0),$BK$4)),"")</f>
        <v>35</v>
      </c>
      <c r="AB55" s="49">
        <f>IFERROR(AA55-IFERROR(IF(INDEX(Daten_Risiken!$A:$ZZ,MATCH($B55&amp;"|Arbeitskosten",Daten_Risiken!$A$1:$A$529,0),$BK$5)="",NA(),INDEX(Daten_Risiken!$A:$ZZ,MATCH($B55&amp;"|Arbeitskosten",Daten_Risiken!$A$1:$A$529,0),$BK$5)),NA()),"")</f>
        <v>-6</v>
      </c>
      <c r="AC55" s="49">
        <f>IFERROR(AA55-IFERROR(IF(INDEX(Daten_Risiken!$A:$ZZ,MATCH($B55&amp;"|Arbeitskosten",Daten_Risiken!$A$1:$A$529,0),$BK$6)="",NA(),INDEX(Daten_Risiken!$A:$ZZ,MATCH($B55&amp;"|Arbeitskosten",Daten_Risiken!$A$1:$A$529,0),$BK$6)),NA()),"")</f>
        <v>-4</v>
      </c>
      <c r="AD55" s="50">
        <f>IFERROR(IF(INDEX(Daten_Risiken!$A:$ZZ,MATCH($B55&amp;"|Inlandsnachfrage",Daten_Risiken!$A$1:$A$529,0),$BK$4)="","",INDEX(Daten_Risiken!$A:$ZZ,MATCH($B55&amp;"|Inlandsnachfrage",Daten_Risiken!$A$1:$A$529,0),$BK$4)),"")</f>
        <v>44</v>
      </c>
      <c r="AE55" s="49">
        <f>IFERROR(AD55-IFERROR(IF(INDEX(Daten_Risiken!$A:$ZZ,MATCH($B55&amp;"|Inlandsnachfrage",Daten_Risiken!$A$1:$A$529,0),$BK$5)="",NA(),INDEX(Daten_Risiken!$A:$ZZ,MATCH($B55&amp;"|Inlandsnachfrage",Daten_Risiken!$A$1:$A$529,0),$BK$5)),NA()),"")</f>
        <v>-2</v>
      </c>
      <c r="AF55" s="49">
        <f>IFERROR(AD55-IFERROR(IF(INDEX(Daten_Risiken!$A:$ZZ,MATCH($B55&amp;"|Inlandsnachfrage",Daten_Risiken!$A$1:$A$529,0),$BK$6)="",NA(),INDEX(Daten_Risiken!$A:$ZZ,MATCH($B55&amp;"|Inlandsnachfrage",Daten_Risiken!$A$1:$A$529,0),$BK$6)),NA()),"")</f>
        <v>-1</v>
      </c>
      <c r="AG55" s="50">
        <f>IFERROR(IF(INDEX(Daten_Risiken!$A:$ZZ,MATCH($B55&amp;"|Wirtschaftspolitische Rahmenbedingungen",Daten_Risiken!$A$1:$A$529,0),$BK$4)="","",INDEX(Daten_Risiken!$A:$ZZ,MATCH($B55&amp;"|Wirtschaftspolitische Rahmenbedingungen",Daten_Risiken!$A$1:$A$529,0),$BK$4)),"")</f>
        <v>70</v>
      </c>
      <c r="AH55" s="49">
        <f>IFERROR(AG55-IFERROR(IF(INDEX(Daten_Risiken!$A:$ZZ,MATCH($B55&amp;"|Wirtschaftspolitische Rahmenbedingungen",Daten_Risiken!$A$1:$A$529,0),$BK$5)="",NA(),INDEX(Daten_Risiken!$A:$ZZ,MATCH($B55&amp;"|Wirtschaftspolitische Rahmenbedingungen",Daten_Risiken!$A$1:$A$529,0),$BK$5)),NA()),"")</f>
        <v>1</v>
      </c>
      <c r="AI55" s="49">
        <f>IFERROR(AG55-IFERROR(IF(INDEX(Daten_Risiken!$A:$ZZ,MATCH($B55&amp;"|Wirtschaftspolitische Rahmenbedingungen",Daten_Risiken!$A$1:$A$529,0),$BK$6)="",NA(),INDEX(Daten_Risiken!$A:$ZZ,MATCH($B55&amp;"|Wirtschaftspolitische Rahmenbedingungen",Daten_Risiken!$A$1:$A$529,0),$BK$6)),NA()),"")</f>
        <v>2</v>
      </c>
      <c r="AJ55" s="50">
        <f>IFERROR(IF(INDEX(Daten_Risiken!$A:$ZZ,MATCH($B55&amp;"|Fachkräftemangel",Daten_Risiken!$A$1:$A$529,0),$BK$4)="","",INDEX(Daten_Risiken!$A:$ZZ,MATCH($B55&amp;"|Fachkräftemangel",Daten_Risiken!$A$1:$A$529,0),$BK$4)),"")</f>
        <v>40</v>
      </c>
      <c r="AK55" s="49">
        <f>IFERROR(AJ55-IFERROR(IF(INDEX(Daten_Risiken!$A:$ZZ,MATCH($B55&amp;"|Fachkräftemangel",Daten_Risiken!$A$1:$A$529,0),$BK$5)="",NA(),INDEX(Daten_Risiken!$A:$ZZ,MATCH($B55&amp;"|Fachkräftemangel",Daten_Risiken!$A$1:$A$529,0),$BK$5)),NA()),"")</f>
        <v>-4</v>
      </c>
      <c r="AL55" s="49">
        <f>IFERROR(AJ55-IFERROR(IF(INDEX(Daten_Risiken!$A:$ZZ,MATCH($B55&amp;"|Fachkräftemangel",Daten_Risiken!$A$1:$A$529,0),$BK$6)="",NA(),INDEX(Daten_Risiken!$A:$ZZ,MATCH($B55&amp;"|Fachkräftemangel",Daten_Risiken!$A$1:$A$529,0),$BK$6)),NA()),"")</f>
        <v>-11</v>
      </c>
      <c r="AM55" s="50" t="str">
        <f>IFERROR(IF(INDEX(Daten_Risiken!$A:$ZZ,MATCH($B55&amp;"|Auslandsnachfrage",Daten_Risiken!$A$1:$A$529,0),$BK$4)="","",INDEX(Daten_Risiken!$A:$ZZ,MATCH($B55&amp;"|Auslandsnachfrage",Daten_Risiken!$A$1:$A$529,0),$BK$4)),"")</f>
        <v/>
      </c>
      <c r="AN55" s="49" t="str">
        <f>IFERROR(AM55-IFERROR(IF(INDEX(Daten_Risiken!$A:$ZZ,MATCH($B55&amp;"|Auslandsnachfrage",Daten_Risiken!$A$1:$A$529,0),$BK$5)="",NA(),INDEX(Daten_Risiken!$A:$ZZ,MATCH($B55&amp;"|Auslandsnachfrage",Daten_Risiken!$A$1:$A$529,0),$BK$5)),NA()),"")</f>
        <v/>
      </c>
      <c r="AO55" s="49" t="str">
        <f>IFERROR(AM55-IFERROR(IF(INDEX(Daten_Risiken!$A:$ZZ,MATCH($B55&amp;"|Auslandsnachfrage",Daten_Risiken!$A$1:$A$529,0),$BK$6)="",NA(),INDEX(Daten_Risiken!$A:$ZZ,MATCH($B55&amp;"|Auslandsnachfrage",Daten_Risiken!$A$1:$A$529,0),$BK$6)),NA()),"")</f>
        <v/>
      </c>
      <c r="AP55" s="50">
        <f>IFERROR(IF(INDEX(Daten_Risiken!$A:$ZZ,MATCH($B55&amp;"|Finanzierung",Daten_Risiken!$A$1:$A$529,0),$BK$4)="","",INDEX(Daten_Risiken!$A:$ZZ,MATCH($B55&amp;"|Finanzierung",Daten_Risiken!$A$1:$A$529,0),$BK$4)),"")</f>
        <v>15</v>
      </c>
      <c r="AQ55" s="49">
        <f>IFERROR(AP55-IFERROR(IF(INDEX(Daten_Risiken!$A:$ZZ,MATCH($B55&amp;"|Finanzierung",Daten_Risiken!$A$1:$A$529,0),$BK$5)="",NA(),INDEX(Daten_Risiken!$A:$ZZ,MATCH($B55&amp;"|Finanzierung",Daten_Risiken!$A$1:$A$529,0),$BK$5)),NA()),"")</f>
        <v>2</v>
      </c>
      <c r="AR55" s="49">
        <f>IFERROR(AP55-IFERROR(IF(INDEX(Daten_Risiken!$A:$ZZ,MATCH($B55&amp;"|Finanzierung",Daten_Risiken!$A$1:$A$529,0),$BK$6)="",NA(),INDEX(Daten_Risiken!$A:$ZZ,MATCH($B55&amp;"|Finanzierung",Daten_Risiken!$A$1:$A$529,0),$BK$6)),NA()),"")</f>
        <v>4</v>
      </c>
      <c r="AS55" s="50" t="str">
        <f>IFERROR(IF(INDEX(Daten_Risiken!$A:$ZZ,MATCH($B55&amp;"|Wechselkurs",Daten_Risiken!$A$1:$A$529,0),$BK$4)="","",INDEX(Daten_Risiken!$A:$ZZ,MATCH($B55&amp;"|Wechselkurs",Daten_Risiken!$A$1:$A$529,0),$BK$4)),"")</f>
        <v/>
      </c>
      <c r="AT55" s="49" t="str">
        <f>IFERROR(AS55-IFERROR(IF(INDEX(Daten_Risiken!$A:$ZZ,MATCH($B55&amp;"|Wechselkurs",Daten_Risiken!$A$1:$A$529,0),$BK$5)="",NA(),INDEX(Daten_Risiken!$A:$ZZ,MATCH($B55&amp;"|Wechselkurs",Daten_Risiken!$A$1:$A$529,0),$BK$5)),NA()),"")</f>
        <v/>
      </c>
      <c r="AU55" s="49" t="str">
        <f>IFERROR(AS55-IFERROR(IF(INDEX(Daten_Risiken!$A:$ZZ,MATCH($B55&amp;"|Wechselkurs",Daten_Risiken!$A$1:$A$529,0),$BK$6)="",NA(),INDEX(Daten_Risiken!$A:$ZZ,MATCH($B55&amp;"|Wechselkurs",Daten_Risiken!$A$1:$A$529,0),$BK$6)),NA()),"")</f>
        <v/>
      </c>
      <c r="AV55" s="50">
        <f>IFERROR(IF(INDEX(Daten_Motive!$A:$ZZ,MATCH($B55&amp;"|Ersatzbedarf",Daten_Motive!$A$1:$A$331,0),$BK$7)="","",INDEX(Daten_Motive!$A:$ZZ,MATCH($B55&amp;"|Ersatzbedarf",Daten_Motive!$A$1:$A$331,0),$BK$7)),"")</f>
        <v>63</v>
      </c>
      <c r="AW55" s="49">
        <f>IFERROR(AV55-IFERROR(IF(INDEX(Daten_Motive!$A:$ZZ,MATCH($B55&amp;"|Ersatzbedarf",Daten_Motive!$A$1:$A$331,0),$BK$8)="",NA(),INDEX(Daten_Motive!$A:$ZZ,MATCH($B55&amp;"|Ersatzbedarf",Daten_Motive!$A$1:$A$331,0),$BK$8)),NA()),"")</f>
        <v>2</v>
      </c>
      <c r="AX55" s="49">
        <f>IFERROR(AV55-IFERROR(IF(INDEX(Daten_Motive!$A:$ZZ,MATCH($B55&amp;"|Ersatzbedarf",Daten_Motive!$A$1:$A$331,0),$BK$9)="",NA(),INDEX(Daten_Motive!$A:$ZZ,MATCH($B55&amp;"|Ersatzbedarf",Daten_Motive!$A$1:$A$331,0),$BK$9)),NA()),"")</f>
        <v>1</v>
      </c>
      <c r="AY55" s="50">
        <f>IFERROR(IF(INDEX(Daten_Motive!$A:$ZZ,MATCH($B55&amp;"|Rationalisierung",Daten_Motive!$A$1:$A$331,0),$BK$7)="","",INDEX(Daten_Motive!$A:$ZZ,MATCH($B55&amp;"|Rationalisierung",Daten_Motive!$A$1:$A$331,0),$BK$7)),"")</f>
        <v>41</v>
      </c>
      <c r="AZ55" s="49">
        <f>IFERROR(AY55-IFERROR(IF(INDEX(Daten_Motive!$A:$ZZ,MATCH($B55&amp;"|Rationalisierung",Daten_Motive!$A$1:$A$331,0),$BK$8)="",NA(),INDEX(Daten_Motive!$A:$ZZ,MATCH($B55&amp;"|Rationalisierung",Daten_Motive!$A$1:$A$331,0),$BK$8)),NA()),"")</f>
        <v>0</v>
      </c>
      <c r="BA55" s="49">
        <f>IFERROR(AY55-IFERROR(IF(INDEX(Daten_Motive!$A:$ZZ,MATCH($B55&amp;"|Rationalisierung",Daten_Motive!$A$1:$A$331,0),$BK$9)="",NA(),INDEX(Daten_Motive!$A:$ZZ,MATCH($B55&amp;"|Rationalisierung",Daten_Motive!$A$1:$A$331,0),$BK$9)),NA()),"")</f>
        <v>0</v>
      </c>
      <c r="BB55" s="50">
        <f>IFERROR(IF(INDEX(Daten_Motive!$A:$ZZ,MATCH($B55&amp;"|Produktinnovation",Daten_Motive!$A$1:$A$331,0),$BK$7)="","",INDEX(Daten_Motive!$A:$ZZ,MATCH($B55&amp;"|Produktinnovation",Daten_Motive!$A$1:$A$331,0),$BK$7)),"")</f>
        <v>33</v>
      </c>
      <c r="BC55" s="49">
        <f>IFERROR(BB55-IFERROR(IF(INDEX(Daten_Motive!$A:$ZZ,MATCH($B55&amp;"|Produktinnovation",Daten_Motive!$A$1:$A$331,0),$BK$8)="",NA(),INDEX(Daten_Motive!$A:$ZZ,MATCH($B55&amp;"|Produktinnovation",Daten_Motive!$A$1:$A$331,0),$BK$8)),NA()),"")</f>
        <v>2</v>
      </c>
      <c r="BD55" s="49">
        <f>IFERROR(BB55-IFERROR(IF(INDEX(Daten_Motive!$A:$ZZ,MATCH($B55&amp;"|Produktinnovation",Daten_Motive!$A$1:$A$331,0),$BK$9)="",NA(),INDEX(Daten_Motive!$A:$ZZ,MATCH($B55&amp;"|Produktinnovation",Daten_Motive!$A$1:$A$331,0),$BK$9)),NA()),"")</f>
        <v>1</v>
      </c>
      <c r="BE55" s="50">
        <f>IFERROR(IF(INDEX(Daten_Motive!$A:$ZZ,MATCH($B55&amp;"|Umweltschutz",Daten_Motive!$A$1:$A$331,0),$BK$7)="","",INDEX(Daten_Motive!$A:$ZZ,MATCH($B55&amp;"|Umweltschutz",Daten_Motive!$A$1:$A$331,0),$BK$7)),"")</f>
        <v>20</v>
      </c>
      <c r="BF55" s="49">
        <f>IFERROR(BE55-IFERROR(IF(INDEX(Daten_Motive!$A:$ZZ,MATCH($B55&amp;"|Umweltschutz",Daten_Motive!$A$1:$A$331,0),$BK$8)="",NA(),INDEX(Daten_Motive!$A:$ZZ,MATCH($B55&amp;"|Umweltschutz",Daten_Motive!$A$1:$A$331,0),$BK$8)),NA()),"")</f>
        <v>1</v>
      </c>
      <c r="BG55" s="49">
        <f>IFERROR(BE55-IFERROR(IF(INDEX(Daten_Motive!$A:$ZZ,MATCH($B55&amp;"|Umweltschutz",Daten_Motive!$A$1:$A$331,0),$BK$9)="",NA(),INDEX(Daten_Motive!$A:$ZZ,MATCH($B55&amp;"|Umweltschutz",Daten_Motive!$A$1:$A$331,0),$BK$9)),NA()),"")</f>
        <v>-2</v>
      </c>
      <c r="BH55" s="50">
        <f>IFERROR(IF(INDEX(Daten_Motive!$A:$ZZ,MATCH($B55&amp;"|Kapazitätserweiterung",Daten_Motive!$A$1:$A$331,0),$BK$7)="","",INDEX(Daten_Motive!$A:$ZZ,MATCH($B55&amp;"|Kapazitätserweiterung",Daten_Motive!$A$1:$A$331,0),$BK$7)),"")</f>
        <v>14</v>
      </c>
      <c r="BI55" s="49">
        <f>IFERROR(BH55-IFERROR(IF(INDEX(Daten_Motive!$A:$ZZ,MATCH($B55&amp;"|Kapazitätserweiterung",Daten_Motive!$A$1:$A$331,0),$BK$8)="",NA(),INDEX(Daten_Motive!$A:$ZZ,MATCH($B55&amp;"|Kapazitätserweiterung",Daten_Motive!$A$1:$A$331,0),$BK$8)),NA()),"")</f>
        <v>-4</v>
      </c>
      <c r="BJ55" s="49">
        <f>IFERROR(BH55-IFERROR(IF(INDEX(Daten_Motive!$A:$ZZ,MATCH($B55&amp;"|Kapazitätserweiterung",Daten_Motive!$A$1:$A$331,0),$BK$9)="",NA(),INDEX(Daten_Motive!$A:$ZZ,MATCH($B55&amp;"|Kapazitätserweiterung",Daten_Motive!$A$1:$A$331,0),$BK$9)),NA()),"")</f>
        <v>-3</v>
      </c>
    </row>
    <row r="56" spans="1:62" x14ac:dyDescent="0.25">
      <c r="A56" s="42">
        <v>48</v>
      </c>
      <c r="B56" s="52" t="str">
        <f>Listen!A48</f>
        <v>Kreditgewerbe</v>
      </c>
      <c r="C56" s="44" t="s">
        <v>4541</v>
      </c>
      <c r="D56" s="44" t="str">
        <f>Listen!B48</f>
        <v>Dienstleister</v>
      </c>
      <c r="E56" s="45">
        <f>IFERROR(IF(INDEX(Daten_Anteile!$A:$ZZ,MATCH($B56&amp;"|Lage|"&amp;$C$3,Daten_Anteile!$A$1:$A$2971,0),5)="","",INDEX(Daten_Anteile!$A:$ZZ,MATCH($B56&amp;"|Lage|"&amp;$C$3,Daten_Anteile!$A$1:$A$2971,0),5)),"")</f>
        <v>428</v>
      </c>
      <c r="F56" s="46">
        <f t="shared" si="3"/>
        <v>127.2</v>
      </c>
      <c r="G56" s="47">
        <f t="shared" si="4"/>
        <v>5.8</v>
      </c>
      <c r="H56" s="47">
        <f t="shared" si="5"/>
        <v>0.5</v>
      </c>
      <c r="I56" s="48">
        <f>IFERROR(IF(INDEX(Daten_Salden!$A:$ZZ,MATCH($B56&amp;"|Lage",Daten_Salden!$A$1:$A$331,0),$BK$1)="","",INDEX(Daten_Salden!$A:$ZZ,MATCH($B56&amp;"|Lage",Daten_Salden!$A$1:$A$331,0),$BK$1)),"")</f>
        <v>47</v>
      </c>
      <c r="J56" s="49">
        <f>IFERROR(I56-IFERROR(IF(INDEX(Daten_Salden!$A:$ZZ,MATCH($B56&amp;"|Lage",Daten_Salden!$A$1:$A$331,0),$BK$2)="",NA(),INDEX(Daten_Salden!$A:$ZZ,MATCH($B56&amp;"|Lage",Daten_Salden!$A$1:$A$331,0),$BK$2)),NA()),"")</f>
        <v>4</v>
      </c>
      <c r="K56" s="49">
        <f>IFERROR(I56-IFERROR(IF(INDEX(Daten_Salden!$A:$ZZ,MATCH($B56&amp;"|Lage",Daten_Salden!$A$1:$A$331,0),$BK$3)="",NA(),INDEX(Daten_Salden!$A:$ZZ,MATCH($B56&amp;"|Lage",Daten_Salden!$A$1:$A$331,0),$BK$3)),NA()),"")</f>
        <v>5</v>
      </c>
      <c r="L56" s="48">
        <f>IFERROR(IF(INDEX(Daten_Salden!$A:$ZZ,MATCH($B56&amp;"|Erwartungen",Daten_Salden!$A$1:$A$331,0),$BK$1)="","",INDEX(Daten_Salden!$A:$ZZ,MATCH($B56&amp;"|Erwartungen",Daten_Salden!$A$1:$A$331,0),$BK$1)),"")</f>
        <v>10</v>
      </c>
      <c r="M56" s="49">
        <f>IFERROR(L56-IFERROR(IF(INDEX(Daten_Salden!$A:$ZZ,MATCH($B56&amp;"|Erwartungen",Daten_Salden!$A$1:$A$331,0),$BK$2)="",NA(),INDEX(Daten_Salden!$A:$ZZ,MATCH($B56&amp;"|Erwartungen",Daten_Salden!$A$1:$A$331,0),$BK$2)),NA()),"")</f>
        <v>7</v>
      </c>
      <c r="N56" s="49">
        <f>IFERROR(L56-IFERROR(IF(INDEX(Daten_Salden!$A:$ZZ,MATCH($B56&amp;"|Erwartungen",Daten_Salden!$A$1:$A$331,0),$BK$3)="",NA(),INDEX(Daten_Salden!$A:$ZZ,MATCH($B56&amp;"|Erwartungen",Daten_Salden!$A$1:$A$331,0),$BK$3)),NA()),"")</f>
        <v>-3</v>
      </c>
      <c r="O56" s="48" t="str">
        <f>IFERROR(IF(INDEX(Daten_Salden!$A:$ZZ,MATCH($B56&amp;"|Export",Daten_Salden!$A$1:$A$331,0),$BK$1)="","",INDEX(Daten_Salden!$A:$ZZ,MATCH($B56&amp;"|Export",Daten_Salden!$A$1:$A$331,0),$BK$1)),"")</f>
        <v/>
      </c>
      <c r="P56" s="49" t="str">
        <f>IFERROR(O56-IFERROR(IF(INDEX(Daten_Salden!$A:$ZZ,MATCH($B56&amp;"|Export",Daten_Salden!$A$1:$A$331,0),$BK$2)="",NA(),INDEX(Daten_Salden!$A:$ZZ,MATCH($B56&amp;"|Export",Daten_Salden!$A$1:$A$331,0),$BK$2)),NA()),"")</f>
        <v/>
      </c>
      <c r="Q56" s="49" t="str">
        <f>IFERROR(O56-IFERROR(IF(INDEX(Daten_Salden!$A:$ZZ,MATCH($B56&amp;"|Export",Daten_Salden!$A$1:$A$331,0),$BK$3)="",NA(),INDEX(Daten_Salden!$A:$ZZ,MATCH($B56&amp;"|Export",Daten_Salden!$A$1:$A$331,0),$BK$3)),NA()),"")</f>
        <v/>
      </c>
      <c r="R56" s="48">
        <f>IFERROR(IF(INDEX(Daten_Salden!$A:$ZZ,MATCH($B56&amp;"|Investitionen",Daten_Salden!$A$1:$A$331,0),$BK$1)="","",INDEX(Daten_Salden!$A:$ZZ,MATCH($B56&amp;"|Investitionen",Daten_Salden!$A$1:$A$331,0),$BK$1)),"")</f>
        <v>25</v>
      </c>
      <c r="S56" s="49">
        <f>IFERROR(R56-IFERROR(IF(INDEX(Daten_Salden!$A:$ZZ,MATCH($B56&amp;"|Investitionen",Daten_Salden!$A$1:$A$331,0),$BK$2)="",NA(),INDEX(Daten_Salden!$A:$ZZ,MATCH($B56&amp;"|Investitionen",Daten_Salden!$A$1:$A$331,0),$BK$2)),NA()),"")</f>
        <v>-3</v>
      </c>
      <c r="T56" s="49">
        <f>IFERROR(R56-IFERROR(IF(INDEX(Daten_Salden!$A:$ZZ,MATCH($B56&amp;"|Investitionen",Daten_Salden!$A$1:$A$331,0),$BK$3)="",NA(),INDEX(Daten_Salden!$A:$ZZ,MATCH($B56&amp;"|Investitionen",Daten_Salden!$A$1:$A$331,0),$BK$3)),NA()),"")</f>
        <v>-7</v>
      </c>
      <c r="U56" s="48">
        <f>IFERROR(IF(INDEX(Daten_Salden!$A:$ZZ,MATCH($B56&amp;"|Beschäftigung",Daten_Salden!$A$1:$A$331,0),$BK$1)="","",INDEX(Daten_Salden!$A:$ZZ,MATCH($B56&amp;"|Beschäftigung",Daten_Salden!$A$1:$A$331,0),$BK$1)),"")</f>
        <v>-5</v>
      </c>
      <c r="V56" s="49">
        <f>IFERROR(U56-IFERROR(IF(INDEX(Daten_Salden!$A:$ZZ,MATCH($B56&amp;"|Beschäftigung",Daten_Salden!$A$1:$A$331,0),$BK$2)="",NA(),INDEX(Daten_Salden!$A:$ZZ,MATCH($B56&amp;"|Beschäftigung",Daten_Salden!$A$1:$A$331,0),$BK$2)),NA()),"")</f>
        <v>-2</v>
      </c>
      <c r="W56" s="49">
        <f>IFERROR(U56-IFERROR(IF(INDEX(Daten_Salden!$A:$ZZ,MATCH($B56&amp;"|Beschäftigung",Daten_Salden!$A$1:$A$331,0),$BK$3)="",NA(),INDEX(Daten_Salden!$A:$ZZ,MATCH($B56&amp;"|Beschäftigung",Daten_Salden!$A$1:$A$331,0),$BK$3)),NA()),"")</f>
        <v>-3</v>
      </c>
      <c r="X56" s="50">
        <f>IFERROR(IF(INDEX(Daten_Risiken!$A:$ZZ,MATCH($B56&amp;"|Energie- und Rohstoffpreise",Daten_Risiken!$A$1:$A$529,0),$BK$4)="","",INDEX(Daten_Risiken!$A:$ZZ,MATCH($B56&amp;"|Energie- und Rohstoffpreise",Daten_Risiken!$A$1:$A$529,0),$BK$4)),"")</f>
        <v>40</v>
      </c>
      <c r="Y56" s="49">
        <f>IFERROR(X56-IFERROR(IF(INDEX(Daten_Risiken!$A:$ZZ,MATCH($B56&amp;"|Energie- und Rohstoffpreise",Daten_Risiken!$A$1:$A$529,0),$BK$5)="",NA(),INDEX(Daten_Risiken!$A:$ZZ,MATCH($B56&amp;"|Energie- und Rohstoffpreise",Daten_Risiken!$A$1:$A$529,0),$BK$5)),NA()),"")</f>
        <v>-1</v>
      </c>
      <c r="Z56" s="49">
        <f>IFERROR(X56-IFERROR(IF(INDEX(Daten_Risiken!$A:$ZZ,MATCH($B56&amp;"|Energie- und Rohstoffpreise",Daten_Risiken!$A$1:$A$529,0),$BK$6)="",NA(),INDEX(Daten_Risiken!$A:$ZZ,MATCH($B56&amp;"|Energie- und Rohstoffpreise",Daten_Risiken!$A$1:$A$529,0),$BK$6)),NA()),"")</f>
        <v>21</v>
      </c>
      <c r="AA56" s="50">
        <f>IFERROR(IF(INDEX(Daten_Risiken!$A:$ZZ,MATCH($B56&amp;"|Arbeitskosten",Daten_Risiken!$A$1:$A$529,0),$BK$4)="","",INDEX(Daten_Risiken!$A:$ZZ,MATCH($B56&amp;"|Arbeitskosten",Daten_Risiken!$A$1:$A$529,0),$BK$4)),"")</f>
        <v>31</v>
      </c>
      <c r="AB56" s="49">
        <f>IFERROR(AA56-IFERROR(IF(INDEX(Daten_Risiken!$A:$ZZ,MATCH($B56&amp;"|Arbeitskosten",Daten_Risiken!$A$1:$A$529,0),$BK$5)="",NA(),INDEX(Daten_Risiken!$A:$ZZ,MATCH($B56&amp;"|Arbeitskosten",Daten_Risiken!$A$1:$A$529,0),$BK$5)),NA()),"")</f>
        <v>-8</v>
      </c>
      <c r="AC56" s="49">
        <f>IFERROR(AA56-IFERROR(IF(INDEX(Daten_Risiken!$A:$ZZ,MATCH($B56&amp;"|Arbeitskosten",Daten_Risiken!$A$1:$A$529,0),$BK$6)="",NA(),INDEX(Daten_Risiken!$A:$ZZ,MATCH($B56&amp;"|Arbeitskosten",Daten_Risiken!$A$1:$A$529,0),$BK$6)),NA()),"")</f>
        <v>-1</v>
      </c>
      <c r="AD56" s="50">
        <f>IFERROR(IF(INDEX(Daten_Risiken!$A:$ZZ,MATCH($B56&amp;"|Inlandsnachfrage",Daten_Risiken!$A$1:$A$529,0),$BK$4)="","",INDEX(Daten_Risiken!$A:$ZZ,MATCH($B56&amp;"|Inlandsnachfrage",Daten_Risiken!$A$1:$A$529,0),$BK$4)),"")</f>
        <v>41</v>
      </c>
      <c r="AE56" s="49">
        <f>IFERROR(AD56-IFERROR(IF(INDEX(Daten_Risiken!$A:$ZZ,MATCH($B56&amp;"|Inlandsnachfrage",Daten_Risiken!$A$1:$A$529,0),$BK$5)="",NA(),INDEX(Daten_Risiken!$A:$ZZ,MATCH($B56&amp;"|Inlandsnachfrage",Daten_Risiken!$A$1:$A$529,0),$BK$5)),NA()),"")</f>
        <v>0</v>
      </c>
      <c r="AF56" s="49">
        <f>IFERROR(AD56-IFERROR(IF(INDEX(Daten_Risiken!$A:$ZZ,MATCH($B56&amp;"|Inlandsnachfrage",Daten_Risiken!$A$1:$A$529,0),$BK$6)="",NA(),INDEX(Daten_Risiken!$A:$ZZ,MATCH($B56&amp;"|Inlandsnachfrage",Daten_Risiken!$A$1:$A$529,0),$BK$6)),NA()),"")</f>
        <v>0</v>
      </c>
      <c r="AG56" s="50">
        <f>IFERROR(IF(INDEX(Daten_Risiken!$A:$ZZ,MATCH($B56&amp;"|Wirtschaftspolitische Rahmenbedingungen",Daten_Risiken!$A$1:$A$529,0),$BK$4)="","",INDEX(Daten_Risiken!$A:$ZZ,MATCH($B56&amp;"|Wirtschaftspolitische Rahmenbedingungen",Daten_Risiken!$A$1:$A$529,0),$BK$4)),"")</f>
        <v>76</v>
      </c>
      <c r="AH56" s="49">
        <f>IFERROR(AG56-IFERROR(IF(INDEX(Daten_Risiken!$A:$ZZ,MATCH($B56&amp;"|Wirtschaftspolitische Rahmenbedingungen",Daten_Risiken!$A$1:$A$529,0),$BK$5)="",NA(),INDEX(Daten_Risiken!$A:$ZZ,MATCH($B56&amp;"|Wirtschaftspolitische Rahmenbedingungen",Daten_Risiken!$A$1:$A$529,0),$BK$5)),NA()),"")</f>
        <v>-4</v>
      </c>
      <c r="AI56" s="49">
        <f>IFERROR(AG56-IFERROR(IF(INDEX(Daten_Risiken!$A:$ZZ,MATCH($B56&amp;"|Wirtschaftspolitische Rahmenbedingungen",Daten_Risiken!$A$1:$A$529,0),$BK$6)="",NA(),INDEX(Daten_Risiken!$A:$ZZ,MATCH($B56&amp;"|Wirtschaftspolitische Rahmenbedingungen",Daten_Risiken!$A$1:$A$529,0),$BK$6)),NA()),"")</f>
        <v>0</v>
      </c>
      <c r="AJ56" s="50">
        <f>IFERROR(IF(INDEX(Daten_Risiken!$A:$ZZ,MATCH($B56&amp;"|Fachkräftemangel",Daten_Risiken!$A$1:$A$529,0),$BK$4)="","",INDEX(Daten_Risiken!$A:$ZZ,MATCH($B56&amp;"|Fachkräftemangel",Daten_Risiken!$A$1:$A$529,0),$BK$4)),"")</f>
        <v>51</v>
      </c>
      <c r="AK56" s="49">
        <f>IFERROR(AJ56-IFERROR(IF(INDEX(Daten_Risiken!$A:$ZZ,MATCH($B56&amp;"|Fachkräftemangel",Daten_Risiken!$A$1:$A$529,0),$BK$5)="",NA(),INDEX(Daten_Risiken!$A:$ZZ,MATCH($B56&amp;"|Fachkräftemangel",Daten_Risiken!$A$1:$A$529,0),$BK$5)),NA()),"")</f>
        <v>-3</v>
      </c>
      <c r="AL56" s="49">
        <f>IFERROR(AJ56-IFERROR(IF(INDEX(Daten_Risiken!$A:$ZZ,MATCH($B56&amp;"|Fachkräftemangel",Daten_Risiken!$A$1:$A$529,0),$BK$6)="",NA(),INDEX(Daten_Risiken!$A:$ZZ,MATCH($B56&amp;"|Fachkräftemangel",Daten_Risiken!$A$1:$A$529,0),$BK$6)),NA()),"")</f>
        <v>-15</v>
      </c>
      <c r="AM56" s="50" t="str">
        <f>IFERROR(IF(INDEX(Daten_Risiken!$A:$ZZ,MATCH($B56&amp;"|Auslandsnachfrage",Daten_Risiken!$A$1:$A$529,0),$BK$4)="","",INDEX(Daten_Risiken!$A:$ZZ,MATCH($B56&amp;"|Auslandsnachfrage",Daten_Risiken!$A$1:$A$529,0),$BK$4)),"")</f>
        <v/>
      </c>
      <c r="AN56" s="49" t="str">
        <f>IFERROR(AM56-IFERROR(IF(INDEX(Daten_Risiken!$A:$ZZ,MATCH($B56&amp;"|Auslandsnachfrage",Daten_Risiken!$A$1:$A$529,0),$BK$5)="",NA(),INDEX(Daten_Risiken!$A:$ZZ,MATCH($B56&amp;"|Auslandsnachfrage",Daten_Risiken!$A$1:$A$529,0),$BK$5)),NA()),"")</f>
        <v/>
      </c>
      <c r="AO56" s="49" t="str">
        <f>IFERROR(AM56-IFERROR(IF(INDEX(Daten_Risiken!$A:$ZZ,MATCH($B56&amp;"|Auslandsnachfrage",Daten_Risiken!$A$1:$A$529,0),$BK$6)="",NA(),INDEX(Daten_Risiken!$A:$ZZ,MATCH($B56&amp;"|Auslandsnachfrage",Daten_Risiken!$A$1:$A$529,0),$BK$6)),NA()),"")</f>
        <v/>
      </c>
      <c r="AP56" s="50">
        <f>IFERROR(IF(INDEX(Daten_Risiken!$A:$ZZ,MATCH($B56&amp;"|Finanzierung",Daten_Risiken!$A$1:$A$529,0),$BK$4)="","",INDEX(Daten_Risiken!$A:$ZZ,MATCH($B56&amp;"|Finanzierung",Daten_Risiken!$A$1:$A$529,0),$BK$4)),"")</f>
        <v>14</v>
      </c>
      <c r="AQ56" s="49">
        <f>IFERROR(AP56-IFERROR(IF(INDEX(Daten_Risiken!$A:$ZZ,MATCH($B56&amp;"|Finanzierung",Daten_Risiken!$A$1:$A$529,0),$BK$5)="",NA(),INDEX(Daten_Risiken!$A:$ZZ,MATCH($B56&amp;"|Finanzierung",Daten_Risiken!$A$1:$A$529,0),$BK$5)),NA()),"")</f>
        <v>3</v>
      </c>
      <c r="AR56" s="49">
        <f>IFERROR(AP56-IFERROR(IF(INDEX(Daten_Risiken!$A:$ZZ,MATCH($B56&amp;"|Finanzierung",Daten_Risiken!$A$1:$A$529,0),$BK$6)="",NA(),INDEX(Daten_Risiken!$A:$ZZ,MATCH($B56&amp;"|Finanzierung",Daten_Risiken!$A$1:$A$529,0),$BK$6)),NA()),"")</f>
        <v>6</v>
      </c>
      <c r="AS56" s="50" t="str">
        <f>IFERROR(IF(INDEX(Daten_Risiken!$A:$ZZ,MATCH($B56&amp;"|Wechselkurs",Daten_Risiken!$A$1:$A$529,0),$BK$4)="","",INDEX(Daten_Risiken!$A:$ZZ,MATCH($B56&amp;"|Wechselkurs",Daten_Risiken!$A$1:$A$529,0),$BK$4)),"")</f>
        <v/>
      </c>
      <c r="AT56" s="49" t="str">
        <f>IFERROR(AS56-IFERROR(IF(INDEX(Daten_Risiken!$A:$ZZ,MATCH($B56&amp;"|Wechselkurs",Daten_Risiken!$A$1:$A$529,0),$BK$5)="",NA(),INDEX(Daten_Risiken!$A:$ZZ,MATCH($B56&amp;"|Wechselkurs",Daten_Risiken!$A$1:$A$529,0),$BK$5)),NA()),"")</f>
        <v/>
      </c>
      <c r="AU56" s="49" t="str">
        <f>IFERROR(AS56-IFERROR(IF(INDEX(Daten_Risiken!$A:$ZZ,MATCH($B56&amp;"|Wechselkurs",Daten_Risiken!$A$1:$A$529,0),$BK$6)="",NA(),INDEX(Daten_Risiken!$A:$ZZ,MATCH($B56&amp;"|Wechselkurs",Daten_Risiken!$A$1:$A$529,0),$BK$6)),NA()),"")</f>
        <v/>
      </c>
      <c r="AV56" s="50">
        <f>IFERROR(IF(INDEX(Daten_Motive!$A:$ZZ,MATCH($B56&amp;"|Ersatzbedarf",Daten_Motive!$A$1:$A$331,0),$BK$7)="","",INDEX(Daten_Motive!$A:$ZZ,MATCH($B56&amp;"|Ersatzbedarf",Daten_Motive!$A$1:$A$331,0),$BK$7)),"")</f>
        <v>72</v>
      </c>
      <c r="AW56" s="49">
        <f>IFERROR(AV56-IFERROR(IF(INDEX(Daten_Motive!$A:$ZZ,MATCH($B56&amp;"|Ersatzbedarf",Daten_Motive!$A$1:$A$331,0),$BK$8)="",NA(),INDEX(Daten_Motive!$A:$ZZ,MATCH($B56&amp;"|Ersatzbedarf",Daten_Motive!$A$1:$A$331,0),$BK$8)),NA()),"")</f>
        <v>-1</v>
      </c>
      <c r="AX56" s="49">
        <f>IFERROR(AV56-IFERROR(IF(INDEX(Daten_Motive!$A:$ZZ,MATCH($B56&amp;"|Ersatzbedarf",Daten_Motive!$A$1:$A$331,0),$BK$9)="",NA(),INDEX(Daten_Motive!$A:$ZZ,MATCH($B56&amp;"|Ersatzbedarf",Daten_Motive!$A$1:$A$331,0),$BK$9)),NA()),"")</f>
        <v>-2</v>
      </c>
      <c r="AY56" s="50">
        <f>IFERROR(IF(INDEX(Daten_Motive!$A:$ZZ,MATCH($B56&amp;"|Rationalisierung",Daten_Motive!$A$1:$A$331,0),$BK$7)="","",INDEX(Daten_Motive!$A:$ZZ,MATCH($B56&amp;"|Rationalisierung",Daten_Motive!$A$1:$A$331,0),$BK$7)),"")</f>
        <v>44</v>
      </c>
      <c r="AZ56" s="49">
        <f>IFERROR(AY56-IFERROR(IF(INDEX(Daten_Motive!$A:$ZZ,MATCH($B56&amp;"|Rationalisierung",Daten_Motive!$A$1:$A$331,0),$BK$8)="",NA(),INDEX(Daten_Motive!$A:$ZZ,MATCH($B56&amp;"|Rationalisierung",Daten_Motive!$A$1:$A$331,0),$BK$8)),NA()),"")</f>
        <v>2</v>
      </c>
      <c r="BA56" s="49">
        <f>IFERROR(AY56-IFERROR(IF(INDEX(Daten_Motive!$A:$ZZ,MATCH($B56&amp;"|Rationalisierung",Daten_Motive!$A$1:$A$331,0),$BK$9)="",NA(),INDEX(Daten_Motive!$A:$ZZ,MATCH($B56&amp;"|Rationalisierung",Daten_Motive!$A$1:$A$331,0),$BK$9)),NA()),"")</f>
        <v>2</v>
      </c>
      <c r="BB56" s="50">
        <f>IFERROR(IF(INDEX(Daten_Motive!$A:$ZZ,MATCH($B56&amp;"|Produktinnovation",Daten_Motive!$A$1:$A$331,0),$BK$7)="","",INDEX(Daten_Motive!$A:$ZZ,MATCH($B56&amp;"|Produktinnovation",Daten_Motive!$A$1:$A$331,0),$BK$7)),"")</f>
        <v>32</v>
      </c>
      <c r="BC56" s="49">
        <f>IFERROR(BB56-IFERROR(IF(INDEX(Daten_Motive!$A:$ZZ,MATCH($B56&amp;"|Produktinnovation",Daten_Motive!$A$1:$A$331,0),$BK$8)="",NA(),INDEX(Daten_Motive!$A:$ZZ,MATCH($B56&amp;"|Produktinnovation",Daten_Motive!$A$1:$A$331,0),$BK$8)),NA()),"")</f>
        <v>5</v>
      </c>
      <c r="BD56" s="49">
        <f>IFERROR(BB56-IFERROR(IF(INDEX(Daten_Motive!$A:$ZZ,MATCH($B56&amp;"|Produktinnovation",Daten_Motive!$A$1:$A$331,0),$BK$9)="",NA(),INDEX(Daten_Motive!$A:$ZZ,MATCH($B56&amp;"|Produktinnovation",Daten_Motive!$A$1:$A$331,0),$BK$9)),NA()),"")</f>
        <v>-1</v>
      </c>
      <c r="BE56" s="50">
        <f>IFERROR(IF(INDEX(Daten_Motive!$A:$ZZ,MATCH($B56&amp;"|Umweltschutz",Daten_Motive!$A$1:$A$331,0),$BK$7)="","",INDEX(Daten_Motive!$A:$ZZ,MATCH($B56&amp;"|Umweltschutz",Daten_Motive!$A$1:$A$331,0),$BK$7)),"")</f>
        <v>29</v>
      </c>
      <c r="BF56" s="49">
        <f>IFERROR(BE56-IFERROR(IF(INDEX(Daten_Motive!$A:$ZZ,MATCH($B56&amp;"|Umweltschutz",Daten_Motive!$A$1:$A$331,0),$BK$8)="",NA(),INDEX(Daten_Motive!$A:$ZZ,MATCH($B56&amp;"|Umweltschutz",Daten_Motive!$A$1:$A$331,0),$BK$8)),NA()),"")</f>
        <v>-2</v>
      </c>
      <c r="BG56" s="49">
        <f>IFERROR(BE56-IFERROR(IF(INDEX(Daten_Motive!$A:$ZZ,MATCH($B56&amp;"|Umweltschutz",Daten_Motive!$A$1:$A$331,0),$BK$9)="",NA(),INDEX(Daten_Motive!$A:$ZZ,MATCH($B56&amp;"|Umweltschutz",Daten_Motive!$A$1:$A$331,0),$BK$9)),NA()),"")</f>
        <v>-10</v>
      </c>
      <c r="BH56" s="50">
        <f>IFERROR(IF(INDEX(Daten_Motive!$A:$ZZ,MATCH($B56&amp;"|Kapazitätserweiterung",Daten_Motive!$A$1:$A$331,0),$BK$7)="","",INDEX(Daten_Motive!$A:$ZZ,MATCH($B56&amp;"|Kapazitätserweiterung",Daten_Motive!$A$1:$A$331,0),$BK$7)),"")</f>
        <v>8</v>
      </c>
      <c r="BI56" s="49">
        <f>IFERROR(BH56-IFERROR(IF(INDEX(Daten_Motive!$A:$ZZ,MATCH($B56&amp;"|Kapazitätserweiterung",Daten_Motive!$A$1:$A$331,0),$BK$8)="",NA(),INDEX(Daten_Motive!$A:$ZZ,MATCH($B56&amp;"|Kapazitätserweiterung",Daten_Motive!$A$1:$A$331,0),$BK$8)),NA()),"")</f>
        <v>-2</v>
      </c>
      <c r="BJ56" s="49">
        <f>IFERROR(BH56-IFERROR(IF(INDEX(Daten_Motive!$A:$ZZ,MATCH($B56&amp;"|Kapazitätserweiterung",Daten_Motive!$A$1:$A$331,0),$BK$9)="",NA(),INDEX(Daten_Motive!$A:$ZZ,MATCH($B56&amp;"|Kapazitätserweiterung",Daten_Motive!$A$1:$A$331,0),$BK$9)),NA()),"")</f>
        <v>0</v>
      </c>
    </row>
    <row r="57" spans="1:62" x14ac:dyDescent="0.25">
      <c r="A57" s="42">
        <v>49</v>
      </c>
      <c r="B57" s="52" t="str">
        <f>Listen!A49</f>
        <v>Versicherungswirtschaft</v>
      </c>
      <c r="C57" s="44" t="s">
        <v>4542</v>
      </c>
      <c r="D57" s="44" t="str">
        <f>Listen!B49</f>
        <v>Dienstleister</v>
      </c>
      <c r="E57" s="45">
        <f>IFERROR(IF(INDEX(Daten_Anteile!$A:$ZZ,MATCH($B57&amp;"|Lage|"&amp;$C$3,Daten_Anteile!$A$1:$A$2971,0),5)="","",INDEX(Daten_Anteile!$A:$ZZ,MATCH($B57&amp;"|Lage|"&amp;$C$3,Daten_Anteile!$A$1:$A$2971,0),5)),"")</f>
        <v>62</v>
      </c>
      <c r="F57" s="46">
        <f t="shared" si="3"/>
        <v>131.1</v>
      </c>
      <c r="G57" s="47">
        <f t="shared" si="4"/>
        <v>2.2999999999999998</v>
      </c>
      <c r="H57" s="47">
        <f t="shared" si="5"/>
        <v>-0.8</v>
      </c>
      <c r="I57" s="48">
        <f>IFERROR(IF(INDEX(Daten_Salden!$A:$ZZ,MATCH($B57&amp;"|Lage",Daten_Salden!$A$1:$A$331,0),$BK$1)="","",INDEX(Daten_Salden!$A:$ZZ,MATCH($B57&amp;"|Lage",Daten_Salden!$A$1:$A$331,0),$BK$1)),"")</f>
        <v>52</v>
      </c>
      <c r="J57" s="49">
        <f>IFERROR(I57-IFERROR(IF(INDEX(Daten_Salden!$A:$ZZ,MATCH($B57&amp;"|Lage",Daten_Salden!$A$1:$A$331,0),$BK$2)="",NA(),INDEX(Daten_Salden!$A:$ZZ,MATCH($B57&amp;"|Lage",Daten_Salden!$A$1:$A$331,0),$BK$2)),NA()),"")</f>
        <v>-3</v>
      </c>
      <c r="K57" s="49">
        <f>IFERROR(I57-IFERROR(IF(INDEX(Daten_Salden!$A:$ZZ,MATCH($B57&amp;"|Lage",Daten_Salden!$A$1:$A$331,0),$BK$3)="",NA(),INDEX(Daten_Salden!$A:$ZZ,MATCH($B57&amp;"|Lage",Daten_Salden!$A$1:$A$331,0),$BK$3)),NA()),"")</f>
        <v>2</v>
      </c>
      <c r="L57" s="48">
        <f>IFERROR(IF(INDEX(Daten_Salden!$A:$ZZ,MATCH($B57&amp;"|Erwartungen",Daten_Salden!$A$1:$A$331,0),$BK$1)="","",INDEX(Daten_Salden!$A:$ZZ,MATCH($B57&amp;"|Erwartungen",Daten_Salden!$A$1:$A$331,0),$BK$1)),"")</f>
        <v>13</v>
      </c>
      <c r="M57" s="49">
        <f>IFERROR(L57-IFERROR(IF(INDEX(Daten_Salden!$A:$ZZ,MATCH($B57&amp;"|Erwartungen",Daten_Salden!$A$1:$A$331,0),$BK$2)="",NA(),INDEX(Daten_Salden!$A:$ZZ,MATCH($B57&amp;"|Erwartungen",Daten_Salden!$A$1:$A$331,0),$BK$2)),NA()),"")</f>
        <v>6</v>
      </c>
      <c r="N57" s="49">
        <f>IFERROR(L57-IFERROR(IF(INDEX(Daten_Salden!$A:$ZZ,MATCH($B57&amp;"|Erwartungen",Daten_Salden!$A$1:$A$331,0),$BK$3)="",NA(),INDEX(Daten_Salden!$A:$ZZ,MATCH($B57&amp;"|Erwartungen",Daten_Salden!$A$1:$A$331,0),$BK$3)),NA()),"")</f>
        <v>-3</v>
      </c>
      <c r="O57" s="48" t="str">
        <f>IFERROR(IF(INDEX(Daten_Salden!$A:$ZZ,MATCH($B57&amp;"|Export",Daten_Salden!$A$1:$A$331,0),$BK$1)="","",INDEX(Daten_Salden!$A:$ZZ,MATCH($B57&amp;"|Export",Daten_Salden!$A$1:$A$331,0),$BK$1)),"")</f>
        <v/>
      </c>
      <c r="P57" s="49" t="str">
        <f>IFERROR(O57-IFERROR(IF(INDEX(Daten_Salden!$A:$ZZ,MATCH($B57&amp;"|Export",Daten_Salden!$A$1:$A$331,0),$BK$2)="",NA(),INDEX(Daten_Salden!$A:$ZZ,MATCH($B57&amp;"|Export",Daten_Salden!$A$1:$A$331,0),$BK$2)),NA()),"")</f>
        <v/>
      </c>
      <c r="Q57" s="49" t="str">
        <f>IFERROR(O57-IFERROR(IF(INDEX(Daten_Salden!$A:$ZZ,MATCH($B57&amp;"|Export",Daten_Salden!$A$1:$A$331,0),$BK$3)="",NA(),INDEX(Daten_Salden!$A:$ZZ,MATCH($B57&amp;"|Export",Daten_Salden!$A$1:$A$331,0),$BK$3)),NA()),"")</f>
        <v/>
      </c>
      <c r="R57" s="48">
        <f>IFERROR(IF(INDEX(Daten_Salden!$A:$ZZ,MATCH($B57&amp;"|Investitionen",Daten_Salden!$A$1:$A$331,0),$BK$1)="","",INDEX(Daten_Salden!$A:$ZZ,MATCH($B57&amp;"|Investitionen",Daten_Salden!$A$1:$A$331,0),$BK$1)),"")</f>
        <v>29</v>
      </c>
      <c r="S57" s="49">
        <f>IFERROR(R57-IFERROR(IF(INDEX(Daten_Salden!$A:$ZZ,MATCH($B57&amp;"|Investitionen",Daten_Salden!$A$1:$A$331,0),$BK$2)="",NA(),INDEX(Daten_Salden!$A:$ZZ,MATCH($B57&amp;"|Investitionen",Daten_Salden!$A$1:$A$331,0),$BK$2)),NA()),"")</f>
        <v>11</v>
      </c>
      <c r="T57" s="49">
        <f>IFERROR(R57-IFERROR(IF(INDEX(Daten_Salden!$A:$ZZ,MATCH($B57&amp;"|Investitionen",Daten_Salden!$A$1:$A$331,0),$BK$3)="",NA(),INDEX(Daten_Salden!$A:$ZZ,MATCH($B57&amp;"|Investitionen",Daten_Salden!$A$1:$A$331,0),$BK$3)),NA()),"")</f>
        <v>-10</v>
      </c>
      <c r="U57" s="48">
        <f>IFERROR(IF(INDEX(Daten_Salden!$A:$ZZ,MATCH($B57&amp;"|Beschäftigung",Daten_Salden!$A$1:$A$331,0),$BK$1)="","",INDEX(Daten_Salden!$A:$ZZ,MATCH($B57&amp;"|Beschäftigung",Daten_Salden!$A$1:$A$331,0),$BK$1)),"")</f>
        <v>9</v>
      </c>
      <c r="V57" s="49">
        <f>IFERROR(U57-IFERROR(IF(INDEX(Daten_Salden!$A:$ZZ,MATCH($B57&amp;"|Beschäftigung",Daten_Salden!$A$1:$A$331,0),$BK$2)="",NA(),INDEX(Daten_Salden!$A:$ZZ,MATCH($B57&amp;"|Beschäftigung",Daten_Salden!$A$1:$A$331,0),$BK$2)),NA()),"")</f>
        <v>3</v>
      </c>
      <c r="W57" s="49">
        <f>IFERROR(U57-IFERROR(IF(INDEX(Daten_Salden!$A:$ZZ,MATCH($B57&amp;"|Beschäftigung",Daten_Salden!$A$1:$A$331,0),$BK$3)="",NA(),INDEX(Daten_Salden!$A:$ZZ,MATCH($B57&amp;"|Beschäftigung",Daten_Salden!$A$1:$A$331,0),$BK$3)),NA()),"")</f>
        <v>-12</v>
      </c>
      <c r="X57" s="50">
        <f>IFERROR(IF(INDEX(Daten_Risiken!$A:$ZZ,MATCH($B57&amp;"|Energie- und Rohstoffpreise",Daten_Risiken!$A$1:$A$529,0),$BK$4)="","",INDEX(Daten_Risiken!$A:$ZZ,MATCH($B57&amp;"|Energie- und Rohstoffpreise",Daten_Risiken!$A$1:$A$529,0),$BK$4)),"")</f>
        <v>22</v>
      </c>
      <c r="Y57" s="49">
        <f>IFERROR(X57-IFERROR(IF(INDEX(Daten_Risiken!$A:$ZZ,MATCH($B57&amp;"|Energie- und Rohstoffpreise",Daten_Risiken!$A$1:$A$529,0),$BK$5)="",NA(),INDEX(Daten_Risiken!$A:$ZZ,MATCH($B57&amp;"|Energie- und Rohstoffpreise",Daten_Risiken!$A$1:$A$529,0),$BK$5)),NA()),"")</f>
        <v>-2</v>
      </c>
      <c r="Z57" s="49">
        <f>IFERROR(X57-IFERROR(IF(INDEX(Daten_Risiken!$A:$ZZ,MATCH($B57&amp;"|Energie- und Rohstoffpreise",Daten_Risiken!$A$1:$A$529,0),$BK$6)="",NA(),INDEX(Daten_Risiken!$A:$ZZ,MATCH($B57&amp;"|Energie- und Rohstoffpreise",Daten_Risiken!$A$1:$A$529,0),$BK$6)),NA()),"")</f>
        <v>4</v>
      </c>
      <c r="AA57" s="50">
        <f>IFERROR(IF(INDEX(Daten_Risiken!$A:$ZZ,MATCH($B57&amp;"|Arbeitskosten",Daten_Risiken!$A$1:$A$529,0),$BK$4)="","",INDEX(Daten_Risiken!$A:$ZZ,MATCH($B57&amp;"|Arbeitskosten",Daten_Risiken!$A$1:$A$529,0),$BK$4)),"")</f>
        <v>35</v>
      </c>
      <c r="AB57" s="49">
        <f>IFERROR(AA57-IFERROR(IF(INDEX(Daten_Risiken!$A:$ZZ,MATCH($B57&amp;"|Arbeitskosten",Daten_Risiken!$A$1:$A$529,0),$BK$5)="",NA(),INDEX(Daten_Risiken!$A:$ZZ,MATCH($B57&amp;"|Arbeitskosten",Daten_Risiken!$A$1:$A$529,0),$BK$5)),NA()),"")</f>
        <v>-9</v>
      </c>
      <c r="AC57" s="49">
        <f>IFERROR(AA57-IFERROR(IF(INDEX(Daten_Risiken!$A:$ZZ,MATCH($B57&amp;"|Arbeitskosten",Daten_Risiken!$A$1:$A$529,0),$BK$6)="",NA(),INDEX(Daten_Risiken!$A:$ZZ,MATCH($B57&amp;"|Arbeitskosten",Daten_Risiken!$A$1:$A$529,0),$BK$6)),NA()),"")</f>
        <v>-4</v>
      </c>
      <c r="AD57" s="50">
        <f>IFERROR(IF(INDEX(Daten_Risiken!$A:$ZZ,MATCH($B57&amp;"|Inlandsnachfrage",Daten_Risiken!$A$1:$A$529,0),$BK$4)="","",INDEX(Daten_Risiken!$A:$ZZ,MATCH($B57&amp;"|Inlandsnachfrage",Daten_Risiken!$A$1:$A$529,0),$BK$4)),"")</f>
        <v>60</v>
      </c>
      <c r="AE57" s="49">
        <f>IFERROR(AD57-IFERROR(IF(INDEX(Daten_Risiken!$A:$ZZ,MATCH($B57&amp;"|Inlandsnachfrage",Daten_Risiken!$A$1:$A$529,0),$BK$5)="",NA(),INDEX(Daten_Risiken!$A:$ZZ,MATCH($B57&amp;"|Inlandsnachfrage",Daten_Risiken!$A$1:$A$529,0),$BK$5)),NA()),"")</f>
        <v>4</v>
      </c>
      <c r="AF57" s="49">
        <f>IFERROR(AD57-IFERROR(IF(INDEX(Daten_Risiken!$A:$ZZ,MATCH($B57&amp;"|Inlandsnachfrage",Daten_Risiken!$A$1:$A$529,0),$BK$6)="",NA(),INDEX(Daten_Risiken!$A:$ZZ,MATCH($B57&amp;"|Inlandsnachfrage",Daten_Risiken!$A$1:$A$529,0),$BK$6)),NA()),"")</f>
        <v>15</v>
      </c>
      <c r="AG57" s="50">
        <f>IFERROR(IF(INDEX(Daten_Risiken!$A:$ZZ,MATCH($B57&amp;"|Wirtschaftspolitische Rahmenbedingungen",Daten_Risiken!$A$1:$A$529,0),$BK$4)="","",INDEX(Daten_Risiken!$A:$ZZ,MATCH($B57&amp;"|Wirtschaftspolitische Rahmenbedingungen",Daten_Risiken!$A$1:$A$529,0),$BK$4)),"")</f>
        <v>60</v>
      </c>
      <c r="AH57" s="49">
        <f>IFERROR(AG57-IFERROR(IF(INDEX(Daten_Risiken!$A:$ZZ,MATCH($B57&amp;"|Wirtschaftspolitische Rahmenbedingungen",Daten_Risiken!$A$1:$A$529,0),$BK$5)="",NA(),INDEX(Daten_Risiken!$A:$ZZ,MATCH($B57&amp;"|Wirtschaftspolitische Rahmenbedingungen",Daten_Risiken!$A$1:$A$529,0),$BK$5)),NA()),"")</f>
        <v>-8</v>
      </c>
      <c r="AI57" s="49">
        <f>IFERROR(AG57-IFERROR(IF(INDEX(Daten_Risiken!$A:$ZZ,MATCH($B57&amp;"|Wirtschaftspolitische Rahmenbedingungen",Daten_Risiken!$A$1:$A$529,0),$BK$6)="",NA(),INDEX(Daten_Risiken!$A:$ZZ,MATCH($B57&amp;"|Wirtschaftspolitische Rahmenbedingungen",Daten_Risiken!$A$1:$A$529,0),$BK$6)),NA()),"")</f>
        <v>-5</v>
      </c>
      <c r="AJ57" s="50">
        <f>IFERROR(IF(INDEX(Daten_Risiken!$A:$ZZ,MATCH($B57&amp;"|Fachkräftemangel",Daten_Risiken!$A$1:$A$529,0),$BK$4)="","",INDEX(Daten_Risiken!$A:$ZZ,MATCH($B57&amp;"|Fachkräftemangel",Daten_Risiken!$A$1:$A$529,0),$BK$4)),"")</f>
        <v>47</v>
      </c>
      <c r="AK57" s="49">
        <f>IFERROR(AJ57-IFERROR(IF(INDEX(Daten_Risiken!$A:$ZZ,MATCH($B57&amp;"|Fachkräftemangel",Daten_Risiken!$A$1:$A$529,0),$BK$5)="",NA(),INDEX(Daten_Risiken!$A:$ZZ,MATCH($B57&amp;"|Fachkräftemangel",Daten_Risiken!$A$1:$A$529,0),$BK$5)),NA()),"")</f>
        <v>-18</v>
      </c>
      <c r="AL57" s="49">
        <f>IFERROR(AJ57-IFERROR(IF(INDEX(Daten_Risiken!$A:$ZZ,MATCH($B57&amp;"|Fachkräftemangel",Daten_Risiken!$A$1:$A$529,0),$BK$6)="",NA(),INDEX(Daten_Risiken!$A:$ZZ,MATCH($B57&amp;"|Fachkräftemangel",Daten_Risiken!$A$1:$A$529,0),$BK$6)),NA()),"")</f>
        <v>-20</v>
      </c>
      <c r="AM57" s="50" t="str">
        <f>IFERROR(IF(INDEX(Daten_Risiken!$A:$ZZ,MATCH($B57&amp;"|Auslandsnachfrage",Daten_Risiken!$A$1:$A$529,0),$BK$4)="","",INDEX(Daten_Risiken!$A:$ZZ,MATCH($B57&amp;"|Auslandsnachfrage",Daten_Risiken!$A$1:$A$529,0),$BK$4)),"")</f>
        <v/>
      </c>
      <c r="AN57" s="49" t="str">
        <f>IFERROR(AM57-IFERROR(IF(INDEX(Daten_Risiken!$A:$ZZ,MATCH($B57&amp;"|Auslandsnachfrage",Daten_Risiken!$A$1:$A$529,0),$BK$5)="",NA(),INDEX(Daten_Risiken!$A:$ZZ,MATCH($B57&amp;"|Auslandsnachfrage",Daten_Risiken!$A$1:$A$529,0),$BK$5)),NA()),"")</f>
        <v/>
      </c>
      <c r="AO57" s="49" t="str">
        <f>IFERROR(AM57-IFERROR(IF(INDEX(Daten_Risiken!$A:$ZZ,MATCH($B57&amp;"|Auslandsnachfrage",Daten_Risiken!$A$1:$A$529,0),$BK$6)="",NA(),INDEX(Daten_Risiken!$A:$ZZ,MATCH($B57&amp;"|Auslandsnachfrage",Daten_Risiken!$A$1:$A$529,0),$BK$6)),NA()),"")</f>
        <v/>
      </c>
      <c r="AP57" s="50">
        <f>IFERROR(IF(INDEX(Daten_Risiken!$A:$ZZ,MATCH($B57&amp;"|Finanzierung",Daten_Risiken!$A$1:$A$529,0),$BK$4)="","",INDEX(Daten_Risiken!$A:$ZZ,MATCH($B57&amp;"|Finanzierung",Daten_Risiken!$A$1:$A$529,0),$BK$4)),"")</f>
        <v>12</v>
      </c>
      <c r="AQ57" s="49">
        <f>IFERROR(AP57-IFERROR(IF(INDEX(Daten_Risiken!$A:$ZZ,MATCH($B57&amp;"|Finanzierung",Daten_Risiken!$A$1:$A$529,0),$BK$5)="",NA(),INDEX(Daten_Risiken!$A:$ZZ,MATCH($B57&amp;"|Finanzierung",Daten_Risiken!$A$1:$A$529,0),$BK$5)),NA()),"")</f>
        <v>11</v>
      </c>
      <c r="AR57" s="49">
        <f>IFERROR(AP57-IFERROR(IF(INDEX(Daten_Risiken!$A:$ZZ,MATCH($B57&amp;"|Finanzierung",Daten_Risiken!$A$1:$A$529,0),$BK$6)="",NA(),INDEX(Daten_Risiken!$A:$ZZ,MATCH($B57&amp;"|Finanzierung",Daten_Risiken!$A$1:$A$529,0),$BK$6)),NA()),"")</f>
        <v>8</v>
      </c>
      <c r="AS57" s="50" t="str">
        <f>IFERROR(IF(INDEX(Daten_Risiken!$A:$ZZ,MATCH($B57&amp;"|Wechselkurs",Daten_Risiken!$A$1:$A$529,0),$BK$4)="","",INDEX(Daten_Risiken!$A:$ZZ,MATCH($B57&amp;"|Wechselkurs",Daten_Risiken!$A$1:$A$529,0),$BK$4)),"")</f>
        <v/>
      </c>
      <c r="AT57" s="49" t="str">
        <f>IFERROR(AS57-IFERROR(IF(INDEX(Daten_Risiken!$A:$ZZ,MATCH($B57&amp;"|Wechselkurs",Daten_Risiken!$A$1:$A$529,0),$BK$5)="",NA(),INDEX(Daten_Risiken!$A:$ZZ,MATCH($B57&amp;"|Wechselkurs",Daten_Risiken!$A$1:$A$529,0),$BK$5)),NA()),"")</f>
        <v/>
      </c>
      <c r="AU57" s="49" t="str">
        <f>IFERROR(AS57-IFERROR(IF(INDEX(Daten_Risiken!$A:$ZZ,MATCH($B57&amp;"|Wechselkurs",Daten_Risiken!$A$1:$A$529,0),$BK$6)="",NA(),INDEX(Daten_Risiken!$A:$ZZ,MATCH($B57&amp;"|Wechselkurs",Daten_Risiken!$A$1:$A$529,0),$BK$6)),NA()),"")</f>
        <v/>
      </c>
      <c r="AV57" s="50">
        <f>IFERROR(IF(INDEX(Daten_Motive!$A:$ZZ,MATCH($B57&amp;"|Ersatzbedarf",Daten_Motive!$A$1:$A$331,0),$BK$7)="","",INDEX(Daten_Motive!$A:$ZZ,MATCH($B57&amp;"|Ersatzbedarf",Daten_Motive!$A$1:$A$331,0),$BK$7)),"")</f>
        <v>34</v>
      </c>
      <c r="AW57" s="49">
        <f>IFERROR(AV57-IFERROR(IF(INDEX(Daten_Motive!$A:$ZZ,MATCH($B57&amp;"|Ersatzbedarf",Daten_Motive!$A$1:$A$331,0),$BK$8)="",NA(),INDEX(Daten_Motive!$A:$ZZ,MATCH($B57&amp;"|Ersatzbedarf",Daten_Motive!$A$1:$A$331,0),$BK$8)),NA()),"")</f>
        <v>11</v>
      </c>
      <c r="AX57" s="49">
        <f>IFERROR(AV57-IFERROR(IF(INDEX(Daten_Motive!$A:$ZZ,MATCH($B57&amp;"|Ersatzbedarf",Daten_Motive!$A$1:$A$331,0),$BK$9)="",NA(),INDEX(Daten_Motive!$A:$ZZ,MATCH($B57&amp;"|Ersatzbedarf",Daten_Motive!$A$1:$A$331,0),$BK$9)),NA()),"")</f>
        <v>0</v>
      </c>
      <c r="AY57" s="50">
        <f>IFERROR(IF(INDEX(Daten_Motive!$A:$ZZ,MATCH($B57&amp;"|Rationalisierung",Daten_Motive!$A$1:$A$331,0),$BK$7)="","",INDEX(Daten_Motive!$A:$ZZ,MATCH($B57&amp;"|Rationalisierung",Daten_Motive!$A$1:$A$331,0),$BK$7)),"")</f>
        <v>68</v>
      </c>
      <c r="AZ57" s="49">
        <f>IFERROR(AY57-IFERROR(IF(INDEX(Daten_Motive!$A:$ZZ,MATCH($B57&amp;"|Rationalisierung",Daten_Motive!$A$1:$A$331,0),$BK$8)="",NA(),INDEX(Daten_Motive!$A:$ZZ,MATCH($B57&amp;"|Rationalisierung",Daten_Motive!$A$1:$A$331,0),$BK$8)),NA()),"")</f>
        <v>1</v>
      </c>
      <c r="BA57" s="49">
        <f>IFERROR(AY57-IFERROR(IF(INDEX(Daten_Motive!$A:$ZZ,MATCH($B57&amp;"|Rationalisierung",Daten_Motive!$A$1:$A$331,0),$BK$9)="",NA(),INDEX(Daten_Motive!$A:$ZZ,MATCH($B57&amp;"|Rationalisierung",Daten_Motive!$A$1:$A$331,0),$BK$9)),NA()),"")</f>
        <v>6</v>
      </c>
      <c r="BB57" s="50">
        <f>IFERROR(IF(INDEX(Daten_Motive!$A:$ZZ,MATCH($B57&amp;"|Produktinnovation",Daten_Motive!$A$1:$A$331,0),$BK$7)="","",INDEX(Daten_Motive!$A:$ZZ,MATCH($B57&amp;"|Produktinnovation",Daten_Motive!$A$1:$A$331,0),$BK$7)),"")</f>
        <v>66</v>
      </c>
      <c r="BC57" s="49">
        <f>IFERROR(BB57-IFERROR(IF(INDEX(Daten_Motive!$A:$ZZ,MATCH($B57&amp;"|Produktinnovation",Daten_Motive!$A$1:$A$331,0),$BK$8)="",NA(),INDEX(Daten_Motive!$A:$ZZ,MATCH($B57&amp;"|Produktinnovation",Daten_Motive!$A$1:$A$331,0),$BK$8)),NA()),"")</f>
        <v>4</v>
      </c>
      <c r="BD57" s="49">
        <f>IFERROR(BB57-IFERROR(IF(INDEX(Daten_Motive!$A:$ZZ,MATCH($B57&amp;"|Produktinnovation",Daten_Motive!$A$1:$A$331,0),$BK$9)="",NA(),INDEX(Daten_Motive!$A:$ZZ,MATCH($B57&amp;"|Produktinnovation",Daten_Motive!$A$1:$A$331,0),$BK$9)),NA()),"")</f>
        <v>6</v>
      </c>
      <c r="BE57" s="50">
        <f>IFERROR(IF(INDEX(Daten_Motive!$A:$ZZ,MATCH($B57&amp;"|Umweltschutz",Daten_Motive!$A$1:$A$331,0),$BK$7)="","",INDEX(Daten_Motive!$A:$ZZ,MATCH($B57&amp;"|Umweltschutz",Daten_Motive!$A$1:$A$331,0),$BK$7)),"")</f>
        <v>12</v>
      </c>
      <c r="BF57" s="49">
        <f>IFERROR(BE57-IFERROR(IF(INDEX(Daten_Motive!$A:$ZZ,MATCH($B57&amp;"|Umweltschutz",Daten_Motive!$A$1:$A$331,0),$BK$8)="",NA(),INDEX(Daten_Motive!$A:$ZZ,MATCH($B57&amp;"|Umweltschutz",Daten_Motive!$A$1:$A$331,0),$BK$8)),NA()),"")</f>
        <v>8</v>
      </c>
      <c r="BG57" s="49">
        <f>IFERROR(BE57-IFERROR(IF(INDEX(Daten_Motive!$A:$ZZ,MATCH($B57&amp;"|Umweltschutz",Daten_Motive!$A$1:$A$331,0),$BK$9)="",NA(),INDEX(Daten_Motive!$A:$ZZ,MATCH($B57&amp;"|Umweltschutz",Daten_Motive!$A$1:$A$331,0),$BK$9)),NA()),"")</f>
        <v>4</v>
      </c>
      <c r="BH57" s="50">
        <f>IFERROR(IF(INDEX(Daten_Motive!$A:$ZZ,MATCH($B57&amp;"|Kapazitätserweiterung",Daten_Motive!$A$1:$A$331,0),$BK$7)="","",INDEX(Daten_Motive!$A:$ZZ,MATCH($B57&amp;"|Kapazitätserweiterung",Daten_Motive!$A$1:$A$331,0),$BK$7)),"")</f>
        <v>23</v>
      </c>
      <c r="BI57" s="49">
        <f>IFERROR(BH57-IFERROR(IF(INDEX(Daten_Motive!$A:$ZZ,MATCH($B57&amp;"|Kapazitätserweiterung",Daten_Motive!$A$1:$A$331,0),$BK$8)="",NA(),INDEX(Daten_Motive!$A:$ZZ,MATCH($B57&amp;"|Kapazitätserweiterung",Daten_Motive!$A$1:$A$331,0),$BK$8)),NA()),"")</f>
        <v>-5</v>
      </c>
      <c r="BJ57" s="49">
        <f>IFERROR(BH57-IFERROR(IF(INDEX(Daten_Motive!$A:$ZZ,MATCH($B57&amp;"|Kapazitätserweiterung",Daten_Motive!$A$1:$A$331,0),$BK$9)="",NA(),INDEX(Daten_Motive!$A:$ZZ,MATCH($B57&amp;"|Kapazitätserweiterung",Daten_Motive!$A$1:$A$331,0),$BK$9)),NA()),"")</f>
        <v>-1</v>
      </c>
    </row>
    <row r="58" spans="1:62" x14ac:dyDescent="0.25">
      <c r="A58" s="42">
        <v>50</v>
      </c>
      <c r="B58" s="52" t="str">
        <f>Listen!A50</f>
        <v>Immobilienwirtschaft</v>
      </c>
      <c r="C58" s="44" t="s">
        <v>4543</v>
      </c>
      <c r="D58" s="44" t="str">
        <f>Listen!B50</f>
        <v>Dienstleister</v>
      </c>
      <c r="E58" s="45">
        <f>IFERROR(IF(INDEX(Daten_Anteile!$A:$ZZ,MATCH($B58&amp;"|Lage|"&amp;$C$3,Daten_Anteile!$A$1:$A$2971,0),5)="","",INDEX(Daten_Anteile!$A:$ZZ,MATCH($B58&amp;"|Lage|"&amp;$C$3,Daten_Anteile!$A$1:$A$2971,0),5)),"")</f>
        <v>994</v>
      </c>
      <c r="F58" s="46">
        <f t="shared" si="3"/>
        <v>98</v>
      </c>
      <c r="G58" s="47">
        <f t="shared" si="4"/>
        <v>2.4</v>
      </c>
      <c r="H58" s="47">
        <f t="shared" si="5"/>
        <v>-7.8</v>
      </c>
      <c r="I58" s="48">
        <f>IFERROR(IF(INDEX(Daten_Salden!$A:$ZZ,MATCH($B58&amp;"|Lage",Daten_Salden!$A$1:$A$331,0),$BK$1)="","",INDEX(Daten_Salden!$A:$ZZ,MATCH($B58&amp;"|Lage",Daten_Salden!$A$1:$A$331,0),$BK$1)),"")</f>
        <v>13</v>
      </c>
      <c r="J58" s="49">
        <f>IFERROR(I58-IFERROR(IF(INDEX(Daten_Salden!$A:$ZZ,MATCH($B58&amp;"|Lage",Daten_Salden!$A$1:$A$331,0),$BK$2)="",NA(),INDEX(Daten_Salden!$A:$ZZ,MATCH($B58&amp;"|Lage",Daten_Salden!$A$1:$A$331,0),$BK$2)),NA()),"")</f>
        <v>3</v>
      </c>
      <c r="K58" s="49">
        <f>IFERROR(I58-IFERROR(IF(INDEX(Daten_Salden!$A:$ZZ,MATCH($B58&amp;"|Lage",Daten_Salden!$A$1:$A$331,0),$BK$3)="",NA(),INDEX(Daten_Salden!$A:$ZZ,MATCH($B58&amp;"|Lage",Daten_Salden!$A$1:$A$331,0),$BK$3)),NA()),"")</f>
        <v>-6</v>
      </c>
      <c r="L58" s="48">
        <f>IFERROR(IF(INDEX(Daten_Salden!$A:$ZZ,MATCH($B58&amp;"|Erwartungen",Daten_Salden!$A$1:$A$331,0),$BK$1)="","",INDEX(Daten_Salden!$A:$ZZ,MATCH($B58&amp;"|Erwartungen",Daten_Salden!$A$1:$A$331,0),$BK$1)),"")</f>
        <v>-15</v>
      </c>
      <c r="M58" s="49">
        <f>IFERROR(L58-IFERROR(IF(INDEX(Daten_Salden!$A:$ZZ,MATCH($B58&amp;"|Erwartungen",Daten_Salden!$A$1:$A$331,0),$BK$2)="",NA(),INDEX(Daten_Salden!$A:$ZZ,MATCH($B58&amp;"|Erwartungen",Daten_Salden!$A$1:$A$331,0),$BK$2)),NA()),"")</f>
        <v>2</v>
      </c>
      <c r="N58" s="49">
        <f>IFERROR(L58-IFERROR(IF(INDEX(Daten_Salden!$A:$ZZ,MATCH($B58&amp;"|Erwartungen",Daten_Salden!$A$1:$A$331,0),$BK$3)="",NA(),INDEX(Daten_Salden!$A:$ZZ,MATCH($B58&amp;"|Erwartungen",Daten_Salden!$A$1:$A$331,0),$BK$3)),NA()),"")</f>
        <v>-9</v>
      </c>
      <c r="O58" s="48" t="str">
        <f>IFERROR(IF(INDEX(Daten_Salden!$A:$ZZ,MATCH($B58&amp;"|Export",Daten_Salden!$A$1:$A$331,0),$BK$1)="","",INDEX(Daten_Salden!$A:$ZZ,MATCH($B58&amp;"|Export",Daten_Salden!$A$1:$A$331,0),$BK$1)),"")</f>
        <v/>
      </c>
      <c r="P58" s="49" t="str">
        <f>IFERROR(O58-IFERROR(IF(INDEX(Daten_Salden!$A:$ZZ,MATCH($B58&amp;"|Export",Daten_Salden!$A$1:$A$331,0),$BK$2)="",NA(),INDEX(Daten_Salden!$A:$ZZ,MATCH($B58&amp;"|Export",Daten_Salden!$A$1:$A$331,0),$BK$2)),NA()),"")</f>
        <v/>
      </c>
      <c r="Q58" s="49" t="str">
        <f>IFERROR(O58-IFERROR(IF(INDEX(Daten_Salden!$A:$ZZ,MATCH($B58&amp;"|Export",Daten_Salden!$A$1:$A$331,0),$BK$3)="",NA(),INDEX(Daten_Salden!$A:$ZZ,MATCH($B58&amp;"|Export",Daten_Salden!$A$1:$A$331,0),$BK$3)),NA()),"")</f>
        <v/>
      </c>
      <c r="R58" s="48">
        <f>IFERROR(IF(INDEX(Daten_Salden!$A:$ZZ,MATCH($B58&amp;"|Investitionen",Daten_Salden!$A$1:$A$331,0),$BK$1)="","",INDEX(Daten_Salden!$A:$ZZ,MATCH($B58&amp;"|Investitionen",Daten_Salden!$A$1:$A$331,0),$BK$1)),"")</f>
        <v>1</v>
      </c>
      <c r="S58" s="49">
        <f>IFERROR(R58-IFERROR(IF(INDEX(Daten_Salden!$A:$ZZ,MATCH($B58&amp;"|Investitionen",Daten_Salden!$A$1:$A$331,0),$BK$2)="",NA(),INDEX(Daten_Salden!$A:$ZZ,MATCH($B58&amp;"|Investitionen",Daten_Salden!$A$1:$A$331,0),$BK$2)),NA()),"")</f>
        <v>-2</v>
      </c>
      <c r="T58" s="49">
        <f>IFERROR(R58-IFERROR(IF(INDEX(Daten_Salden!$A:$ZZ,MATCH($B58&amp;"|Investitionen",Daten_Salden!$A$1:$A$331,0),$BK$3)="",NA(),INDEX(Daten_Salden!$A:$ZZ,MATCH($B58&amp;"|Investitionen",Daten_Salden!$A$1:$A$331,0),$BK$3)),NA()),"")</f>
        <v>-2</v>
      </c>
      <c r="U58" s="48">
        <f>IFERROR(IF(INDEX(Daten_Salden!$A:$ZZ,MATCH($B58&amp;"|Beschäftigung",Daten_Salden!$A$1:$A$331,0),$BK$1)="","",INDEX(Daten_Salden!$A:$ZZ,MATCH($B58&amp;"|Beschäftigung",Daten_Salden!$A$1:$A$331,0),$BK$1)),"")</f>
        <v>-6</v>
      </c>
      <c r="V58" s="49">
        <f>IFERROR(U58-IFERROR(IF(INDEX(Daten_Salden!$A:$ZZ,MATCH($B58&amp;"|Beschäftigung",Daten_Salden!$A$1:$A$331,0),$BK$2)="",NA(),INDEX(Daten_Salden!$A:$ZZ,MATCH($B58&amp;"|Beschäftigung",Daten_Salden!$A$1:$A$331,0),$BK$2)),NA()),"")</f>
        <v>0</v>
      </c>
      <c r="W58" s="49">
        <f>IFERROR(U58-IFERROR(IF(INDEX(Daten_Salden!$A:$ZZ,MATCH($B58&amp;"|Beschäftigung",Daten_Salden!$A$1:$A$331,0),$BK$3)="",NA(),INDEX(Daten_Salden!$A:$ZZ,MATCH($B58&amp;"|Beschäftigung",Daten_Salden!$A$1:$A$331,0),$BK$3)),NA()),"")</f>
        <v>-2</v>
      </c>
      <c r="X58" s="50">
        <f>IFERROR(IF(INDEX(Daten_Risiken!$A:$ZZ,MATCH($B58&amp;"|Energie- und Rohstoffpreise",Daten_Risiken!$A$1:$A$529,0),$BK$4)="","",INDEX(Daten_Risiken!$A:$ZZ,MATCH($B58&amp;"|Energie- und Rohstoffpreise",Daten_Risiken!$A$1:$A$529,0),$BK$4)),"")</f>
        <v>64</v>
      </c>
      <c r="Y58" s="49">
        <f>IFERROR(X58-IFERROR(IF(INDEX(Daten_Risiken!$A:$ZZ,MATCH($B58&amp;"|Energie- und Rohstoffpreise",Daten_Risiken!$A$1:$A$529,0),$BK$5)="",NA(),INDEX(Daten_Risiken!$A:$ZZ,MATCH($B58&amp;"|Energie- und Rohstoffpreise",Daten_Risiken!$A$1:$A$529,0),$BK$5)),NA()),"")</f>
        <v>-3</v>
      </c>
      <c r="Z58" s="49">
        <f>IFERROR(X58-IFERROR(IF(INDEX(Daten_Risiken!$A:$ZZ,MATCH($B58&amp;"|Energie- und Rohstoffpreise",Daten_Risiken!$A$1:$A$529,0),$BK$6)="",NA(),INDEX(Daten_Risiken!$A:$ZZ,MATCH($B58&amp;"|Energie- und Rohstoffpreise",Daten_Risiken!$A$1:$A$529,0),$BK$6)),NA()),"")</f>
        <v>14</v>
      </c>
      <c r="AA58" s="50">
        <f>IFERROR(IF(INDEX(Daten_Risiken!$A:$ZZ,MATCH($B58&amp;"|Arbeitskosten",Daten_Risiken!$A$1:$A$529,0),$BK$4)="","",INDEX(Daten_Risiken!$A:$ZZ,MATCH($B58&amp;"|Arbeitskosten",Daten_Risiken!$A$1:$A$529,0),$BK$4)),"")</f>
        <v>40</v>
      </c>
      <c r="AB58" s="49">
        <f>IFERROR(AA58-IFERROR(IF(INDEX(Daten_Risiken!$A:$ZZ,MATCH($B58&amp;"|Arbeitskosten",Daten_Risiken!$A$1:$A$529,0),$BK$5)="",NA(),INDEX(Daten_Risiken!$A:$ZZ,MATCH($B58&amp;"|Arbeitskosten",Daten_Risiken!$A$1:$A$529,0),$BK$5)),NA()),"")</f>
        <v>-4</v>
      </c>
      <c r="AC58" s="49">
        <f>IFERROR(AA58-IFERROR(IF(INDEX(Daten_Risiken!$A:$ZZ,MATCH($B58&amp;"|Arbeitskosten",Daten_Risiken!$A$1:$A$529,0),$BK$6)="",NA(),INDEX(Daten_Risiken!$A:$ZZ,MATCH($B58&amp;"|Arbeitskosten",Daten_Risiken!$A$1:$A$529,0),$BK$6)),NA()),"")</f>
        <v>-1</v>
      </c>
      <c r="AD58" s="50">
        <f>IFERROR(IF(INDEX(Daten_Risiken!$A:$ZZ,MATCH($B58&amp;"|Inlandsnachfrage",Daten_Risiken!$A$1:$A$529,0),$BK$4)="","",INDEX(Daten_Risiken!$A:$ZZ,MATCH($B58&amp;"|Inlandsnachfrage",Daten_Risiken!$A$1:$A$529,0),$BK$4)),"")</f>
        <v>40</v>
      </c>
      <c r="AE58" s="49">
        <f>IFERROR(AD58-IFERROR(IF(INDEX(Daten_Risiken!$A:$ZZ,MATCH($B58&amp;"|Inlandsnachfrage",Daten_Risiken!$A$1:$A$529,0),$BK$5)="",NA(),INDEX(Daten_Risiken!$A:$ZZ,MATCH($B58&amp;"|Inlandsnachfrage",Daten_Risiken!$A$1:$A$529,0),$BK$5)),NA()),"")</f>
        <v>-3</v>
      </c>
      <c r="AF58" s="49">
        <f>IFERROR(AD58-IFERROR(IF(INDEX(Daten_Risiken!$A:$ZZ,MATCH($B58&amp;"|Inlandsnachfrage",Daten_Risiken!$A$1:$A$529,0),$BK$6)="",NA(),INDEX(Daten_Risiken!$A:$ZZ,MATCH($B58&amp;"|Inlandsnachfrage",Daten_Risiken!$A$1:$A$529,0),$BK$6)),NA()),"")</f>
        <v>0</v>
      </c>
      <c r="AG58" s="50">
        <f>IFERROR(IF(INDEX(Daten_Risiken!$A:$ZZ,MATCH($B58&amp;"|Wirtschaftspolitische Rahmenbedingungen",Daten_Risiken!$A$1:$A$529,0),$BK$4)="","",INDEX(Daten_Risiken!$A:$ZZ,MATCH($B58&amp;"|Wirtschaftspolitische Rahmenbedingungen",Daten_Risiken!$A$1:$A$529,0),$BK$4)),"")</f>
        <v>66</v>
      </c>
      <c r="AH58" s="49">
        <f>IFERROR(AG58-IFERROR(IF(INDEX(Daten_Risiken!$A:$ZZ,MATCH($B58&amp;"|Wirtschaftspolitische Rahmenbedingungen",Daten_Risiken!$A$1:$A$529,0),$BK$5)="",NA(),INDEX(Daten_Risiken!$A:$ZZ,MATCH($B58&amp;"|Wirtschaftspolitische Rahmenbedingungen",Daten_Risiken!$A$1:$A$529,0),$BK$5)),NA()),"")</f>
        <v>4</v>
      </c>
      <c r="AI58" s="49">
        <f>IFERROR(AG58-IFERROR(IF(INDEX(Daten_Risiken!$A:$ZZ,MATCH($B58&amp;"|Wirtschaftspolitische Rahmenbedingungen",Daten_Risiken!$A$1:$A$529,0),$BK$6)="",NA(),INDEX(Daten_Risiken!$A:$ZZ,MATCH($B58&amp;"|Wirtschaftspolitische Rahmenbedingungen",Daten_Risiken!$A$1:$A$529,0),$BK$6)),NA()),"")</f>
        <v>5</v>
      </c>
      <c r="AJ58" s="50">
        <f>IFERROR(IF(INDEX(Daten_Risiken!$A:$ZZ,MATCH($B58&amp;"|Fachkräftemangel",Daten_Risiken!$A$1:$A$529,0),$BK$4)="","",INDEX(Daten_Risiken!$A:$ZZ,MATCH($B58&amp;"|Fachkräftemangel",Daten_Risiken!$A$1:$A$529,0),$BK$4)),"")</f>
        <v>30</v>
      </c>
      <c r="AK58" s="49">
        <f>IFERROR(AJ58-IFERROR(IF(INDEX(Daten_Risiken!$A:$ZZ,MATCH($B58&amp;"|Fachkräftemangel",Daten_Risiken!$A$1:$A$529,0),$BK$5)="",NA(),INDEX(Daten_Risiken!$A:$ZZ,MATCH($B58&amp;"|Fachkräftemangel",Daten_Risiken!$A$1:$A$529,0),$BK$5)),NA()),"")</f>
        <v>-3</v>
      </c>
      <c r="AL58" s="49">
        <f>IFERROR(AJ58-IFERROR(IF(INDEX(Daten_Risiken!$A:$ZZ,MATCH($B58&amp;"|Fachkräftemangel",Daten_Risiken!$A$1:$A$529,0),$BK$6)="",NA(),INDEX(Daten_Risiken!$A:$ZZ,MATCH($B58&amp;"|Fachkräftemangel",Daten_Risiken!$A$1:$A$529,0),$BK$6)),NA()),"")</f>
        <v>-9</v>
      </c>
      <c r="AM58" s="50" t="str">
        <f>IFERROR(IF(INDEX(Daten_Risiken!$A:$ZZ,MATCH($B58&amp;"|Auslandsnachfrage",Daten_Risiken!$A$1:$A$529,0),$BK$4)="","",INDEX(Daten_Risiken!$A:$ZZ,MATCH($B58&amp;"|Auslandsnachfrage",Daten_Risiken!$A$1:$A$529,0),$BK$4)),"")</f>
        <v/>
      </c>
      <c r="AN58" s="49" t="str">
        <f>IFERROR(AM58-IFERROR(IF(INDEX(Daten_Risiken!$A:$ZZ,MATCH($B58&amp;"|Auslandsnachfrage",Daten_Risiken!$A$1:$A$529,0),$BK$5)="",NA(),INDEX(Daten_Risiken!$A:$ZZ,MATCH($B58&amp;"|Auslandsnachfrage",Daten_Risiken!$A$1:$A$529,0),$BK$5)),NA()),"")</f>
        <v/>
      </c>
      <c r="AO58" s="49" t="str">
        <f>IFERROR(AM58-IFERROR(IF(INDEX(Daten_Risiken!$A:$ZZ,MATCH($B58&amp;"|Auslandsnachfrage",Daten_Risiken!$A$1:$A$529,0),$BK$6)="",NA(),INDEX(Daten_Risiken!$A:$ZZ,MATCH($B58&amp;"|Auslandsnachfrage",Daten_Risiken!$A$1:$A$529,0),$BK$6)),NA()),"")</f>
        <v/>
      </c>
      <c r="AP58" s="50">
        <f>IFERROR(IF(INDEX(Daten_Risiken!$A:$ZZ,MATCH($B58&amp;"|Finanzierung",Daten_Risiken!$A$1:$A$529,0),$BK$4)="","",INDEX(Daten_Risiken!$A:$ZZ,MATCH($B58&amp;"|Finanzierung",Daten_Risiken!$A$1:$A$529,0),$BK$4)),"")</f>
        <v>43</v>
      </c>
      <c r="AQ58" s="49">
        <f>IFERROR(AP58-IFERROR(IF(INDEX(Daten_Risiken!$A:$ZZ,MATCH($B58&amp;"|Finanzierung",Daten_Risiken!$A$1:$A$529,0),$BK$5)="",NA(),INDEX(Daten_Risiken!$A:$ZZ,MATCH($B58&amp;"|Finanzierung",Daten_Risiken!$A$1:$A$529,0),$BK$5)),NA()),"")</f>
        <v>4</v>
      </c>
      <c r="AR58" s="49">
        <f>IFERROR(AP58-IFERROR(IF(INDEX(Daten_Risiken!$A:$ZZ,MATCH($B58&amp;"|Finanzierung",Daten_Risiken!$A$1:$A$529,0),$BK$6)="",NA(),INDEX(Daten_Risiken!$A:$ZZ,MATCH($B58&amp;"|Finanzierung",Daten_Risiken!$A$1:$A$529,0),$BK$6)),NA()),"")</f>
        <v>7</v>
      </c>
      <c r="AS58" s="50" t="str">
        <f>IFERROR(IF(INDEX(Daten_Risiken!$A:$ZZ,MATCH($B58&amp;"|Wechselkurs",Daten_Risiken!$A$1:$A$529,0),$BK$4)="","",INDEX(Daten_Risiken!$A:$ZZ,MATCH($B58&amp;"|Wechselkurs",Daten_Risiken!$A$1:$A$529,0),$BK$4)),"")</f>
        <v/>
      </c>
      <c r="AT58" s="49" t="str">
        <f>IFERROR(AS58-IFERROR(IF(INDEX(Daten_Risiken!$A:$ZZ,MATCH($B58&amp;"|Wechselkurs",Daten_Risiken!$A$1:$A$529,0),$BK$5)="",NA(),INDEX(Daten_Risiken!$A:$ZZ,MATCH($B58&amp;"|Wechselkurs",Daten_Risiken!$A$1:$A$529,0),$BK$5)),NA()),"")</f>
        <v/>
      </c>
      <c r="AU58" s="49" t="str">
        <f>IFERROR(AS58-IFERROR(IF(INDEX(Daten_Risiken!$A:$ZZ,MATCH($B58&amp;"|Wechselkurs",Daten_Risiken!$A$1:$A$529,0),$BK$6)="",NA(),INDEX(Daten_Risiken!$A:$ZZ,MATCH($B58&amp;"|Wechselkurs",Daten_Risiken!$A$1:$A$529,0),$BK$6)),NA()),"")</f>
        <v/>
      </c>
      <c r="AV58" s="50">
        <f>IFERROR(IF(INDEX(Daten_Motive!$A:$ZZ,MATCH($B58&amp;"|Ersatzbedarf",Daten_Motive!$A$1:$A$331,0),$BK$7)="","",INDEX(Daten_Motive!$A:$ZZ,MATCH($B58&amp;"|Ersatzbedarf",Daten_Motive!$A$1:$A$331,0),$BK$7)),"")</f>
        <v>62</v>
      </c>
      <c r="AW58" s="49">
        <f>IFERROR(AV58-IFERROR(IF(INDEX(Daten_Motive!$A:$ZZ,MATCH($B58&amp;"|Ersatzbedarf",Daten_Motive!$A$1:$A$331,0),$BK$8)="",NA(),INDEX(Daten_Motive!$A:$ZZ,MATCH($B58&amp;"|Ersatzbedarf",Daten_Motive!$A$1:$A$331,0),$BK$8)),NA()),"")</f>
        <v>3</v>
      </c>
      <c r="AX58" s="49">
        <f>IFERROR(AV58-IFERROR(IF(INDEX(Daten_Motive!$A:$ZZ,MATCH($B58&amp;"|Ersatzbedarf",Daten_Motive!$A$1:$A$331,0),$BK$9)="",NA(),INDEX(Daten_Motive!$A:$ZZ,MATCH($B58&amp;"|Ersatzbedarf",Daten_Motive!$A$1:$A$331,0),$BK$9)),NA()),"")</f>
        <v>0</v>
      </c>
      <c r="AY58" s="50">
        <f>IFERROR(IF(INDEX(Daten_Motive!$A:$ZZ,MATCH($B58&amp;"|Rationalisierung",Daten_Motive!$A$1:$A$331,0),$BK$7)="","",INDEX(Daten_Motive!$A:$ZZ,MATCH($B58&amp;"|Rationalisierung",Daten_Motive!$A$1:$A$331,0),$BK$7)),"")</f>
        <v>26</v>
      </c>
      <c r="AZ58" s="49">
        <f>IFERROR(AY58-IFERROR(IF(INDEX(Daten_Motive!$A:$ZZ,MATCH($B58&amp;"|Rationalisierung",Daten_Motive!$A$1:$A$331,0),$BK$8)="",NA(),INDEX(Daten_Motive!$A:$ZZ,MATCH($B58&amp;"|Rationalisierung",Daten_Motive!$A$1:$A$331,0),$BK$8)),NA()),"")</f>
        <v>-1</v>
      </c>
      <c r="BA58" s="49">
        <f>IFERROR(AY58-IFERROR(IF(INDEX(Daten_Motive!$A:$ZZ,MATCH($B58&amp;"|Rationalisierung",Daten_Motive!$A$1:$A$331,0),$BK$9)="",NA(),INDEX(Daten_Motive!$A:$ZZ,MATCH($B58&amp;"|Rationalisierung",Daten_Motive!$A$1:$A$331,0),$BK$9)),NA()),"")</f>
        <v>0</v>
      </c>
      <c r="BB58" s="50">
        <f>IFERROR(IF(INDEX(Daten_Motive!$A:$ZZ,MATCH($B58&amp;"|Produktinnovation",Daten_Motive!$A$1:$A$331,0),$BK$7)="","",INDEX(Daten_Motive!$A:$ZZ,MATCH($B58&amp;"|Produktinnovation",Daten_Motive!$A$1:$A$331,0),$BK$7)),"")</f>
        <v>21</v>
      </c>
      <c r="BC58" s="49">
        <f>IFERROR(BB58-IFERROR(IF(INDEX(Daten_Motive!$A:$ZZ,MATCH($B58&amp;"|Produktinnovation",Daten_Motive!$A$1:$A$331,0),$BK$8)="",NA(),INDEX(Daten_Motive!$A:$ZZ,MATCH($B58&amp;"|Produktinnovation",Daten_Motive!$A$1:$A$331,0),$BK$8)),NA()),"")</f>
        <v>1</v>
      </c>
      <c r="BD58" s="49">
        <f>IFERROR(BB58-IFERROR(IF(INDEX(Daten_Motive!$A:$ZZ,MATCH($B58&amp;"|Produktinnovation",Daten_Motive!$A$1:$A$331,0),$BK$9)="",NA(),INDEX(Daten_Motive!$A:$ZZ,MATCH($B58&amp;"|Produktinnovation",Daten_Motive!$A$1:$A$331,0),$BK$9)),NA()),"")</f>
        <v>1</v>
      </c>
      <c r="BE58" s="50">
        <f>IFERROR(IF(INDEX(Daten_Motive!$A:$ZZ,MATCH($B58&amp;"|Umweltschutz",Daten_Motive!$A$1:$A$331,0),$BK$7)="","",INDEX(Daten_Motive!$A:$ZZ,MATCH($B58&amp;"|Umweltschutz",Daten_Motive!$A$1:$A$331,0),$BK$7)),"")</f>
        <v>22</v>
      </c>
      <c r="BF58" s="49">
        <f>IFERROR(BE58-IFERROR(IF(INDEX(Daten_Motive!$A:$ZZ,MATCH($B58&amp;"|Umweltschutz",Daten_Motive!$A$1:$A$331,0),$BK$8)="",NA(),INDEX(Daten_Motive!$A:$ZZ,MATCH($B58&amp;"|Umweltschutz",Daten_Motive!$A$1:$A$331,0),$BK$8)),NA()),"")</f>
        <v>-1</v>
      </c>
      <c r="BG58" s="49">
        <f>IFERROR(BE58-IFERROR(IF(INDEX(Daten_Motive!$A:$ZZ,MATCH($B58&amp;"|Umweltschutz",Daten_Motive!$A$1:$A$331,0),$BK$9)="",NA(),INDEX(Daten_Motive!$A:$ZZ,MATCH($B58&amp;"|Umweltschutz",Daten_Motive!$A$1:$A$331,0),$BK$9)),NA()),"")</f>
        <v>-3</v>
      </c>
      <c r="BH58" s="50">
        <f>IFERROR(IF(INDEX(Daten_Motive!$A:$ZZ,MATCH($B58&amp;"|Kapazitätserweiterung",Daten_Motive!$A$1:$A$331,0),$BK$7)="","",INDEX(Daten_Motive!$A:$ZZ,MATCH($B58&amp;"|Kapazitätserweiterung",Daten_Motive!$A$1:$A$331,0),$BK$7)),"")</f>
        <v>25</v>
      </c>
      <c r="BI58" s="49">
        <f>IFERROR(BH58-IFERROR(IF(INDEX(Daten_Motive!$A:$ZZ,MATCH($B58&amp;"|Kapazitätserweiterung",Daten_Motive!$A$1:$A$331,0),$BK$8)="",NA(),INDEX(Daten_Motive!$A:$ZZ,MATCH($B58&amp;"|Kapazitätserweiterung",Daten_Motive!$A$1:$A$331,0),$BK$8)),NA()),"")</f>
        <v>-1</v>
      </c>
      <c r="BJ58" s="49">
        <f>IFERROR(BH58-IFERROR(IF(INDEX(Daten_Motive!$A:$ZZ,MATCH($B58&amp;"|Kapazitätserweiterung",Daten_Motive!$A$1:$A$331,0),$BK$9)="",NA(),INDEX(Daten_Motive!$A:$ZZ,MATCH($B58&amp;"|Kapazitätserweiterung",Daten_Motive!$A$1:$A$331,0),$BK$9)),NA()),"")</f>
        <v>0</v>
      </c>
    </row>
    <row r="59" spans="1:62" x14ac:dyDescent="0.25">
      <c r="A59" s="42">
        <v>51</v>
      </c>
      <c r="B59" s="52" t="str">
        <f>Listen!A56</f>
        <v>Rechts- und Steuerberatung, Wirtschaftsprüfung</v>
      </c>
      <c r="C59" s="44" t="s">
        <v>4549</v>
      </c>
      <c r="D59" s="44" t="str">
        <f>Listen!B56</f>
        <v>Dienstleister</v>
      </c>
      <c r="E59" s="45">
        <f>IFERROR(IF(INDEX(Daten_Anteile!$A:$ZZ,MATCH($B59&amp;"|Lage|"&amp;$C$3,Daten_Anteile!$A$1:$A$2971,0),5)="","",INDEX(Daten_Anteile!$A:$ZZ,MATCH($B59&amp;"|Lage|"&amp;$C$3,Daten_Anteile!$A$1:$A$2971,0),5)),"")</f>
        <v>233</v>
      </c>
      <c r="F59" s="46">
        <f t="shared" si="3"/>
        <v>126.1</v>
      </c>
      <c r="G59" s="47">
        <f t="shared" si="4"/>
        <v>9.6</v>
      </c>
      <c r="H59" s="47">
        <f t="shared" si="5"/>
        <v>2.4</v>
      </c>
      <c r="I59" s="48">
        <f>IFERROR(IF(INDEX(Daten_Salden!$A:$ZZ,MATCH($B59&amp;"|Lage",Daten_Salden!$A$1:$A$331,0),$BK$1)="","",INDEX(Daten_Salden!$A:$ZZ,MATCH($B59&amp;"|Lage",Daten_Salden!$A$1:$A$331,0),$BK$1)),"")</f>
        <v>50</v>
      </c>
      <c r="J59" s="49">
        <f>IFERROR(I59-IFERROR(IF(INDEX(Daten_Salden!$A:$ZZ,MATCH($B59&amp;"|Lage",Daten_Salden!$A$1:$A$331,0),$BK$2)="",NA(),INDEX(Daten_Salden!$A:$ZZ,MATCH($B59&amp;"|Lage",Daten_Salden!$A$1:$A$331,0),$BK$2)),NA()),"")</f>
        <v>4</v>
      </c>
      <c r="K59" s="49">
        <f>IFERROR(I59-IFERROR(IF(INDEX(Daten_Salden!$A:$ZZ,MATCH($B59&amp;"|Lage",Daten_Salden!$A$1:$A$331,0),$BK$3)="",NA(),INDEX(Daten_Salden!$A:$ZZ,MATCH($B59&amp;"|Lage",Daten_Salden!$A$1:$A$331,0),$BK$3)),NA()),"")</f>
        <v>-3</v>
      </c>
      <c r="L59" s="48">
        <f>IFERROR(IF(INDEX(Daten_Salden!$A:$ZZ,MATCH($B59&amp;"|Erwartungen",Daten_Salden!$A$1:$A$331,0),$BK$1)="","",INDEX(Daten_Salden!$A:$ZZ,MATCH($B59&amp;"|Erwartungen",Daten_Salden!$A$1:$A$331,0),$BK$1)),"")</f>
        <v>6</v>
      </c>
      <c r="M59" s="49">
        <f>IFERROR(L59-IFERROR(IF(INDEX(Daten_Salden!$A:$ZZ,MATCH($B59&amp;"|Erwartungen",Daten_Salden!$A$1:$A$331,0),$BK$2)="",NA(),INDEX(Daten_Salden!$A:$ZZ,MATCH($B59&amp;"|Erwartungen",Daten_Salden!$A$1:$A$331,0),$BK$2)),NA()),"")</f>
        <v>13</v>
      </c>
      <c r="N59" s="49">
        <f>IFERROR(L59-IFERROR(IF(INDEX(Daten_Salden!$A:$ZZ,MATCH($B59&amp;"|Erwartungen",Daten_Salden!$A$1:$A$331,0),$BK$3)="",NA(),INDEX(Daten_Salden!$A:$ZZ,MATCH($B59&amp;"|Erwartungen",Daten_Salden!$A$1:$A$331,0),$BK$3)),NA()),"")</f>
        <v>6</v>
      </c>
      <c r="O59" s="48" t="str">
        <f>IFERROR(IF(INDEX(Daten_Salden!$A:$ZZ,MATCH($B59&amp;"|Export",Daten_Salden!$A$1:$A$331,0),$BK$1)="","",INDEX(Daten_Salden!$A:$ZZ,MATCH($B59&amp;"|Export",Daten_Salden!$A$1:$A$331,0),$BK$1)),"")</f>
        <v/>
      </c>
      <c r="P59" s="49" t="str">
        <f>IFERROR(O59-IFERROR(IF(INDEX(Daten_Salden!$A:$ZZ,MATCH($B59&amp;"|Export",Daten_Salden!$A$1:$A$331,0),$BK$2)="",NA(),INDEX(Daten_Salden!$A:$ZZ,MATCH($B59&amp;"|Export",Daten_Salden!$A$1:$A$331,0),$BK$2)),NA()),"")</f>
        <v/>
      </c>
      <c r="Q59" s="49" t="str">
        <f>IFERROR(O59-IFERROR(IF(INDEX(Daten_Salden!$A:$ZZ,MATCH($B59&amp;"|Export",Daten_Salden!$A$1:$A$331,0),$BK$3)="",NA(),INDEX(Daten_Salden!$A:$ZZ,MATCH($B59&amp;"|Export",Daten_Salden!$A$1:$A$331,0),$BK$3)),NA()),"")</f>
        <v/>
      </c>
      <c r="R59" s="48">
        <f>IFERROR(IF(INDEX(Daten_Salden!$A:$ZZ,MATCH($B59&amp;"|Investitionen",Daten_Salden!$A$1:$A$331,0),$BK$1)="","",INDEX(Daten_Salden!$A:$ZZ,MATCH($B59&amp;"|Investitionen",Daten_Salden!$A$1:$A$331,0),$BK$1)),"")</f>
        <v>16</v>
      </c>
      <c r="S59" s="49">
        <f>IFERROR(R59-IFERROR(IF(INDEX(Daten_Salden!$A:$ZZ,MATCH($B59&amp;"|Investitionen",Daten_Salden!$A$1:$A$331,0),$BK$2)="",NA(),INDEX(Daten_Salden!$A:$ZZ,MATCH($B59&amp;"|Investitionen",Daten_Salden!$A$1:$A$331,0),$BK$2)),NA()),"")</f>
        <v>9</v>
      </c>
      <c r="T59" s="49">
        <f>IFERROR(R59-IFERROR(IF(INDEX(Daten_Salden!$A:$ZZ,MATCH($B59&amp;"|Investitionen",Daten_Salden!$A$1:$A$331,0),$BK$3)="",NA(),INDEX(Daten_Salden!$A:$ZZ,MATCH($B59&amp;"|Investitionen",Daten_Salden!$A$1:$A$331,0),$BK$3)),NA()),"")</f>
        <v>4</v>
      </c>
      <c r="U59" s="48">
        <f>IFERROR(IF(INDEX(Daten_Salden!$A:$ZZ,MATCH($B59&amp;"|Beschäftigung",Daten_Salden!$A$1:$A$331,0),$BK$1)="","",INDEX(Daten_Salden!$A:$ZZ,MATCH($B59&amp;"|Beschäftigung",Daten_Salden!$A$1:$A$331,0),$BK$1)),"")</f>
        <v>7</v>
      </c>
      <c r="V59" s="49">
        <f>IFERROR(U59-IFERROR(IF(INDEX(Daten_Salden!$A:$ZZ,MATCH($B59&amp;"|Beschäftigung",Daten_Salden!$A$1:$A$331,0),$BK$2)="",NA(),INDEX(Daten_Salden!$A:$ZZ,MATCH($B59&amp;"|Beschäftigung",Daten_Salden!$A$1:$A$331,0),$BK$2)),NA()),"")</f>
        <v>-2</v>
      </c>
      <c r="W59" s="49">
        <f>IFERROR(U59-IFERROR(IF(INDEX(Daten_Salden!$A:$ZZ,MATCH($B59&amp;"|Beschäftigung",Daten_Salden!$A$1:$A$331,0),$BK$3)="",NA(),INDEX(Daten_Salden!$A:$ZZ,MATCH($B59&amp;"|Beschäftigung",Daten_Salden!$A$1:$A$331,0),$BK$3)),NA()),"")</f>
        <v>-2</v>
      </c>
      <c r="X59" s="50">
        <f>IFERROR(IF(INDEX(Daten_Risiken!$A:$ZZ,MATCH($B59&amp;"|Energie- und Rohstoffpreise",Daten_Risiken!$A$1:$A$529,0),$BK$4)="","",INDEX(Daten_Risiken!$A:$ZZ,MATCH($B59&amp;"|Energie- und Rohstoffpreise",Daten_Risiken!$A$1:$A$529,0),$BK$4)),"")</f>
        <v>18</v>
      </c>
      <c r="Y59" s="49">
        <f>IFERROR(X59-IFERROR(IF(INDEX(Daten_Risiken!$A:$ZZ,MATCH($B59&amp;"|Energie- und Rohstoffpreise",Daten_Risiken!$A$1:$A$529,0),$BK$5)="",NA(),INDEX(Daten_Risiken!$A:$ZZ,MATCH($B59&amp;"|Energie- und Rohstoffpreise",Daten_Risiken!$A$1:$A$529,0),$BK$5)),NA()),"")</f>
        <v>-5</v>
      </c>
      <c r="Z59" s="49">
        <f>IFERROR(X59-IFERROR(IF(INDEX(Daten_Risiken!$A:$ZZ,MATCH($B59&amp;"|Energie- und Rohstoffpreise",Daten_Risiken!$A$1:$A$529,0),$BK$6)="",NA(),INDEX(Daten_Risiken!$A:$ZZ,MATCH($B59&amp;"|Energie- und Rohstoffpreise",Daten_Risiken!$A$1:$A$529,0),$BK$6)),NA()),"")</f>
        <v>6</v>
      </c>
      <c r="AA59" s="50">
        <f>IFERROR(IF(INDEX(Daten_Risiken!$A:$ZZ,MATCH($B59&amp;"|Arbeitskosten",Daten_Risiken!$A$1:$A$529,0),$BK$4)="","",INDEX(Daten_Risiken!$A:$ZZ,MATCH($B59&amp;"|Arbeitskosten",Daten_Risiken!$A$1:$A$529,0),$BK$4)),"")</f>
        <v>51</v>
      </c>
      <c r="AB59" s="49">
        <f>IFERROR(AA59-IFERROR(IF(INDEX(Daten_Risiken!$A:$ZZ,MATCH($B59&amp;"|Arbeitskosten",Daten_Risiken!$A$1:$A$529,0),$BK$5)="",NA(),INDEX(Daten_Risiken!$A:$ZZ,MATCH($B59&amp;"|Arbeitskosten",Daten_Risiken!$A$1:$A$529,0),$BK$5)),NA()),"")</f>
        <v>4</v>
      </c>
      <c r="AC59" s="49">
        <f>IFERROR(AA59-IFERROR(IF(INDEX(Daten_Risiken!$A:$ZZ,MATCH($B59&amp;"|Arbeitskosten",Daten_Risiken!$A$1:$A$529,0),$BK$6)="",NA(),INDEX(Daten_Risiken!$A:$ZZ,MATCH($B59&amp;"|Arbeitskosten",Daten_Risiken!$A$1:$A$529,0),$BK$6)),NA()),"")</f>
        <v>4</v>
      </c>
      <c r="AD59" s="50">
        <f>IFERROR(IF(INDEX(Daten_Risiken!$A:$ZZ,MATCH($B59&amp;"|Inlandsnachfrage",Daten_Risiken!$A$1:$A$529,0),$BK$4)="","",INDEX(Daten_Risiken!$A:$ZZ,MATCH($B59&amp;"|Inlandsnachfrage",Daten_Risiken!$A$1:$A$529,0),$BK$4)),"")</f>
        <v>29</v>
      </c>
      <c r="AE59" s="49">
        <f>IFERROR(AD59-IFERROR(IF(INDEX(Daten_Risiken!$A:$ZZ,MATCH($B59&amp;"|Inlandsnachfrage",Daten_Risiken!$A$1:$A$529,0),$BK$5)="",NA(),INDEX(Daten_Risiken!$A:$ZZ,MATCH($B59&amp;"|Inlandsnachfrage",Daten_Risiken!$A$1:$A$529,0),$BK$5)),NA()),"")</f>
        <v>-5</v>
      </c>
      <c r="AF59" s="49">
        <f>IFERROR(AD59-IFERROR(IF(INDEX(Daten_Risiken!$A:$ZZ,MATCH($B59&amp;"|Inlandsnachfrage",Daten_Risiken!$A$1:$A$529,0),$BK$6)="",NA(),INDEX(Daten_Risiken!$A:$ZZ,MATCH($B59&amp;"|Inlandsnachfrage",Daten_Risiken!$A$1:$A$529,0),$BK$6)),NA()),"")</f>
        <v>-4</v>
      </c>
      <c r="AG59" s="50">
        <f>IFERROR(IF(INDEX(Daten_Risiken!$A:$ZZ,MATCH($B59&amp;"|Wirtschaftspolitische Rahmenbedingungen",Daten_Risiken!$A$1:$A$529,0),$BK$4)="","",INDEX(Daten_Risiken!$A:$ZZ,MATCH($B59&amp;"|Wirtschaftspolitische Rahmenbedingungen",Daten_Risiken!$A$1:$A$529,0),$BK$4)),"")</f>
        <v>50</v>
      </c>
      <c r="AH59" s="49">
        <f>IFERROR(AG59-IFERROR(IF(INDEX(Daten_Risiken!$A:$ZZ,MATCH($B59&amp;"|Wirtschaftspolitische Rahmenbedingungen",Daten_Risiken!$A$1:$A$529,0),$BK$5)="",NA(),INDEX(Daten_Risiken!$A:$ZZ,MATCH($B59&amp;"|Wirtschaftspolitische Rahmenbedingungen",Daten_Risiken!$A$1:$A$529,0),$BK$5)),NA()),"")</f>
        <v>3</v>
      </c>
      <c r="AI59" s="49">
        <f>IFERROR(AG59-IFERROR(IF(INDEX(Daten_Risiken!$A:$ZZ,MATCH($B59&amp;"|Wirtschaftspolitische Rahmenbedingungen",Daten_Risiken!$A$1:$A$529,0),$BK$6)="",NA(),INDEX(Daten_Risiken!$A:$ZZ,MATCH($B59&amp;"|Wirtschaftspolitische Rahmenbedingungen",Daten_Risiken!$A$1:$A$529,0),$BK$6)),NA()),"")</f>
        <v>1</v>
      </c>
      <c r="AJ59" s="50">
        <f>IFERROR(IF(INDEX(Daten_Risiken!$A:$ZZ,MATCH($B59&amp;"|Fachkräftemangel",Daten_Risiken!$A$1:$A$529,0),$BK$4)="","",INDEX(Daten_Risiken!$A:$ZZ,MATCH($B59&amp;"|Fachkräftemangel",Daten_Risiken!$A$1:$A$529,0),$BK$4)),"")</f>
        <v>63</v>
      </c>
      <c r="AK59" s="49">
        <f>IFERROR(AJ59-IFERROR(IF(INDEX(Daten_Risiken!$A:$ZZ,MATCH($B59&amp;"|Fachkräftemangel",Daten_Risiken!$A$1:$A$529,0),$BK$5)="",NA(),INDEX(Daten_Risiken!$A:$ZZ,MATCH($B59&amp;"|Fachkräftemangel",Daten_Risiken!$A$1:$A$529,0),$BK$5)),NA()),"")</f>
        <v>1</v>
      </c>
      <c r="AL59" s="49">
        <f>IFERROR(AJ59-IFERROR(IF(INDEX(Daten_Risiken!$A:$ZZ,MATCH($B59&amp;"|Fachkräftemangel",Daten_Risiken!$A$1:$A$529,0),$BK$6)="",NA(),INDEX(Daten_Risiken!$A:$ZZ,MATCH($B59&amp;"|Fachkräftemangel",Daten_Risiken!$A$1:$A$529,0),$BK$6)),NA()),"")</f>
        <v>-6</v>
      </c>
      <c r="AM59" s="50" t="str">
        <f>IFERROR(IF(INDEX(Daten_Risiken!$A:$ZZ,MATCH($B59&amp;"|Auslandsnachfrage",Daten_Risiken!$A$1:$A$529,0),$BK$4)="","",INDEX(Daten_Risiken!$A:$ZZ,MATCH($B59&amp;"|Auslandsnachfrage",Daten_Risiken!$A$1:$A$529,0),$BK$4)),"")</f>
        <v/>
      </c>
      <c r="AN59" s="49" t="str">
        <f>IFERROR(AM59-IFERROR(IF(INDEX(Daten_Risiken!$A:$ZZ,MATCH($B59&amp;"|Auslandsnachfrage",Daten_Risiken!$A$1:$A$529,0),$BK$5)="",NA(),INDEX(Daten_Risiken!$A:$ZZ,MATCH($B59&amp;"|Auslandsnachfrage",Daten_Risiken!$A$1:$A$529,0),$BK$5)),NA()),"")</f>
        <v/>
      </c>
      <c r="AO59" s="49" t="str">
        <f>IFERROR(AM59-IFERROR(IF(INDEX(Daten_Risiken!$A:$ZZ,MATCH($B59&amp;"|Auslandsnachfrage",Daten_Risiken!$A$1:$A$529,0),$BK$6)="",NA(),INDEX(Daten_Risiken!$A:$ZZ,MATCH($B59&amp;"|Auslandsnachfrage",Daten_Risiken!$A$1:$A$529,0),$BK$6)),NA()),"")</f>
        <v/>
      </c>
      <c r="AP59" s="50">
        <f>IFERROR(IF(INDEX(Daten_Risiken!$A:$ZZ,MATCH($B59&amp;"|Finanzierung",Daten_Risiken!$A$1:$A$529,0),$BK$4)="","",INDEX(Daten_Risiken!$A:$ZZ,MATCH($B59&amp;"|Finanzierung",Daten_Risiken!$A$1:$A$529,0),$BK$4)),"")</f>
        <v>6</v>
      </c>
      <c r="AQ59" s="49">
        <f>IFERROR(AP59-IFERROR(IF(INDEX(Daten_Risiken!$A:$ZZ,MATCH($B59&amp;"|Finanzierung",Daten_Risiken!$A$1:$A$529,0),$BK$5)="",NA(),INDEX(Daten_Risiken!$A:$ZZ,MATCH($B59&amp;"|Finanzierung",Daten_Risiken!$A$1:$A$529,0),$BK$5)),NA()),"")</f>
        <v>-1</v>
      </c>
      <c r="AR59" s="49">
        <f>IFERROR(AP59-IFERROR(IF(INDEX(Daten_Risiken!$A:$ZZ,MATCH($B59&amp;"|Finanzierung",Daten_Risiken!$A$1:$A$529,0),$BK$6)="",NA(),INDEX(Daten_Risiken!$A:$ZZ,MATCH($B59&amp;"|Finanzierung",Daten_Risiken!$A$1:$A$529,0),$BK$6)),NA()),"")</f>
        <v>1</v>
      </c>
      <c r="AS59" s="50" t="str">
        <f>IFERROR(IF(INDEX(Daten_Risiken!$A:$ZZ,MATCH($B59&amp;"|Wechselkurs",Daten_Risiken!$A$1:$A$529,0),$BK$4)="","",INDEX(Daten_Risiken!$A:$ZZ,MATCH($B59&amp;"|Wechselkurs",Daten_Risiken!$A$1:$A$529,0),$BK$4)),"")</f>
        <v/>
      </c>
      <c r="AT59" s="49" t="str">
        <f>IFERROR(AS59-IFERROR(IF(INDEX(Daten_Risiken!$A:$ZZ,MATCH($B59&amp;"|Wechselkurs",Daten_Risiken!$A$1:$A$529,0),$BK$5)="",NA(),INDEX(Daten_Risiken!$A:$ZZ,MATCH($B59&amp;"|Wechselkurs",Daten_Risiken!$A$1:$A$529,0),$BK$5)),NA()),"")</f>
        <v/>
      </c>
      <c r="AU59" s="49" t="str">
        <f>IFERROR(AS59-IFERROR(IF(INDEX(Daten_Risiken!$A:$ZZ,MATCH($B59&amp;"|Wechselkurs",Daten_Risiken!$A$1:$A$529,0),$BK$6)="",NA(),INDEX(Daten_Risiken!$A:$ZZ,MATCH($B59&amp;"|Wechselkurs",Daten_Risiken!$A$1:$A$529,0),$BK$6)),NA()),"")</f>
        <v/>
      </c>
      <c r="AV59" s="50">
        <f>IFERROR(IF(INDEX(Daten_Motive!$A:$ZZ,MATCH($B59&amp;"|Ersatzbedarf",Daten_Motive!$A$1:$A$331,0),$BK$7)="","",INDEX(Daten_Motive!$A:$ZZ,MATCH($B59&amp;"|Ersatzbedarf",Daten_Motive!$A$1:$A$331,0),$BK$7)),"")</f>
        <v>57</v>
      </c>
      <c r="AW59" s="49">
        <f>IFERROR(AV59-IFERROR(IF(INDEX(Daten_Motive!$A:$ZZ,MATCH($B59&amp;"|Ersatzbedarf",Daten_Motive!$A$1:$A$331,0),$BK$8)="",NA(),INDEX(Daten_Motive!$A:$ZZ,MATCH($B59&amp;"|Ersatzbedarf",Daten_Motive!$A$1:$A$331,0),$BK$8)),NA()),"")</f>
        <v>-4</v>
      </c>
      <c r="AX59" s="49">
        <f>IFERROR(AV59-IFERROR(IF(INDEX(Daten_Motive!$A:$ZZ,MATCH($B59&amp;"|Ersatzbedarf",Daten_Motive!$A$1:$A$331,0),$BK$9)="",NA(),INDEX(Daten_Motive!$A:$ZZ,MATCH($B59&amp;"|Ersatzbedarf",Daten_Motive!$A$1:$A$331,0),$BK$9)),NA()),"")</f>
        <v>-5</v>
      </c>
      <c r="AY59" s="50">
        <f>IFERROR(IF(INDEX(Daten_Motive!$A:$ZZ,MATCH($B59&amp;"|Rationalisierung",Daten_Motive!$A$1:$A$331,0),$BK$7)="","",INDEX(Daten_Motive!$A:$ZZ,MATCH($B59&amp;"|Rationalisierung",Daten_Motive!$A$1:$A$331,0),$BK$7)),"")</f>
        <v>52</v>
      </c>
      <c r="AZ59" s="49">
        <f>IFERROR(AY59-IFERROR(IF(INDEX(Daten_Motive!$A:$ZZ,MATCH($B59&amp;"|Rationalisierung",Daten_Motive!$A$1:$A$331,0),$BK$8)="",NA(),INDEX(Daten_Motive!$A:$ZZ,MATCH($B59&amp;"|Rationalisierung",Daten_Motive!$A$1:$A$331,0),$BK$8)),NA()),"")</f>
        <v>8</v>
      </c>
      <c r="BA59" s="49">
        <f>IFERROR(AY59-IFERROR(IF(INDEX(Daten_Motive!$A:$ZZ,MATCH($B59&amp;"|Rationalisierung",Daten_Motive!$A$1:$A$331,0),$BK$9)="",NA(),INDEX(Daten_Motive!$A:$ZZ,MATCH($B59&amp;"|Rationalisierung",Daten_Motive!$A$1:$A$331,0),$BK$9)),NA()),"")</f>
        <v>6</v>
      </c>
      <c r="BB59" s="50">
        <f>IFERROR(IF(INDEX(Daten_Motive!$A:$ZZ,MATCH($B59&amp;"|Produktinnovation",Daten_Motive!$A$1:$A$331,0),$BK$7)="","",INDEX(Daten_Motive!$A:$ZZ,MATCH($B59&amp;"|Produktinnovation",Daten_Motive!$A$1:$A$331,0),$BK$7)),"")</f>
        <v>32</v>
      </c>
      <c r="BC59" s="49">
        <f>IFERROR(BB59-IFERROR(IF(INDEX(Daten_Motive!$A:$ZZ,MATCH($B59&amp;"|Produktinnovation",Daten_Motive!$A$1:$A$331,0),$BK$8)="",NA(),INDEX(Daten_Motive!$A:$ZZ,MATCH($B59&amp;"|Produktinnovation",Daten_Motive!$A$1:$A$331,0),$BK$8)),NA()),"")</f>
        <v>4</v>
      </c>
      <c r="BD59" s="49">
        <f>IFERROR(BB59-IFERROR(IF(INDEX(Daten_Motive!$A:$ZZ,MATCH($B59&amp;"|Produktinnovation",Daten_Motive!$A$1:$A$331,0),$BK$9)="",NA(),INDEX(Daten_Motive!$A:$ZZ,MATCH($B59&amp;"|Produktinnovation",Daten_Motive!$A$1:$A$331,0),$BK$9)),NA()),"")</f>
        <v>10</v>
      </c>
      <c r="BE59" s="50">
        <f>IFERROR(IF(INDEX(Daten_Motive!$A:$ZZ,MATCH($B59&amp;"|Umweltschutz",Daten_Motive!$A$1:$A$331,0),$BK$7)="","",INDEX(Daten_Motive!$A:$ZZ,MATCH($B59&amp;"|Umweltschutz",Daten_Motive!$A$1:$A$331,0),$BK$7)),"")</f>
        <v>4</v>
      </c>
      <c r="BF59" s="49">
        <f>IFERROR(BE59-IFERROR(IF(INDEX(Daten_Motive!$A:$ZZ,MATCH($B59&amp;"|Umweltschutz",Daten_Motive!$A$1:$A$331,0),$BK$8)="",NA(),INDEX(Daten_Motive!$A:$ZZ,MATCH($B59&amp;"|Umweltschutz",Daten_Motive!$A$1:$A$331,0),$BK$8)),NA()),"")</f>
        <v>2</v>
      </c>
      <c r="BG59" s="49">
        <f>IFERROR(BE59-IFERROR(IF(INDEX(Daten_Motive!$A:$ZZ,MATCH($B59&amp;"|Umweltschutz",Daten_Motive!$A$1:$A$331,0),$BK$9)="",NA(),INDEX(Daten_Motive!$A:$ZZ,MATCH($B59&amp;"|Umweltschutz",Daten_Motive!$A$1:$A$331,0),$BK$9)),NA()),"")</f>
        <v>-2</v>
      </c>
      <c r="BH59" s="50">
        <f>IFERROR(IF(INDEX(Daten_Motive!$A:$ZZ,MATCH($B59&amp;"|Kapazitätserweiterung",Daten_Motive!$A$1:$A$331,0),$BK$7)="","",INDEX(Daten_Motive!$A:$ZZ,MATCH($B59&amp;"|Kapazitätserweiterung",Daten_Motive!$A$1:$A$331,0),$BK$7)),"")</f>
        <v>23</v>
      </c>
      <c r="BI59" s="49">
        <f>IFERROR(BH59-IFERROR(IF(INDEX(Daten_Motive!$A:$ZZ,MATCH($B59&amp;"|Kapazitätserweiterung",Daten_Motive!$A$1:$A$331,0),$BK$8)="",NA(),INDEX(Daten_Motive!$A:$ZZ,MATCH($B59&amp;"|Kapazitätserweiterung",Daten_Motive!$A$1:$A$331,0),$BK$8)),NA()),"")</f>
        <v>7</v>
      </c>
      <c r="BJ59" s="49">
        <f>IFERROR(BH59-IFERROR(IF(INDEX(Daten_Motive!$A:$ZZ,MATCH($B59&amp;"|Kapazitätserweiterung",Daten_Motive!$A$1:$A$331,0),$BK$9)="",NA(),INDEX(Daten_Motive!$A:$ZZ,MATCH($B59&amp;"|Kapazitätserweiterung",Daten_Motive!$A$1:$A$331,0),$BK$9)),NA()),"")</f>
        <v>7</v>
      </c>
    </row>
    <row r="60" spans="1:62" x14ac:dyDescent="0.25">
      <c r="A60" s="42">
        <v>52</v>
      </c>
      <c r="B60" s="52" t="str">
        <f>Listen!A57</f>
        <v>Unternehmensberatung</v>
      </c>
      <c r="C60" s="44" t="s">
        <v>4550</v>
      </c>
      <c r="D60" s="44" t="str">
        <f>Listen!B57</f>
        <v>Dienstleister</v>
      </c>
      <c r="E60" s="45">
        <f>IFERROR(IF(INDEX(Daten_Anteile!$A:$ZZ,MATCH($B60&amp;"|Lage|"&amp;$C$3,Daten_Anteile!$A$1:$A$2971,0),5)="","",INDEX(Daten_Anteile!$A:$ZZ,MATCH($B60&amp;"|Lage|"&amp;$C$3,Daten_Anteile!$A$1:$A$2971,0),5)),"")</f>
        <v>740</v>
      </c>
      <c r="F60" s="46">
        <f t="shared" si="3"/>
        <v>101.4</v>
      </c>
      <c r="G60" s="47">
        <f t="shared" si="4"/>
        <v>4.7</v>
      </c>
      <c r="H60" s="47">
        <f t="shared" si="5"/>
        <v>-6</v>
      </c>
      <c r="I60" s="48">
        <f>IFERROR(IF(INDEX(Daten_Salden!$A:$ZZ,MATCH($B60&amp;"|Lage",Daten_Salden!$A$1:$A$331,0),$BK$1)="","",INDEX(Daten_Salden!$A:$ZZ,MATCH($B60&amp;"|Lage",Daten_Salden!$A$1:$A$331,0),$BK$1)),"")</f>
        <v>6</v>
      </c>
      <c r="J60" s="49">
        <f>IFERROR(I60-IFERROR(IF(INDEX(Daten_Salden!$A:$ZZ,MATCH($B60&amp;"|Lage",Daten_Salden!$A$1:$A$331,0),$BK$2)="",NA(),INDEX(Daten_Salden!$A:$ZZ,MATCH($B60&amp;"|Lage",Daten_Salden!$A$1:$A$331,0),$BK$2)),NA()),"")</f>
        <v>2</v>
      </c>
      <c r="K60" s="49">
        <f>IFERROR(I60-IFERROR(IF(INDEX(Daten_Salden!$A:$ZZ,MATCH($B60&amp;"|Lage",Daten_Salden!$A$1:$A$331,0),$BK$3)="",NA(),INDEX(Daten_Salden!$A:$ZZ,MATCH($B60&amp;"|Lage",Daten_Salden!$A$1:$A$331,0),$BK$3)),NA()),"")</f>
        <v>-7</v>
      </c>
      <c r="L60" s="48">
        <f>IFERROR(IF(INDEX(Daten_Salden!$A:$ZZ,MATCH($B60&amp;"|Erwartungen",Daten_Salden!$A$1:$A$331,0),$BK$1)="","",INDEX(Daten_Salden!$A:$ZZ,MATCH($B60&amp;"|Erwartungen",Daten_Salden!$A$1:$A$331,0),$BK$1)),"")</f>
        <v>-3</v>
      </c>
      <c r="M60" s="49">
        <f>IFERROR(L60-IFERROR(IF(INDEX(Daten_Salden!$A:$ZZ,MATCH($B60&amp;"|Erwartungen",Daten_Salden!$A$1:$A$331,0),$BK$2)="",NA(),INDEX(Daten_Salden!$A:$ZZ,MATCH($B60&amp;"|Erwartungen",Daten_Salden!$A$1:$A$331,0),$BK$2)),NA()),"")</f>
        <v>7</v>
      </c>
      <c r="N60" s="49">
        <f>IFERROR(L60-IFERROR(IF(INDEX(Daten_Salden!$A:$ZZ,MATCH($B60&amp;"|Erwartungen",Daten_Salden!$A$1:$A$331,0),$BK$3)="",NA(),INDEX(Daten_Salden!$A:$ZZ,MATCH($B60&amp;"|Erwartungen",Daten_Salden!$A$1:$A$331,0),$BK$3)),NA()),"")</f>
        <v>-5</v>
      </c>
      <c r="O60" s="48" t="str">
        <f>IFERROR(IF(INDEX(Daten_Salden!$A:$ZZ,MATCH($B60&amp;"|Export",Daten_Salden!$A$1:$A$331,0),$BK$1)="","",INDEX(Daten_Salden!$A:$ZZ,MATCH($B60&amp;"|Export",Daten_Salden!$A$1:$A$331,0),$BK$1)),"")</f>
        <v/>
      </c>
      <c r="P60" s="49" t="str">
        <f>IFERROR(O60-IFERROR(IF(INDEX(Daten_Salden!$A:$ZZ,MATCH($B60&amp;"|Export",Daten_Salden!$A$1:$A$331,0),$BK$2)="",NA(),INDEX(Daten_Salden!$A:$ZZ,MATCH($B60&amp;"|Export",Daten_Salden!$A$1:$A$331,0),$BK$2)),NA()),"")</f>
        <v/>
      </c>
      <c r="Q60" s="49" t="str">
        <f>IFERROR(O60-IFERROR(IF(INDEX(Daten_Salden!$A:$ZZ,MATCH($B60&amp;"|Export",Daten_Salden!$A$1:$A$331,0),$BK$3)="",NA(),INDEX(Daten_Salden!$A:$ZZ,MATCH($B60&amp;"|Export",Daten_Salden!$A$1:$A$331,0),$BK$3)),NA()),"")</f>
        <v/>
      </c>
      <c r="R60" s="48">
        <f>IFERROR(IF(INDEX(Daten_Salden!$A:$ZZ,MATCH($B60&amp;"|Investitionen",Daten_Salden!$A$1:$A$331,0),$BK$1)="","",INDEX(Daten_Salden!$A:$ZZ,MATCH($B60&amp;"|Investitionen",Daten_Salden!$A$1:$A$331,0),$BK$1)),"")</f>
        <v>-7</v>
      </c>
      <c r="S60" s="49">
        <f>IFERROR(R60-IFERROR(IF(INDEX(Daten_Salden!$A:$ZZ,MATCH($B60&amp;"|Investitionen",Daten_Salden!$A$1:$A$331,0),$BK$2)="",NA(),INDEX(Daten_Salden!$A:$ZZ,MATCH($B60&amp;"|Investitionen",Daten_Salden!$A$1:$A$331,0),$BK$2)),NA()),"")</f>
        <v>-2</v>
      </c>
      <c r="T60" s="49">
        <f>IFERROR(R60-IFERROR(IF(INDEX(Daten_Salden!$A:$ZZ,MATCH($B60&amp;"|Investitionen",Daten_Salden!$A$1:$A$331,0),$BK$3)="",NA(),INDEX(Daten_Salden!$A:$ZZ,MATCH($B60&amp;"|Investitionen",Daten_Salden!$A$1:$A$331,0),$BK$3)),NA()),"")</f>
        <v>-5</v>
      </c>
      <c r="U60" s="48">
        <f>IFERROR(IF(INDEX(Daten_Salden!$A:$ZZ,MATCH($B60&amp;"|Beschäftigung",Daten_Salden!$A$1:$A$331,0),$BK$1)="","",INDEX(Daten_Salden!$A:$ZZ,MATCH($B60&amp;"|Beschäftigung",Daten_Salden!$A$1:$A$331,0),$BK$1)),"")</f>
        <v>-6</v>
      </c>
      <c r="V60" s="49">
        <f>IFERROR(U60-IFERROR(IF(INDEX(Daten_Salden!$A:$ZZ,MATCH($B60&amp;"|Beschäftigung",Daten_Salden!$A$1:$A$331,0),$BK$2)="",NA(),INDEX(Daten_Salden!$A:$ZZ,MATCH($B60&amp;"|Beschäftigung",Daten_Salden!$A$1:$A$331,0),$BK$2)),NA()),"")</f>
        <v>0</v>
      </c>
      <c r="W60" s="49">
        <f>IFERROR(U60-IFERROR(IF(INDEX(Daten_Salden!$A:$ZZ,MATCH($B60&amp;"|Beschäftigung",Daten_Salden!$A$1:$A$331,0),$BK$3)="",NA(),INDEX(Daten_Salden!$A:$ZZ,MATCH($B60&amp;"|Beschäftigung",Daten_Salden!$A$1:$A$331,0),$BK$3)),NA()),"")</f>
        <v>-7</v>
      </c>
      <c r="X60" s="50">
        <f>IFERROR(IF(INDEX(Daten_Risiken!$A:$ZZ,MATCH($B60&amp;"|Energie- und Rohstoffpreise",Daten_Risiken!$A$1:$A$529,0),$BK$4)="","",INDEX(Daten_Risiken!$A:$ZZ,MATCH($B60&amp;"|Energie- und Rohstoffpreise",Daten_Risiken!$A$1:$A$529,0),$BK$4)),"")</f>
        <v>40</v>
      </c>
      <c r="Y60" s="49">
        <f>IFERROR(X60-IFERROR(IF(INDEX(Daten_Risiken!$A:$ZZ,MATCH($B60&amp;"|Energie- und Rohstoffpreise",Daten_Risiken!$A$1:$A$529,0),$BK$5)="",NA(),INDEX(Daten_Risiken!$A:$ZZ,MATCH($B60&amp;"|Energie- und Rohstoffpreise",Daten_Risiken!$A$1:$A$529,0),$BK$5)),NA()),"")</f>
        <v>-5</v>
      </c>
      <c r="Z60" s="49">
        <f>IFERROR(X60-IFERROR(IF(INDEX(Daten_Risiken!$A:$ZZ,MATCH($B60&amp;"|Energie- und Rohstoffpreise",Daten_Risiken!$A$1:$A$529,0),$BK$6)="",NA(),INDEX(Daten_Risiken!$A:$ZZ,MATCH($B60&amp;"|Energie- und Rohstoffpreise",Daten_Risiken!$A$1:$A$529,0),$BK$6)),NA()),"")</f>
        <v>13</v>
      </c>
      <c r="AA60" s="50">
        <f>IFERROR(IF(INDEX(Daten_Risiken!$A:$ZZ,MATCH($B60&amp;"|Arbeitskosten",Daten_Risiken!$A$1:$A$529,0),$BK$4)="","",INDEX(Daten_Risiken!$A:$ZZ,MATCH($B60&amp;"|Arbeitskosten",Daten_Risiken!$A$1:$A$529,0),$BK$4)),"")</f>
        <v>36</v>
      </c>
      <c r="AB60" s="49">
        <f>IFERROR(AA60-IFERROR(IF(INDEX(Daten_Risiken!$A:$ZZ,MATCH($B60&amp;"|Arbeitskosten",Daten_Risiken!$A$1:$A$529,0),$BK$5)="",NA(),INDEX(Daten_Risiken!$A:$ZZ,MATCH($B60&amp;"|Arbeitskosten",Daten_Risiken!$A$1:$A$529,0),$BK$5)),NA()),"")</f>
        <v>-5</v>
      </c>
      <c r="AC60" s="49">
        <f>IFERROR(AA60-IFERROR(IF(INDEX(Daten_Risiken!$A:$ZZ,MATCH($B60&amp;"|Arbeitskosten",Daten_Risiken!$A$1:$A$529,0),$BK$6)="",NA(),INDEX(Daten_Risiken!$A:$ZZ,MATCH($B60&amp;"|Arbeitskosten",Daten_Risiken!$A$1:$A$529,0),$BK$6)),NA()),"")</f>
        <v>-3</v>
      </c>
      <c r="AD60" s="50">
        <f>IFERROR(IF(INDEX(Daten_Risiken!$A:$ZZ,MATCH($B60&amp;"|Inlandsnachfrage",Daten_Risiken!$A$1:$A$529,0),$BK$4)="","",INDEX(Daten_Risiken!$A:$ZZ,MATCH($B60&amp;"|Inlandsnachfrage",Daten_Risiken!$A$1:$A$529,0),$BK$4)),"")</f>
        <v>59</v>
      </c>
      <c r="AE60" s="49">
        <f>IFERROR(AD60-IFERROR(IF(INDEX(Daten_Risiken!$A:$ZZ,MATCH($B60&amp;"|Inlandsnachfrage",Daten_Risiken!$A$1:$A$529,0),$BK$5)="",NA(),INDEX(Daten_Risiken!$A:$ZZ,MATCH($B60&amp;"|Inlandsnachfrage",Daten_Risiken!$A$1:$A$529,0),$BK$5)),NA()),"")</f>
        <v>-1</v>
      </c>
      <c r="AF60" s="49">
        <f>IFERROR(AD60-IFERROR(IF(INDEX(Daten_Risiken!$A:$ZZ,MATCH($B60&amp;"|Inlandsnachfrage",Daten_Risiken!$A$1:$A$529,0),$BK$6)="",NA(),INDEX(Daten_Risiken!$A:$ZZ,MATCH($B60&amp;"|Inlandsnachfrage",Daten_Risiken!$A$1:$A$529,0),$BK$6)),NA()),"")</f>
        <v>-4</v>
      </c>
      <c r="AG60" s="50">
        <f>IFERROR(IF(INDEX(Daten_Risiken!$A:$ZZ,MATCH($B60&amp;"|Wirtschaftspolitische Rahmenbedingungen",Daten_Risiken!$A$1:$A$529,0),$BK$4)="","",INDEX(Daten_Risiken!$A:$ZZ,MATCH($B60&amp;"|Wirtschaftspolitische Rahmenbedingungen",Daten_Risiken!$A$1:$A$529,0),$BK$4)),"")</f>
        <v>62</v>
      </c>
      <c r="AH60" s="49">
        <f>IFERROR(AG60-IFERROR(IF(INDEX(Daten_Risiken!$A:$ZZ,MATCH($B60&amp;"|Wirtschaftspolitische Rahmenbedingungen",Daten_Risiken!$A$1:$A$529,0),$BK$5)="",NA(),INDEX(Daten_Risiken!$A:$ZZ,MATCH($B60&amp;"|Wirtschaftspolitische Rahmenbedingungen",Daten_Risiken!$A$1:$A$529,0),$BK$5)),NA()),"")</f>
        <v>-2</v>
      </c>
      <c r="AI60" s="49">
        <f>IFERROR(AG60-IFERROR(IF(INDEX(Daten_Risiken!$A:$ZZ,MATCH($B60&amp;"|Wirtschaftspolitische Rahmenbedingungen",Daten_Risiken!$A$1:$A$529,0),$BK$6)="",NA(),INDEX(Daten_Risiken!$A:$ZZ,MATCH($B60&amp;"|Wirtschaftspolitische Rahmenbedingungen",Daten_Risiken!$A$1:$A$529,0),$BK$6)),NA()),"")</f>
        <v>6</v>
      </c>
      <c r="AJ60" s="50">
        <f>IFERROR(IF(INDEX(Daten_Risiken!$A:$ZZ,MATCH($B60&amp;"|Fachkräftemangel",Daten_Risiken!$A$1:$A$529,0),$BK$4)="","",INDEX(Daten_Risiken!$A:$ZZ,MATCH($B60&amp;"|Fachkräftemangel",Daten_Risiken!$A$1:$A$529,0),$BK$4)),"")</f>
        <v>26</v>
      </c>
      <c r="AK60" s="49">
        <f>IFERROR(AJ60-IFERROR(IF(INDEX(Daten_Risiken!$A:$ZZ,MATCH($B60&amp;"|Fachkräftemangel",Daten_Risiken!$A$1:$A$529,0),$BK$5)="",NA(),INDEX(Daten_Risiken!$A:$ZZ,MATCH($B60&amp;"|Fachkräftemangel",Daten_Risiken!$A$1:$A$529,0),$BK$5)),NA()),"")</f>
        <v>-2</v>
      </c>
      <c r="AL60" s="49">
        <f>IFERROR(AJ60-IFERROR(IF(INDEX(Daten_Risiken!$A:$ZZ,MATCH($B60&amp;"|Fachkräftemangel",Daten_Risiken!$A$1:$A$529,0),$BK$6)="",NA(),INDEX(Daten_Risiken!$A:$ZZ,MATCH($B60&amp;"|Fachkräftemangel",Daten_Risiken!$A$1:$A$529,0),$BK$6)),NA()),"")</f>
        <v>-7</v>
      </c>
      <c r="AM60" s="50" t="str">
        <f>IFERROR(IF(INDEX(Daten_Risiken!$A:$ZZ,MATCH($B60&amp;"|Auslandsnachfrage",Daten_Risiken!$A$1:$A$529,0),$BK$4)="","",INDEX(Daten_Risiken!$A:$ZZ,MATCH($B60&amp;"|Auslandsnachfrage",Daten_Risiken!$A$1:$A$529,0),$BK$4)),"")</f>
        <v/>
      </c>
      <c r="AN60" s="49" t="str">
        <f>IFERROR(AM60-IFERROR(IF(INDEX(Daten_Risiken!$A:$ZZ,MATCH($B60&amp;"|Auslandsnachfrage",Daten_Risiken!$A$1:$A$529,0),$BK$5)="",NA(),INDEX(Daten_Risiken!$A:$ZZ,MATCH($B60&amp;"|Auslandsnachfrage",Daten_Risiken!$A$1:$A$529,0),$BK$5)),NA()),"")</f>
        <v/>
      </c>
      <c r="AO60" s="49" t="str">
        <f>IFERROR(AM60-IFERROR(IF(INDEX(Daten_Risiken!$A:$ZZ,MATCH($B60&amp;"|Auslandsnachfrage",Daten_Risiken!$A$1:$A$529,0),$BK$6)="",NA(),INDEX(Daten_Risiken!$A:$ZZ,MATCH($B60&amp;"|Auslandsnachfrage",Daten_Risiken!$A$1:$A$529,0),$BK$6)),NA()),"")</f>
        <v/>
      </c>
      <c r="AP60" s="50">
        <f>IFERROR(IF(INDEX(Daten_Risiken!$A:$ZZ,MATCH($B60&amp;"|Finanzierung",Daten_Risiken!$A$1:$A$529,0),$BK$4)="","",INDEX(Daten_Risiken!$A:$ZZ,MATCH($B60&amp;"|Finanzierung",Daten_Risiken!$A$1:$A$529,0),$BK$4)),"")</f>
        <v>16</v>
      </c>
      <c r="AQ60" s="49">
        <f>IFERROR(AP60-IFERROR(IF(INDEX(Daten_Risiken!$A:$ZZ,MATCH($B60&amp;"|Finanzierung",Daten_Risiken!$A$1:$A$529,0),$BK$5)="",NA(),INDEX(Daten_Risiken!$A:$ZZ,MATCH($B60&amp;"|Finanzierung",Daten_Risiken!$A$1:$A$529,0),$BK$5)),NA()),"")</f>
        <v>1</v>
      </c>
      <c r="AR60" s="49">
        <f>IFERROR(AP60-IFERROR(IF(INDEX(Daten_Risiken!$A:$ZZ,MATCH($B60&amp;"|Finanzierung",Daten_Risiken!$A$1:$A$529,0),$BK$6)="",NA(),INDEX(Daten_Risiken!$A:$ZZ,MATCH($B60&amp;"|Finanzierung",Daten_Risiken!$A$1:$A$529,0),$BK$6)),NA()),"")</f>
        <v>1</v>
      </c>
      <c r="AS60" s="50" t="str">
        <f>IFERROR(IF(INDEX(Daten_Risiken!$A:$ZZ,MATCH($B60&amp;"|Wechselkurs",Daten_Risiken!$A$1:$A$529,0),$BK$4)="","",INDEX(Daten_Risiken!$A:$ZZ,MATCH($B60&amp;"|Wechselkurs",Daten_Risiken!$A$1:$A$529,0),$BK$4)),"")</f>
        <v/>
      </c>
      <c r="AT60" s="49" t="str">
        <f>IFERROR(AS60-IFERROR(IF(INDEX(Daten_Risiken!$A:$ZZ,MATCH($B60&amp;"|Wechselkurs",Daten_Risiken!$A$1:$A$529,0),$BK$5)="",NA(),INDEX(Daten_Risiken!$A:$ZZ,MATCH($B60&amp;"|Wechselkurs",Daten_Risiken!$A$1:$A$529,0),$BK$5)),NA()),"")</f>
        <v/>
      </c>
      <c r="AU60" s="49" t="str">
        <f>IFERROR(AS60-IFERROR(IF(INDEX(Daten_Risiken!$A:$ZZ,MATCH($B60&amp;"|Wechselkurs",Daten_Risiken!$A$1:$A$529,0),$BK$6)="",NA(),INDEX(Daten_Risiken!$A:$ZZ,MATCH($B60&amp;"|Wechselkurs",Daten_Risiken!$A$1:$A$529,0),$BK$6)),NA()),"")</f>
        <v/>
      </c>
      <c r="AV60" s="50">
        <f>IFERROR(IF(INDEX(Daten_Motive!$A:$ZZ,MATCH($B60&amp;"|Ersatzbedarf",Daten_Motive!$A$1:$A$331,0),$BK$7)="","",INDEX(Daten_Motive!$A:$ZZ,MATCH($B60&amp;"|Ersatzbedarf",Daten_Motive!$A$1:$A$331,0),$BK$7)),"")</f>
        <v>57</v>
      </c>
      <c r="AW60" s="49">
        <f>IFERROR(AV60-IFERROR(IF(INDEX(Daten_Motive!$A:$ZZ,MATCH($B60&amp;"|Ersatzbedarf",Daten_Motive!$A$1:$A$331,0),$BK$8)="",NA(),INDEX(Daten_Motive!$A:$ZZ,MATCH($B60&amp;"|Ersatzbedarf",Daten_Motive!$A$1:$A$331,0),$BK$8)),NA()),"")</f>
        <v>-2</v>
      </c>
      <c r="AX60" s="49">
        <f>IFERROR(AV60-IFERROR(IF(INDEX(Daten_Motive!$A:$ZZ,MATCH($B60&amp;"|Ersatzbedarf",Daten_Motive!$A$1:$A$331,0),$BK$9)="",NA(),INDEX(Daten_Motive!$A:$ZZ,MATCH($B60&amp;"|Ersatzbedarf",Daten_Motive!$A$1:$A$331,0),$BK$9)),NA()),"")</f>
        <v>0</v>
      </c>
      <c r="AY60" s="50">
        <f>IFERROR(IF(INDEX(Daten_Motive!$A:$ZZ,MATCH($B60&amp;"|Rationalisierung",Daten_Motive!$A$1:$A$331,0),$BK$7)="","",INDEX(Daten_Motive!$A:$ZZ,MATCH($B60&amp;"|Rationalisierung",Daten_Motive!$A$1:$A$331,0),$BK$7)),"")</f>
        <v>34</v>
      </c>
      <c r="AZ60" s="49">
        <f>IFERROR(AY60-IFERROR(IF(INDEX(Daten_Motive!$A:$ZZ,MATCH($B60&amp;"|Rationalisierung",Daten_Motive!$A$1:$A$331,0),$BK$8)="",NA(),INDEX(Daten_Motive!$A:$ZZ,MATCH($B60&amp;"|Rationalisierung",Daten_Motive!$A$1:$A$331,0),$BK$8)),NA()),"")</f>
        <v>6</v>
      </c>
      <c r="BA60" s="49">
        <f>IFERROR(AY60-IFERROR(IF(INDEX(Daten_Motive!$A:$ZZ,MATCH($B60&amp;"|Rationalisierung",Daten_Motive!$A$1:$A$331,0),$BK$9)="",NA(),INDEX(Daten_Motive!$A:$ZZ,MATCH($B60&amp;"|Rationalisierung",Daten_Motive!$A$1:$A$331,0),$BK$9)),NA()),"")</f>
        <v>8</v>
      </c>
      <c r="BB60" s="50">
        <f>IFERROR(IF(INDEX(Daten_Motive!$A:$ZZ,MATCH($B60&amp;"|Produktinnovation",Daten_Motive!$A$1:$A$331,0),$BK$7)="","",INDEX(Daten_Motive!$A:$ZZ,MATCH($B60&amp;"|Produktinnovation",Daten_Motive!$A$1:$A$331,0),$BK$7)),"")</f>
        <v>33</v>
      </c>
      <c r="BC60" s="49">
        <f>IFERROR(BB60-IFERROR(IF(INDEX(Daten_Motive!$A:$ZZ,MATCH($B60&amp;"|Produktinnovation",Daten_Motive!$A$1:$A$331,0),$BK$8)="",NA(),INDEX(Daten_Motive!$A:$ZZ,MATCH($B60&amp;"|Produktinnovation",Daten_Motive!$A$1:$A$331,0),$BK$8)),NA()),"")</f>
        <v>2</v>
      </c>
      <c r="BD60" s="49">
        <f>IFERROR(BB60-IFERROR(IF(INDEX(Daten_Motive!$A:$ZZ,MATCH($B60&amp;"|Produktinnovation",Daten_Motive!$A$1:$A$331,0),$BK$9)="",NA(),INDEX(Daten_Motive!$A:$ZZ,MATCH($B60&amp;"|Produktinnovation",Daten_Motive!$A$1:$A$331,0),$BK$9)),NA()),"")</f>
        <v>-1</v>
      </c>
      <c r="BE60" s="50">
        <f>IFERROR(IF(INDEX(Daten_Motive!$A:$ZZ,MATCH($B60&amp;"|Umweltschutz",Daten_Motive!$A$1:$A$331,0),$BK$7)="","",INDEX(Daten_Motive!$A:$ZZ,MATCH($B60&amp;"|Umweltschutz",Daten_Motive!$A$1:$A$331,0),$BK$7)),"")</f>
        <v>7</v>
      </c>
      <c r="BF60" s="49">
        <f>IFERROR(BE60-IFERROR(IF(INDEX(Daten_Motive!$A:$ZZ,MATCH($B60&amp;"|Umweltschutz",Daten_Motive!$A$1:$A$331,0),$BK$8)="",NA(),INDEX(Daten_Motive!$A:$ZZ,MATCH($B60&amp;"|Umweltschutz",Daten_Motive!$A$1:$A$331,0),$BK$8)),NA()),"")</f>
        <v>-2</v>
      </c>
      <c r="BG60" s="49">
        <f>IFERROR(BE60-IFERROR(IF(INDEX(Daten_Motive!$A:$ZZ,MATCH($B60&amp;"|Umweltschutz",Daten_Motive!$A$1:$A$331,0),$BK$9)="",NA(),INDEX(Daten_Motive!$A:$ZZ,MATCH($B60&amp;"|Umweltschutz",Daten_Motive!$A$1:$A$331,0),$BK$9)),NA()),"")</f>
        <v>-3</v>
      </c>
      <c r="BH60" s="50">
        <f>IFERROR(IF(INDEX(Daten_Motive!$A:$ZZ,MATCH($B60&amp;"|Kapazitätserweiterung",Daten_Motive!$A$1:$A$331,0),$BK$7)="","",INDEX(Daten_Motive!$A:$ZZ,MATCH($B60&amp;"|Kapazitätserweiterung",Daten_Motive!$A$1:$A$331,0),$BK$7)),"")</f>
        <v>18</v>
      </c>
      <c r="BI60" s="49">
        <f>IFERROR(BH60-IFERROR(IF(INDEX(Daten_Motive!$A:$ZZ,MATCH($B60&amp;"|Kapazitätserweiterung",Daten_Motive!$A$1:$A$331,0),$BK$8)="",NA(),INDEX(Daten_Motive!$A:$ZZ,MATCH($B60&amp;"|Kapazitätserweiterung",Daten_Motive!$A$1:$A$331,0),$BK$8)),NA()),"")</f>
        <v>-3</v>
      </c>
      <c r="BJ60" s="49">
        <f>IFERROR(BH60-IFERROR(IF(INDEX(Daten_Motive!$A:$ZZ,MATCH($B60&amp;"|Kapazitätserweiterung",Daten_Motive!$A$1:$A$331,0),$BK$9)="",NA(),INDEX(Daten_Motive!$A:$ZZ,MATCH($B60&amp;"|Kapazitätserweiterung",Daten_Motive!$A$1:$A$331,0),$BK$9)),NA()),"")</f>
        <v>-2</v>
      </c>
    </row>
    <row r="61" spans="1:62" x14ac:dyDescent="0.25">
      <c r="A61" s="42">
        <v>53</v>
      </c>
      <c r="B61" s="52" t="str">
        <f>Listen!A58</f>
        <v>Architektur- und Ingenieurbüros, naturwissenschaftliche Untersuchung</v>
      </c>
      <c r="C61" s="44" t="s">
        <v>4551</v>
      </c>
      <c r="D61" s="44" t="str">
        <f>Listen!B58</f>
        <v>Dienstleister</v>
      </c>
      <c r="E61" s="45">
        <f>IFERROR(IF(INDEX(Daten_Anteile!$A:$ZZ,MATCH($B61&amp;"|Lage|"&amp;$C$3,Daten_Anteile!$A$1:$A$2971,0),5)="","",INDEX(Daten_Anteile!$A:$ZZ,MATCH($B61&amp;"|Lage|"&amp;$C$3,Daten_Anteile!$A$1:$A$2971,0),5)),"")</f>
        <v>856</v>
      </c>
      <c r="F61" s="46">
        <f t="shared" si="3"/>
        <v>105.5</v>
      </c>
      <c r="G61" s="47">
        <f t="shared" si="4"/>
        <v>6.5</v>
      </c>
      <c r="H61" s="47">
        <f t="shared" si="5"/>
        <v>1.4</v>
      </c>
      <c r="I61" s="48">
        <f>IFERROR(IF(INDEX(Daten_Salden!$A:$ZZ,MATCH($B61&amp;"|Lage",Daten_Salden!$A$1:$A$331,0),$BK$1)="","",INDEX(Daten_Salden!$A:$ZZ,MATCH($B61&amp;"|Lage",Daten_Salden!$A$1:$A$331,0),$BK$1)),"")</f>
        <v>21</v>
      </c>
      <c r="J61" s="49">
        <f>IFERROR(I61-IFERROR(IF(INDEX(Daten_Salden!$A:$ZZ,MATCH($B61&amp;"|Lage",Daten_Salden!$A$1:$A$331,0),$BK$2)="",NA(),INDEX(Daten_Salden!$A:$ZZ,MATCH($B61&amp;"|Lage",Daten_Salden!$A$1:$A$331,0),$BK$2)),NA()),"")</f>
        <v>3</v>
      </c>
      <c r="K61" s="49">
        <f>IFERROR(I61-IFERROR(IF(INDEX(Daten_Salden!$A:$ZZ,MATCH($B61&amp;"|Lage",Daten_Salden!$A$1:$A$331,0),$BK$3)="",NA(),INDEX(Daten_Salden!$A:$ZZ,MATCH($B61&amp;"|Lage",Daten_Salden!$A$1:$A$331,0),$BK$3)),NA()),"")</f>
        <v>2</v>
      </c>
      <c r="L61" s="48">
        <f>IFERROR(IF(INDEX(Daten_Salden!$A:$ZZ,MATCH($B61&amp;"|Erwartungen",Daten_Salden!$A$1:$A$331,0),$BK$1)="","",INDEX(Daten_Salden!$A:$ZZ,MATCH($B61&amp;"|Erwartungen",Daten_Salden!$A$1:$A$331,0),$BK$1)),"")</f>
        <v>-8</v>
      </c>
      <c r="M61" s="49">
        <f>IFERROR(L61-IFERROR(IF(INDEX(Daten_Salden!$A:$ZZ,MATCH($B61&amp;"|Erwartungen",Daten_Salden!$A$1:$A$331,0),$BK$2)="",NA(),INDEX(Daten_Salden!$A:$ZZ,MATCH($B61&amp;"|Erwartungen",Daten_Salden!$A$1:$A$331,0),$BK$2)),NA()),"")</f>
        <v>9</v>
      </c>
      <c r="N61" s="49">
        <f>IFERROR(L61-IFERROR(IF(INDEX(Daten_Salden!$A:$ZZ,MATCH($B61&amp;"|Erwartungen",Daten_Salden!$A$1:$A$331,0),$BK$3)="",NA(),INDEX(Daten_Salden!$A:$ZZ,MATCH($B61&amp;"|Erwartungen",Daten_Salden!$A$1:$A$331,0),$BK$3)),NA()),"")</f>
        <v>1</v>
      </c>
      <c r="O61" s="48" t="str">
        <f>IFERROR(IF(INDEX(Daten_Salden!$A:$ZZ,MATCH($B61&amp;"|Export",Daten_Salden!$A$1:$A$331,0),$BK$1)="","",INDEX(Daten_Salden!$A:$ZZ,MATCH($B61&amp;"|Export",Daten_Salden!$A$1:$A$331,0),$BK$1)),"")</f>
        <v/>
      </c>
      <c r="P61" s="49" t="str">
        <f>IFERROR(O61-IFERROR(IF(INDEX(Daten_Salden!$A:$ZZ,MATCH($B61&amp;"|Export",Daten_Salden!$A$1:$A$331,0),$BK$2)="",NA(),INDEX(Daten_Salden!$A:$ZZ,MATCH($B61&amp;"|Export",Daten_Salden!$A$1:$A$331,0),$BK$2)),NA()),"")</f>
        <v/>
      </c>
      <c r="Q61" s="49" t="str">
        <f>IFERROR(O61-IFERROR(IF(INDEX(Daten_Salden!$A:$ZZ,MATCH($B61&amp;"|Export",Daten_Salden!$A$1:$A$331,0),$BK$3)="",NA(),INDEX(Daten_Salden!$A:$ZZ,MATCH($B61&amp;"|Export",Daten_Salden!$A$1:$A$331,0),$BK$3)),NA()),"")</f>
        <v/>
      </c>
      <c r="R61" s="48">
        <f>IFERROR(IF(INDEX(Daten_Salden!$A:$ZZ,MATCH($B61&amp;"|Investitionen",Daten_Salden!$A$1:$A$331,0),$BK$1)="","",INDEX(Daten_Salden!$A:$ZZ,MATCH($B61&amp;"|Investitionen",Daten_Salden!$A$1:$A$331,0),$BK$1)),"")</f>
        <v>-6</v>
      </c>
      <c r="S61" s="49">
        <f>IFERROR(R61-IFERROR(IF(INDEX(Daten_Salden!$A:$ZZ,MATCH($B61&amp;"|Investitionen",Daten_Salden!$A$1:$A$331,0),$BK$2)="",NA(),INDEX(Daten_Salden!$A:$ZZ,MATCH($B61&amp;"|Investitionen",Daten_Salden!$A$1:$A$331,0),$BK$2)),NA()),"")</f>
        <v>6</v>
      </c>
      <c r="T61" s="49">
        <f>IFERROR(R61-IFERROR(IF(INDEX(Daten_Salden!$A:$ZZ,MATCH($B61&amp;"|Investitionen",Daten_Salden!$A$1:$A$331,0),$BK$3)="",NA(),INDEX(Daten_Salden!$A:$ZZ,MATCH($B61&amp;"|Investitionen",Daten_Salden!$A$1:$A$331,0),$BK$3)),NA()),"")</f>
        <v>-1</v>
      </c>
      <c r="U61" s="48">
        <f>IFERROR(IF(INDEX(Daten_Salden!$A:$ZZ,MATCH($B61&amp;"|Beschäftigung",Daten_Salden!$A$1:$A$331,0),$BK$1)="","",INDEX(Daten_Salden!$A:$ZZ,MATCH($B61&amp;"|Beschäftigung",Daten_Salden!$A$1:$A$331,0),$BK$1)),"")</f>
        <v>-5</v>
      </c>
      <c r="V61" s="49">
        <f>IFERROR(U61-IFERROR(IF(INDEX(Daten_Salden!$A:$ZZ,MATCH($B61&amp;"|Beschäftigung",Daten_Salden!$A$1:$A$331,0),$BK$2)="",NA(),INDEX(Daten_Salden!$A:$ZZ,MATCH($B61&amp;"|Beschäftigung",Daten_Salden!$A$1:$A$331,0),$BK$2)),NA()),"")</f>
        <v>-4</v>
      </c>
      <c r="W61" s="49">
        <f>IFERROR(U61-IFERROR(IF(INDEX(Daten_Salden!$A:$ZZ,MATCH($B61&amp;"|Beschäftigung",Daten_Salden!$A$1:$A$331,0),$BK$3)="",NA(),INDEX(Daten_Salden!$A:$ZZ,MATCH($B61&amp;"|Beschäftigung",Daten_Salden!$A$1:$A$331,0),$BK$3)),NA()),"")</f>
        <v>-3</v>
      </c>
      <c r="X61" s="50">
        <f>IFERROR(IF(INDEX(Daten_Risiken!$A:$ZZ,MATCH($B61&amp;"|Energie- und Rohstoffpreise",Daten_Risiken!$A$1:$A$529,0),$BK$4)="","",INDEX(Daten_Risiken!$A:$ZZ,MATCH($B61&amp;"|Energie- und Rohstoffpreise",Daten_Risiken!$A$1:$A$529,0),$BK$4)),"")</f>
        <v>43</v>
      </c>
      <c r="Y61" s="49">
        <f>IFERROR(X61-IFERROR(IF(INDEX(Daten_Risiken!$A:$ZZ,MATCH($B61&amp;"|Energie- und Rohstoffpreise",Daten_Risiken!$A$1:$A$529,0),$BK$5)="",NA(),INDEX(Daten_Risiken!$A:$ZZ,MATCH($B61&amp;"|Energie- und Rohstoffpreise",Daten_Risiken!$A$1:$A$529,0),$BK$5)),NA()),"")</f>
        <v>-7</v>
      </c>
      <c r="Z61" s="49">
        <f>IFERROR(X61-IFERROR(IF(INDEX(Daten_Risiken!$A:$ZZ,MATCH($B61&amp;"|Energie- und Rohstoffpreise",Daten_Risiken!$A$1:$A$529,0),$BK$6)="",NA(),INDEX(Daten_Risiken!$A:$ZZ,MATCH($B61&amp;"|Energie- und Rohstoffpreise",Daten_Risiken!$A$1:$A$529,0),$BK$6)),NA()),"")</f>
        <v>15</v>
      </c>
      <c r="AA61" s="50">
        <f>IFERROR(IF(INDEX(Daten_Risiken!$A:$ZZ,MATCH($B61&amp;"|Arbeitskosten",Daten_Risiken!$A$1:$A$529,0),$BK$4)="","",INDEX(Daten_Risiken!$A:$ZZ,MATCH($B61&amp;"|Arbeitskosten",Daten_Risiken!$A$1:$A$529,0),$BK$4)),"")</f>
        <v>51</v>
      </c>
      <c r="AB61" s="49">
        <f>IFERROR(AA61-IFERROR(IF(INDEX(Daten_Risiken!$A:$ZZ,MATCH($B61&amp;"|Arbeitskosten",Daten_Risiken!$A$1:$A$529,0),$BK$5)="",NA(),INDEX(Daten_Risiken!$A:$ZZ,MATCH($B61&amp;"|Arbeitskosten",Daten_Risiken!$A$1:$A$529,0),$BK$5)),NA()),"")</f>
        <v>-1</v>
      </c>
      <c r="AC61" s="49">
        <f>IFERROR(AA61-IFERROR(IF(INDEX(Daten_Risiken!$A:$ZZ,MATCH($B61&amp;"|Arbeitskosten",Daten_Risiken!$A$1:$A$529,0),$BK$6)="",NA(),INDEX(Daten_Risiken!$A:$ZZ,MATCH($B61&amp;"|Arbeitskosten",Daten_Risiken!$A$1:$A$529,0),$BK$6)),NA()),"")</f>
        <v>2</v>
      </c>
      <c r="AD61" s="50">
        <f>IFERROR(IF(INDEX(Daten_Risiken!$A:$ZZ,MATCH($B61&amp;"|Inlandsnachfrage",Daten_Risiken!$A$1:$A$529,0),$BK$4)="","",INDEX(Daten_Risiken!$A:$ZZ,MATCH($B61&amp;"|Inlandsnachfrage",Daten_Risiken!$A$1:$A$529,0),$BK$4)),"")</f>
        <v>60</v>
      </c>
      <c r="AE61" s="49">
        <f>IFERROR(AD61-IFERROR(IF(INDEX(Daten_Risiken!$A:$ZZ,MATCH($B61&amp;"|Inlandsnachfrage",Daten_Risiken!$A$1:$A$529,0),$BK$5)="",NA(),INDEX(Daten_Risiken!$A:$ZZ,MATCH($B61&amp;"|Inlandsnachfrage",Daten_Risiken!$A$1:$A$529,0),$BK$5)),NA()),"")</f>
        <v>0</v>
      </c>
      <c r="AF61" s="49">
        <f>IFERROR(AD61-IFERROR(IF(INDEX(Daten_Risiken!$A:$ZZ,MATCH($B61&amp;"|Inlandsnachfrage",Daten_Risiken!$A$1:$A$529,0),$BK$6)="",NA(),INDEX(Daten_Risiken!$A:$ZZ,MATCH($B61&amp;"|Inlandsnachfrage",Daten_Risiken!$A$1:$A$529,0),$BK$6)),NA()),"")</f>
        <v>0</v>
      </c>
      <c r="AG61" s="50">
        <f>IFERROR(IF(INDEX(Daten_Risiken!$A:$ZZ,MATCH($B61&amp;"|Wirtschaftspolitische Rahmenbedingungen",Daten_Risiken!$A$1:$A$529,0),$BK$4)="","",INDEX(Daten_Risiken!$A:$ZZ,MATCH($B61&amp;"|Wirtschaftspolitische Rahmenbedingungen",Daten_Risiken!$A$1:$A$529,0),$BK$4)),"")</f>
        <v>58</v>
      </c>
      <c r="AH61" s="49">
        <f>IFERROR(AG61-IFERROR(IF(INDEX(Daten_Risiken!$A:$ZZ,MATCH($B61&amp;"|Wirtschaftspolitische Rahmenbedingungen",Daten_Risiken!$A$1:$A$529,0),$BK$5)="",NA(),INDEX(Daten_Risiken!$A:$ZZ,MATCH($B61&amp;"|Wirtschaftspolitische Rahmenbedingungen",Daten_Risiken!$A$1:$A$529,0),$BK$5)),NA()),"")</f>
        <v>-2</v>
      </c>
      <c r="AI61" s="49">
        <f>IFERROR(AG61-IFERROR(IF(INDEX(Daten_Risiken!$A:$ZZ,MATCH($B61&amp;"|Wirtschaftspolitische Rahmenbedingungen",Daten_Risiken!$A$1:$A$529,0),$BK$6)="",NA(),INDEX(Daten_Risiken!$A:$ZZ,MATCH($B61&amp;"|Wirtschaftspolitische Rahmenbedingungen",Daten_Risiken!$A$1:$A$529,0),$BK$6)),NA()),"")</f>
        <v>2</v>
      </c>
      <c r="AJ61" s="50">
        <f>IFERROR(IF(INDEX(Daten_Risiken!$A:$ZZ,MATCH($B61&amp;"|Fachkräftemangel",Daten_Risiken!$A$1:$A$529,0),$BK$4)="","",INDEX(Daten_Risiken!$A:$ZZ,MATCH($B61&amp;"|Fachkräftemangel",Daten_Risiken!$A$1:$A$529,0),$BK$4)),"")</f>
        <v>41</v>
      </c>
      <c r="AK61" s="49">
        <f>IFERROR(AJ61-IFERROR(IF(INDEX(Daten_Risiken!$A:$ZZ,MATCH($B61&amp;"|Fachkräftemangel",Daten_Risiken!$A$1:$A$529,0),$BK$5)="",NA(),INDEX(Daten_Risiken!$A:$ZZ,MATCH($B61&amp;"|Fachkräftemangel",Daten_Risiken!$A$1:$A$529,0),$BK$5)),NA()),"")</f>
        <v>-5</v>
      </c>
      <c r="AL61" s="49">
        <f>IFERROR(AJ61-IFERROR(IF(INDEX(Daten_Risiken!$A:$ZZ,MATCH($B61&amp;"|Fachkräftemangel",Daten_Risiken!$A$1:$A$529,0),$BK$6)="",NA(),INDEX(Daten_Risiken!$A:$ZZ,MATCH($B61&amp;"|Fachkräftemangel",Daten_Risiken!$A$1:$A$529,0),$BK$6)),NA()),"")</f>
        <v>-11</v>
      </c>
      <c r="AM61" s="50" t="str">
        <f>IFERROR(IF(INDEX(Daten_Risiken!$A:$ZZ,MATCH($B61&amp;"|Auslandsnachfrage",Daten_Risiken!$A$1:$A$529,0),$BK$4)="","",INDEX(Daten_Risiken!$A:$ZZ,MATCH($B61&amp;"|Auslandsnachfrage",Daten_Risiken!$A$1:$A$529,0),$BK$4)),"")</f>
        <v/>
      </c>
      <c r="AN61" s="49" t="str">
        <f>IFERROR(AM61-IFERROR(IF(INDEX(Daten_Risiken!$A:$ZZ,MATCH($B61&amp;"|Auslandsnachfrage",Daten_Risiken!$A$1:$A$529,0),$BK$5)="",NA(),INDEX(Daten_Risiken!$A:$ZZ,MATCH($B61&amp;"|Auslandsnachfrage",Daten_Risiken!$A$1:$A$529,0),$BK$5)),NA()),"")</f>
        <v/>
      </c>
      <c r="AO61" s="49" t="str">
        <f>IFERROR(AM61-IFERROR(IF(INDEX(Daten_Risiken!$A:$ZZ,MATCH($B61&amp;"|Auslandsnachfrage",Daten_Risiken!$A$1:$A$529,0),$BK$6)="",NA(),INDEX(Daten_Risiken!$A:$ZZ,MATCH($B61&amp;"|Auslandsnachfrage",Daten_Risiken!$A$1:$A$529,0),$BK$6)),NA()),"")</f>
        <v/>
      </c>
      <c r="AP61" s="50">
        <f>IFERROR(IF(INDEX(Daten_Risiken!$A:$ZZ,MATCH($B61&amp;"|Finanzierung",Daten_Risiken!$A$1:$A$529,0),$BK$4)="","",INDEX(Daten_Risiken!$A:$ZZ,MATCH($B61&amp;"|Finanzierung",Daten_Risiken!$A$1:$A$529,0),$BK$4)),"")</f>
        <v>12</v>
      </c>
      <c r="AQ61" s="49">
        <f>IFERROR(AP61-IFERROR(IF(INDEX(Daten_Risiken!$A:$ZZ,MATCH($B61&amp;"|Finanzierung",Daten_Risiken!$A$1:$A$529,0),$BK$5)="",NA(),INDEX(Daten_Risiken!$A:$ZZ,MATCH($B61&amp;"|Finanzierung",Daten_Risiken!$A$1:$A$529,0),$BK$5)),NA()),"")</f>
        <v>2</v>
      </c>
      <c r="AR61" s="49">
        <f>IFERROR(AP61-IFERROR(IF(INDEX(Daten_Risiken!$A:$ZZ,MATCH($B61&amp;"|Finanzierung",Daten_Risiken!$A$1:$A$529,0),$BK$6)="",NA(),INDEX(Daten_Risiken!$A:$ZZ,MATCH($B61&amp;"|Finanzierung",Daten_Risiken!$A$1:$A$529,0),$BK$6)),NA()),"")</f>
        <v>3</v>
      </c>
      <c r="AS61" s="50" t="str">
        <f>IFERROR(IF(INDEX(Daten_Risiken!$A:$ZZ,MATCH($B61&amp;"|Wechselkurs",Daten_Risiken!$A$1:$A$529,0),$BK$4)="","",INDEX(Daten_Risiken!$A:$ZZ,MATCH($B61&amp;"|Wechselkurs",Daten_Risiken!$A$1:$A$529,0),$BK$4)),"")</f>
        <v/>
      </c>
      <c r="AT61" s="49" t="str">
        <f>IFERROR(AS61-IFERROR(IF(INDEX(Daten_Risiken!$A:$ZZ,MATCH($B61&amp;"|Wechselkurs",Daten_Risiken!$A$1:$A$529,0),$BK$5)="",NA(),INDEX(Daten_Risiken!$A:$ZZ,MATCH($B61&amp;"|Wechselkurs",Daten_Risiken!$A$1:$A$529,0),$BK$5)),NA()),"")</f>
        <v/>
      </c>
      <c r="AU61" s="49" t="str">
        <f>IFERROR(AS61-IFERROR(IF(INDEX(Daten_Risiken!$A:$ZZ,MATCH($B61&amp;"|Wechselkurs",Daten_Risiken!$A$1:$A$529,0),$BK$6)="",NA(),INDEX(Daten_Risiken!$A:$ZZ,MATCH($B61&amp;"|Wechselkurs",Daten_Risiken!$A$1:$A$529,0),$BK$6)),NA()),"")</f>
        <v/>
      </c>
      <c r="AV61" s="50">
        <f>IFERROR(IF(INDEX(Daten_Motive!$A:$ZZ,MATCH($B61&amp;"|Ersatzbedarf",Daten_Motive!$A$1:$A$331,0),$BK$7)="","",INDEX(Daten_Motive!$A:$ZZ,MATCH($B61&amp;"|Ersatzbedarf",Daten_Motive!$A$1:$A$331,0),$BK$7)),"")</f>
        <v>63</v>
      </c>
      <c r="AW61" s="49">
        <f>IFERROR(AV61-IFERROR(IF(INDEX(Daten_Motive!$A:$ZZ,MATCH($B61&amp;"|Ersatzbedarf",Daten_Motive!$A$1:$A$331,0),$BK$8)="",NA(),INDEX(Daten_Motive!$A:$ZZ,MATCH($B61&amp;"|Ersatzbedarf",Daten_Motive!$A$1:$A$331,0),$BK$8)),NA()),"")</f>
        <v>4</v>
      </c>
      <c r="AX61" s="49">
        <f>IFERROR(AV61-IFERROR(IF(INDEX(Daten_Motive!$A:$ZZ,MATCH($B61&amp;"|Ersatzbedarf",Daten_Motive!$A$1:$A$331,0),$BK$9)="",NA(),INDEX(Daten_Motive!$A:$ZZ,MATCH($B61&amp;"|Ersatzbedarf",Daten_Motive!$A$1:$A$331,0),$BK$9)),NA()),"")</f>
        <v>-2</v>
      </c>
      <c r="AY61" s="50">
        <f>IFERROR(IF(INDEX(Daten_Motive!$A:$ZZ,MATCH($B61&amp;"|Rationalisierung",Daten_Motive!$A$1:$A$331,0),$BK$7)="","",INDEX(Daten_Motive!$A:$ZZ,MATCH($B61&amp;"|Rationalisierung",Daten_Motive!$A$1:$A$331,0),$BK$7)),"")</f>
        <v>28</v>
      </c>
      <c r="AZ61" s="49">
        <f>IFERROR(AY61-IFERROR(IF(INDEX(Daten_Motive!$A:$ZZ,MATCH($B61&amp;"|Rationalisierung",Daten_Motive!$A$1:$A$331,0),$BK$8)="",NA(),INDEX(Daten_Motive!$A:$ZZ,MATCH($B61&amp;"|Rationalisierung",Daten_Motive!$A$1:$A$331,0),$BK$8)),NA()),"")</f>
        <v>1</v>
      </c>
      <c r="BA61" s="49">
        <f>IFERROR(AY61-IFERROR(IF(INDEX(Daten_Motive!$A:$ZZ,MATCH($B61&amp;"|Rationalisierung",Daten_Motive!$A$1:$A$331,0),$BK$9)="",NA(),INDEX(Daten_Motive!$A:$ZZ,MATCH($B61&amp;"|Rationalisierung",Daten_Motive!$A$1:$A$331,0),$BK$9)),NA()),"")</f>
        <v>2</v>
      </c>
      <c r="BB61" s="50">
        <f>IFERROR(IF(INDEX(Daten_Motive!$A:$ZZ,MATCH($B61&amp;"|Produktinnovation",Daten_Motive!$A$1:$A$331,0),$BK$7)="","",INDEX(Daten_Motive!$A:$ZZ,MATCH($B61&amp;"|Produktinnovation",Daten_Motive!$A$1:$A$331,0),$BK$7)),"")</f>
        <v>33</v>
      </c>
      <c r="BC61" s="49">
        <f>IFERROR(BB61-IFERROR(IF(INDEX(Daten_Motive!$A:$ZZ,MATCH($B61&amp;"|Produktinnovation",Daten_Motive!$A$1:$A$331,0),$BK$8)="",NA(),INDEX(Daten_Motive!$A:$ZZ,MATCH($B61&amp;"|Produktinnovation",Daten_Motive!$A$1:$A$331,0),$BK$8)),NA()),"")</f>
        <v>0</v>
      </c>
      <c r="BD61" s="49">
        <f>IFERROR(BB61-IFERROR(IF(INDEX(Daten_Motive!$A:$ZZ,MATCH($B61&amp;"|Produktinnovation",Daten_Motive!$A$1:$A$331,0),$BK$9)="",NA(),INDEX(Daten_Motive!$A:$ZZ,MATCH($B61&amp;"|Produktinnovation",Daten_Motive!$A$1:$A$331,0),$BK$9)),NA()),"")</f>
        <v>1</v>
      </c>
      <c r="BE61" s="50">
        <f>IFERROR(IF(INDEX(Daten_Motive!$A:$ZZ,MATCH($B61&amp;"|Umweltschutz",Daten_Motive!$A$1:$A$331,0),$BK$7)="","",INDEX(Daten_Motive!$A:$ZZ,MATCH($B61&amp;"|Umweltschutz",Daten_Motive!$A$1:$A$331,0),$BK$7)),"")</f>
        <v>9</v>
      </c>
      <c r="BF61" s="49">
        <f>IFERROR(BE61-IFERROR(IF(INDEX(Daten_Motive!$A:$ZZ,MATCH($B61&amp;"|Umweltschutz",Daten_Motive!$A$1:$A$331,0),$BK$8)="",NA(),INDEX(Daten_Motive!$A:$ZZ,MATCH($B61&amp;"|Umweltschutz",Daten_Motive!$A$1:$A$331,0),$BK$8)),NA()),"")</f>
        <v>-1</v>
      </c>
      <c r="BG61" s="49">
        <f>IFERROR(BE61-IFERROR(IF(INDEX(Daten_Motive!$A:$ZZ,MATCH($B61&amp;"|Umweltschutz",Daten_Motive!$A$1:$A$331,0),$BK$9)="",NA(),INDEX(Daten_Motive!$A:$ZZ,MATCH($B61&amp;"|Umweltschutz",Daten_Motive!$A$1:$A$331,0),$BK$9)),NA()),"")</f>
        <v>0</v>
      </c>
      <c r="BH61" s="50">
        <f>IFERROR(IF(INDEX(Daten_Motive!$A:$ZZ,MATCH($B61&amp;"|Kapazitätserweiterung",Daten_Motive!$A$1:$A$331,0),$BK$7)="","",INDEX(Daten_Motive!$A:$ZZ,MATCH($B61&amp;"|Kapazitätserweiterung",Daten_Motive!$A$1:$A$331,0),$BK$7)),"")</f>
        <v>22</v>
      </c>
      <c r="BI61" s="49">
        <f>IFERROR(BH61-IFERROR(IF(INDEX(Daten_Motive!$A:$ZZ,MATCH($B61&amp;"|Kapazitätserweiterung",Daten_Motive!$A$1:$A$331,0),$BK$8)="",NA(),INDEX(Daten_Motive!$A:$ZZ,MATCH($B61&amp;"|Kapazitätserweiterung",Daten_Motive!$A$1:$A$331,0),$BK$8)),NA()),"")</f>
        <v>-3</v>
      </c>
      <c r="BJ61" s="49">
        <f>IFERROR(BH61-IFERROR(IF(INDEX(Daten_Motive!$A:$ZZ,MATCH($B61&amp;"|Kapazitätserweiterung",Daten_Motive!$A$1:$A$331,0),$BK$9)="",NA(),INDEX(Daten_Motive!$A:$ZZ,MATCH($B61&amp;"|Kapazitätserweiterung",Daten_Motive!$A$1:$A$331,0),$BK$9)),NA()),"")</f>
        <v>-5</v>
      </c>
    </row>
    <row r="62" spans="1:62" x14ac:dyDescent="0.25">
      <c r="A62" s="42">
        <v>54</v>
      </c>
      <c r="B62" s="52" t="str">
        <f>Listen!A51</f>
        <v>Forschung und Entwicklung</v>
      </c>
      <c r="C62" s="44" t="s">
        <v>4544</v>
      </c>
      <c r="D62" s="44" t="str">
        <f>Listen!B51</f>
        <v>Dienstleister</v>
      </c>
      <c r="E62" s="45">
        <f>IFERROR(IF(INDEX(Daten_Anteile!$A:$ZZ,MATCH($B62&amp;"|Lage|"&amp;$C$3,Daten_Anteile!$A$1:$A$2971,0),5)="","",INDEX(Daten_Anteile!$A:$ZZ,MATCH($B62&amp;"|Lage|"&amp;$C$3,Daten_Anteile!$A$1:$A$2971,0),5)),"")</f>
        <v>108</v>
      </c>
      <c r="F62" s="46">
        <f t="shared" si="3"/>
        <v>110.8</v>
      </c>
      <c r="G62" s="47">
        <f t="shared" si="4"/>
        <v>1.6</v>
      </c>
      <c r="H62" s="47">
        <f t="shared" si="5"/>
        <v>-5.9</v>
      </c>
      <c r="I62" s="48">
        <f>IFERROR(IF(INDEX(Daten_Salden!$A:$ZZ,MATCH($B62&amp;"|Lage",Daten_Salden!$A$1:$A$331,0),$BK$1)="","",INDEX(Daten_Salden!$A:$ZZ,MATCH($B62&amp;"|Lage",Daten_Salden!$A$1:$A$331,0),$BK$1)),"")</f>
        <v>18</v>
      </c>
      <c r="J62" s="49">
        <f>IFERROR(I62-IFERROR(IF(INDEX(Daten_Salden!$A:$ZZ,MATCH($B62&amp;"|Lage",Daten_Salden!$A$1:$A$331,0),$BK$2)="",NA(),INDEX(Daten_Salden!$A:$ZZ,MATCH($B62&amp;"|Lage",Daten_Salden!$A$1:$A$331,0),$BK$2)),NA()),"")</f>
        <v>0</v>
      </c>
      <c r="K62" s="49">
        <f>IFERROR(I62-IFERROR(IF(INDEX(Daten_Salden!$A:$ZZ,MATCH($B62&amp;"|Lage",Daten_Salden!$A$1:$A$331,0),$BK$3)="",NA(),INDEX(Daten_Salden!$A:$ZZ,MATCH($B62&amp;"|Lage",Daten_Salden!$A$1:$A$331,0),$BK$3)),NA()),"")</f>
        <v>-7</v>
      </c>
      <c r="L62" s="48">
        <f>IFERROR(IF(INDEX(Daten_Salden!$A:$ZZ,MATCH($B62&amp;"|Erwartungen",Daten_Salden!$A$1:$A$331,0),$BK$1)="","",INDEX(Daten_Salden!$A:$ZZ,MATCH($B62&amp;"|Erwartungen",Daten_Salden!$A$1:$A$331,0),$BK$1)),"")</f>
        <v>4</v>
      </c>
      <c r="M62" s="49">
        <f>IFERROR(L62-IFERROR(IF(INDEX(Daten_Salden!$A:$ZZ,MATCH($B62&amp;"|Erwartungen",Daten_Salden!$A$1:$A$331,0),$BK$2)="",NA(),INDEX(Daten_Salden!$A:$ZZ,MATCH($B62&amp;"|Erwartungen",Daten_Salden!$A$1:$A$331,0),$BK$2)),NA()),"")</f>
        <v>3</v>
      </c>
      <c r="N62" s="49">
        <f>IFERROR(L62-IFERROR(IF(INDEX(Daten_Salden!$A:$ZZ,MATCH($B62&amp;"|Erwartungen",Daten_Salden!$A$1:$A$331,0),$BK$3)="",NA(),INDEX(Daten_Salden!$A:$ZZ,MATCH($B62&amp;"|Erwartungen",Daten_Salden!$A$1:$A$331,0),$BK$3)),NA()),"")</f>
        <v>-5</v>
      </c>
      <c r="O62" s="48" t="str">
        <f>IFERROR(IF(INDEX(Daten_Salden!$A:$ZZ,MATCH($B62&amp;"|Export",Daten_Salden!$A$1:$A$331,0),$BK$1)="","",INDEX(Daten_Salden!$A:$ZZ,MATCH($B62&amp;"|Export",Daten_Salden!$A$1:$A$331,0),$BK$1)),"")</f>
        <v/>
      </c>
      <c r="P62" s="49" t="str">
        <f>IFERROR(O62-IFERROR(IF(INDEX(Daten_Salden!$A:$ZZ,MATCH($B62&amp;"|Export",Daten_Salden!$A$1:$A$331,0),$BK$2)="",NA(),INDEX(Daten_Salden!$A:$ZZ,MATCH($B62&amp;"|Export",Daten_Salden!$A$1:$A$331,0),$BK$2)),NA()),"")</f>
        <v/>
      </c>
      <c r="Q62" s="49" t="str">
        <f>IFERROR(O62-IFERROR(IF(INDEX(Daten_Salden!$A:$ZZ,MATCH($B62&amp;"|Export",Daten_Salden!$A$1:$A$331,0),$BK$3)="",NA(),INDEX(Daten_Salden!$A:$ZZ,MATCH($B62&amp;"|Export",Daten_Salden!$A$1:$A$331,0),$BK$3)),NA()),"")</f>
        <v/>
      </c>
      <c r="R62" s="48">
        <f>IFERROR(IF(INDEX(Daten_Salden!$A:$ZZ,MATCH($B62&amp;"|Investitionen",Daten_Salden!$A$1:$A$331,0),$BK$1)="","",INDEX(Daten_Salden!$A:$ZZ,MATCH($B62&amp;"|Investitionen",Daten_Salden!$A$1:$A$331,0),$BK$1)),"")</f>
        <v>6</v>
      </c>
      <c r="S62" s="49">
        <f>IFERROR(R62-IFERROR(IF(INDEX(Daten_Salden!$A:$ZZ,MATCH($B62&amp;"|Investitionen",Daten_Salden!$A$1:$A$331,0),$BK$2)="",NA(),INDEX(Daten_Salden!$A:$ZZ,MATCH($B62&amp;"|Investitionen",Daten_Salden!$A$1:$A$331,0),$BK$2)),NA()),"")</f>
        <v>13</v>
      </c>
      <c r="T62" s="49">
        <f>IFERROR(R62-IFERROR(IF(INDEX(Daten_Salden!$A:$ZZ,MATCH($B62&amp;"|Investitionen",Daten_Salden!$A$1:$A$331,0),$BK$3)="",NA(),INDEX(Daten_Salden!$A:$ZZ,MATCH($B62&amp;"|Investitionen",Daten_Salden!$A$1:$A$331,0),$BK$3)),NA()),"")</f>
        <v>1</v>
      </c>
      <c r="U62" s="48">
        <f>IFERROR(IF(INDEX(Daten_Salden!$A:$ZZ,MATCH($B62&amp;"|Beschäftigung",Daten_Salden!$A$1:$A$331,0),$BK$1)="","",INDEX(Daten_Salden!$A:$ZZ,MATCH($B62&amp;"|Beschäftigung",Daten_Salden!$A$1:$A$331,0),$BK$1)),"")</f>
        <v>12</v>
      </c>
      <c r="V62" s="49">
        <f>IFERROR(U62-IFERROR(IF(INDEX(Daten_Salden!$A:$ZZ,MATCH($B62&amp;"|Beschäftigung",Daten_Salden!$A$1:$A$331,0),$BK$2)="",NA(),INDEX(Daten_Salden!$A:$ZZ,MATCH($B62&amp;"|Beschäftigung",Daten_Salden!$A$1:$A$331,0),$BK$2)),NA()),"")</f>
        <v>12</v>
      </c>
      <c r="W62" s="49">
        <f>IFERROR(U62-IFERROR(IF(INDEX(Daten_Salden!$A:$ZZ,MATCH($B62&amp;"|Beschäftigung",Daten_Salden!$A$1:$A$331,0),$BK$3)="",NA(),INDEX(Daten_Salden!$A:$ZZ,MATCH($B62&amp;"|Beschäftigung",Daten_Salden!$A$1:$A$331,0),$BK$3)),NA()),"")</f>
        <v>8</v>
      </c>
      <c r="X62" s="50">
        <f>IFERROR(IF(INDEX(Daten_Risiken!$A:$ZZ,MATCH($B62&amp;"|Energie- und Rohstoffpreise",Daten_Risiken!$A$1:$A$529,0),$BK$4)="","",INDEX(Daten_Risiken!$A:$ZZ,MATCH($B62&amp;"|Energie- und Rohstoffpreise",Daten_Risiken!$A$1:$A$529,0),$BK$4)),"")</f>
        <v>38</v>
      </c>
      <c r="Y62" s="49">
        <f>IFERROR(X62-IFERROR(IF(INDEX(Daten_Risiken!$A:$ZZ,MATCH($B62&amp;"|Energie- und Rohstoffpreise",Daten_Risiken!$A$1:$A$529,0),$BK$5)="",NA(),INDEX(Daten_Risiken!$A:$ZZ,MATCH($B62&amp;"|Energie- und Rohstoffpreise",Daten_Risiken!$A$1:$A$529,0),$BK$5)),NA()),"")</f>
        <v>-9</v>
      </c>
      <c r="Z62" s="49">
        <f>IFERROR(X62-IFERROR(IF(INDEX(Daten_Risiken!$A:$ZZ,MATCH($B62&amp;"|Energie- und Rohstoffpreise",Daten_Risiken!$A$1:$A$529,0),$BK$6)="",NA(),INDEX(Daten_Risiken!$A:$ZZ,MATCH($B62&amp;"|Energie- und Rohstoffpreise",Daten_Risiken!$A$1:$A$529,0),$BK$6)),NA()),"")</f>
        <v>11</v>
      </c>
      <c r="AA62" s="50">
        <f>IFERROR(IF(INDEX(Daten_Risiken!$A:$ZZ,MATCH($B62&amp;"|Arbeitskosten",Daten_Risiken!$A$1:$A$529,0),$BK$4)="","",INDEX(Daten_Risiken!$A:$ZZ,MATCH($B62&amp;"|Arbeitskosten",Daten_Risiken!$A$1:$A$529,0),$BK$4)),"")</f>
        <v>40</v>
      </c>
      <c r="AB62" s="49">
        <f>IFERROR(AA62-IFERROR(IF(INDEX(Daten_Risiken!$A:$ZZ,MATCH($B62&amp;"|Arbeitskosten",Daten_Risiken!$A$1:$A$529,0),$BK$5)="",NA(),INDEX(Daten_Risiken!$A:$ZZ,MATCH($B62&amp;"|Arbeitskosten",Daten_Risiken!$A$1:$A$529,0),$BK$5)),NA()),"")</f>
        <v>-11</v>
      </c>
      <c r="AC62" s="49">
        <f>IFERROR(AA62-IFERROR(IF(INDEX(Daten_Risiken!$A:$ZZ,MATCH($B62&amp;"|Arbeitskosten",Daten_Risiken!$A$1:$A$529,0),$BK$6)="",NA(),INDEX(Daten_Risiken!$A:$ZZ,MATCH($B62&amp;"|Arbeitskosten",Daten_Risiken!$A$1:$A$529,0),$BK$6)),NA()),"")</f>
        <v>-4</v>
      </c>
      <c r="AD62" s="50">
        <f>IFERROR(IF(INDEX(Daten_Risiken!$A:$ZZ,MATCH($B62&amp;"|Inlandsnachfrage",Daten_Risiken!$A$1:$A$529,0),$BK$4)="","",INDEX(Daten_Risiken!$A:$ZZ,MATCH($B62&amp;"|Inlandsnachfrage",Daten_Risiken!$A$1:$A$529,0),$BK$4)),"")</f>
        <v>46</v>
      </c>
      <c r="AE62" s="49">
        <f>IFERROR(AD62-IFERROR(IF(INDEX(Daten_Risiken!$A:$ZZ,MATCH($B62&amp;"|Inlandsnachfrage",Daten_Risiken!$A$1:$A$529,0),$BK$5)="",NA(),INDEX(Daten_Risiken!$A:$ZZ,MATCH($B62&amp;"|Inlandsnachfrage",Daten_Risiken!$A$1:$A$529,0),$BK$5)),NA()),"")</f>
        <v>-9</v>
      </c>
      <c r="AF62" s="49">
        <f>IFERROR(AD62-IFERROR(IF(INDEX(Daten_Risiken!$A:$ZZ,MATCH($B62&amp;"|Inlandsnachfrage",Daten_Risiken!$A$1:$A$529,0),$BK$6)="",NA(),INDEX(Daten_Risiken!$A:$ZZ,MATCH($B62&amp;"|Inlandsnachfrage",Daten_Risiken!$A$1:$A$529,0),$BK$6)),NA()),"")</f>
        <v>-3</v>
      </c>
      <c r="AG62" s="50">
        <f>IFERROR(IF(INDEX(Daten_Risiken!$A:$ZZ,MATCH($B62&amp;"|Wirtschaftspolitische Rahmenbedingungen",Daten_Risiken!$A$1:$A$529,0),$BK$4)="","",INDEX(Daten_Risiken!$A:$ZZ,MATCH($B62&amp;"|Wirtschaftspolitische Rahmenbedingungen",Daten_Risiken!$A$1:$A$529,0),$BK$4)),"")</f>
        <v>57</v>
      </c>
      <c r="AH62" s="49">
        <f>IFERROR(AG62-IFERROR(IF(INDEX(Daten_Risiken!$A:$ZZ,MATCH($B62&amp;"|Wirtschaftspolitische Rahmenbedingungen",Daten_Risiken!$A$1:$A$529,0),$BK$5)="",NA(),INDEX(Daten_Risiken!$A:$ZZ,MATCH($B62&amp;"|Wirtschaftspolitische Rahmenbedingungen",Daten_Risiken!$A$1:$A$529,0),$BK$5)),NA()),"")</f>
        <v>7</v>
      </c>
      <c r="AI62" s="49">
        <f>IFERROR(AG62-IFERROR(IF(INDEX(Daten_Risiken!$A:$ZZ,MATCH($B62&amp;"|Wirtschaftspolitische Rahmenbedingungen",Daten_Risiken!$A$1:$A$529,0),$BK$6)="",NA(),INDEX(Daten_Risiken!$A:$ZZ,MATCH($B62&amp;"|Wirtschaftspolitische Rahmenbedingungen",Daten_Risiken!$A$1:$A$529,0),$BK$6)),NA()),"")</f>
        <v>-1</v>
      </c>
      <c r="AJ62" s="50">
        <f>IFERROR(IF(INDEX(Daten_Risiken!$A:$ZZ,MATCH($B62&amp;"|Fachkräftemangel",Daten_Risiken!$A$1:$A$529,0),$BK$4)="","",INDEX(Daten_Risiken!$A:$ZZ,MATCH($B62&amp;"|Fachkräftemangel",Daten_Risiken!$A$1:$A$529,0),$BK$4)),"")</f>
        <v>20</v>
      </c>
      <c r="AK62" s="49">
        <f>IFERROR(AJ62-IFERROR(IF(INDEX(Daten_Risiken!$A:$ZZ,MATCH($B62&amp;"|Fachkräftemangel",Daten_Risiken!$A$1:$A$529,0),$BK$5)="",NA(),INDEX(Daten_Risiken!$A:$ZZ,MATCH($B62&amp;"|Fachkräftemangel",Daten_Risiken!$A$1:$A$529,0),$BK$5)),NA()),"")</f>
        <v>-5</v>
      </c>
      <c r="AL62" s="49">
        <f>IFERROR(AJ62-IFERROR(IF(INDEX(Daten_Risiken!$A:$ZZ,MATCH($B62&amp;"|Fachkräftemangel",Daten_Risiken!$A$1:$A$529,0),$BK$6)="",NA(),INDEX(Daten_Risiken!$A:$ZZ,MATCH($B62&amp;"|Fachkräftemangel",Daten_Risiken!$A$1:$A$529,0),$BK$6)),NA()),"")</f>
        <v>-15</v>
      </c>
      <c r="AM62" s="50" t="str">
        <f>IFERROR(IF(INDEX(Daten_Risiken!$A:$ZZ,MATCH($B62&amp;"|Auslandsnachfrage",Daten_Risiken!$A$1:$A$529,0),$BK$4)="","",INDEX(Daten_Risiken!$A:$ZZ,MATCH($B62&amp;"|Auslandsnachfrage",Daten_Risiken!$A$1:$A$529,0),$BK$4)),"")</f>
        <v/>
      </c>
      <c r="AN62" s="49" t="str">
        <f>IFERROR(AM62-IFERROR(IF(INDEX(Daten_Risiken!$A:$ZZ,MATCH($B62&amp;"|Auslandsnachfrage",Daten_Risiken!$A$1:$A$529,0),$BK$5)="",NA(),INDEX(Daten_Risiken!$A:$ZZ,MATCH($B62&amp;"|Auslandsnachfrage",Daten_Risiken!$A$1:$A$529,0),$BK$5)),NA()),"")</f>
        <v/>
      </c>
      <c r="AO62" s="49" t="str">
        <f>IFERROR(AM62-IFERROR(IF(INDEX(Daten_Risiken!$A:$ZZ,MATCH($B62&amp;"|Auslandsnachfrage",Daten_Risiken!$A$1:$A$529,0),$BK$6)="",NA(),INDEX(Daten_Risiken!$A:$ZZ,MATCH($B62&amp;"|Auslandsnachfrage",Daten_Risiken!$A$1:$A$529,0),$BK$6)),NA()),"")</f>
        <v/>
      </c>
      <c r="AP62" s="50">
        <f>IFERROR(IF(INDEX(Daten_Risiken!$A:$ZZ,MATCH($B62&amp;"|Finanzierung",Daten_Risiken!$A$1:$A$529,0),$BK$4)="","",INDEX(Daten_Risiken!$A:$ZZ,MATCH($B62&amp;"|Finanzierung",Daten_Risiken!$A$1:$A$529,0),$BK$4)),"")</f>
        <v>21</v>
      </c>
      <c r="AQ62" s="49">
        <f>IFERROR(AP62-IFERROR(IF(INDEX(Daten_Risiken!$A:$ZZ,MATCH($B62&amp;"|Finanzierung",Daten_Risiken!$A$1:$A$529,0),$BK$5)="",NA(),INDEX(Daten_Risiken!$A:$ZZ,MATCH($B62&amp;"|Finanzierung",Daten_Risiken!$A$1:$A$529,0),$BK$5)),NA()),"")</f>
        <v>2</v>
      </c>
      <c r="AR62" s="49">
        <f>IFERROR(AP62-IFERROR(IF(INDEX(Daten_Risiken!$A:$ZZ,MATCH($B62&amp;"|Finanzierung",Daten_Risiken!$A$1:$A$529,0),$BK$6)="",NA(),INDEX(Daten_Risiken!$A:$ZZ,MATCH($B62&amp;"|Finanzierung",Daten_Risiken!$A$1:$A$529,0),$BK$6)),NA()),"")</f>
        <v>0</v>
      </c>
      <c r="AS62" s="50" t="str">
        <f>IFERROR(IF(INDEX(Daten_Risiken!$A:$ZZ,MATCH($B62&amp;"|Wechselkurs",Daten_Risiken!$A$1:$A$529,0),$BK$4)="","",INDEX(Daten_Risiken!$A:$ZZ,MATCH($B62&amp;"|Wechselkurs",Daten_Risiken!$A$1:$A$529,0),$BK$4)),"")</f>
        <v/>
      </c>
      <c r="AT62" s="49" t="str">
        <f>IFERROR(AS62-IFERROR(IF(INDEX(Daten_Risiken!$A:$ZZ,MATCH($B62&amp;"|Wechselkurs",Daten_Risiken!$A$1:$A$529,0),$BK$5)="",NA(),INDEX(Daten_Risiken!$A:$ZZ,MATCH($B62&amp;"|Wechselkurs",Daten_Risiken!$A$1:$A$529,0),$BK$5)),NA()),"")</f>
        <v/>
      </c>
      <c r="AU62" s="49" t="str">
        <f>IFERROR(AS62-IFERROR(IF(INDEX(Daten_Risiken!$A:$ZZ,MATCH($B62&amp;"|Wechselkurs",Daten_Risiken!$A$1:$A$529,0),$BK$6)="",NA(),INDEX(Daten_Risiken!$A:$ZZ,MATCH($B62&amp;"|Wechselkurs",Daten_Risiken!$A$1:$A$529,0),$BK$6)),NA()),"")</f>
        <v/>
      </c>
      <c r="AV62" s="50">
        <f>IFERROR(IF(INDEX(Daten_Motive!$A:$ZZ,MATCH($B62&amp;"|Ersatzbedarf",Daten_Motive!$A$1:$A$331,0),$BK$7)="","",INDEX(Daten_Motive!$A:$ZZ,MATCH($B62&amp;"|Ersatzbedarf",Daten_Motive!$A$1:$A$331,0),$BK$7)),"")</f>
        <v>44</v>
      </c>
      <c r="AW62" s="49">
        <f>IFERROR(AV62-IFERROR(IF(INDEX(Daten_Motive!$A:$ZZ,MATCH($B62&amp;"|Ersatzbedarf",Daten_Motive!$A$1:$A$331,0),$BK$8)="",NA(),INDEX(Daten_Motive!$A:$ZZ,MATCH($B62&amp;"|Ersatzbedarf",Daten_Motive!$A$1:$A$331,0),$BK$8)),NA()),"")</f>
        <v>-4</v>
      </c>
      <c r="AX62" s="49">
        <f>IFERROR(AV62-IFERROR(IF(INDEX(Daten_Motive!$A:$ZZ,MATCH($B62&amp;"|Ersatzbedarf",Daten_Motive!$A$1:$A$331,0),$BK$9)="",NA(),INDEX(Daten_Motive!$A:$ZZ,MATCH($B62&amp;"|Ersatzbedarf",Daten_Motive!$A$1:$A$331,0),$BK$9)),NA()),"")</f>
        <v>-8</v>
      </c>
      <c r="AY62" s="50">
        <f>IFERROR(IF(INDEX(Daten_Motive!$A:$ZZ,MATCH($B62&amp;"|Rationalisierung",Daten_Motive!$A$1:$A$331,0),$BK$7)="","",INDEX(Daten_Motive!$A:$ZZ,MATCH($B62&amp;"|Rationalisierung",Daten_Motive!$A$1:$A$331,0),$BK$7)),"")</f>
        <v>30</v>
      </c>
      <c r="AZ62" s="49">
        <f>IFERROR(AY62-IFERROR(IF(INDEX(Daten_Motive!$A:$ZZ,MATCH($B62&amp;"|Rationalisierung",Daten_Motive!$A$1:$A$331,0),$BK$8)="",NA(),INDEX(Daten_Motive!$A:$ZZ,MATCH($B62&amp;"|Rationalisierung",Daten_Motive!$A$1:$A$331,0),$BK$8)),NA()),"")</f>
        <v>5</v>
      </c>
      <c r="BA62" s="49">
        <f>IFERROR(AY62-IFERROR(IF(INDEX(Daten_Motive!$A:$ZZ,MATCH($B62&amp;"|Rationalisierung",Daten_Motive!$A$1:$A$331,0),$BK$9)="",NA(),INDEX(Daten_Motive!$A:$ZZ,MATCH($B62&amp;"|Rationalisierung",Daten_Motive!$A$1:$A$331,0),$BK$9)),NA()),"")</f>
        <v>-7</v>
      </c>
      <c r="BB62" s="50">
        <f>IFERROR(IF(INDEX(Daten_Motive!$A:$ZZ,MATCH($B62&amp;"|Produktinnovation",Daten_Motive!$A$1:$A$331,0),$BK$7)="","",INDEX(Daten_Motive!$A:$ZZ,MATCH($B62&amp;"|Produktinnovation",Daten_Motive!$A$1:$A$331,0),$BK$7)),"")</f>
        <v>46</v>
      </c>
      <c r="BC62" s="49">
        <f>IFERROR(BB62-IFERROR(IF(INDEX(Daten_Motive!$A:$ZZ,MATCH($B62&amp;"|Produktinnovation",Daten_Motive!$A$1:$A$331,0),$BK$8)="",NA(),INDEX(Daten_Motive!$A:$ZZ,MATCH($B62&amp;"|Produktinnovation",Daten_Motive!$A$1:$A$331,0),$BK$8)),NA()),"")</f>
        <v>-1</v>
      </c>
      <c r="BD62" s="49">
        <f>IFERROR(BB62-IFERROR(IF(INDEX(Daten_Motive!$A:$ZZ,MATCH($B62&amp;"|Produktinnovation",Daten_Motive!$A$1:$A$331,0),$BK$9)="",NA(),INDEX(Daten_Motive!$A:$ZZ,MATCH($B62&amp;"|Produktinnovation",Daten_Motive!$A$1:$A$331,0),$BK$9)),NA()),"")</f>
        <v>6</v>
      </c>
      <c r="BE62" s="50">
        <f>IFERROR(IF(INDEX(Daten_Motive!$A:$ZZ,MATCH($B62&amp;"|Umweltschutz",Daten_Motive!$A$1:$A$331,0),$BK$7)="","",INDEX(Daten_Motive!$A:$ZZ,MATCH($B62&amp;"|Umweltschutz",Daten_Motive!$A$1:$A$331,0),$BK$7)),"")</f>
        <v>17</v>
      </c>
      <c r="BF62" s="49">
        <f>IFERROR(BE62-IFERROR(IF(INDEX(Daten_Motive!$A:$ZZ,MATCH($B62&amp;"|Umweltschutz",Daten_Motive!$A$1:$A$331,0),$BK$8)="",NA(),INDEX(Daten_Motive!$A:$ZZ,MATCH($B62&amp;"|Umweltschutz",Daten_Motive!$A$1:$A$331,0),$BK$8)),NA()),"")</f>
        <v>6</v>
      </c>
      <c r="BG62" s="49">
        <f>IFERROR(BE62-IFERROR(IF(INDEX(Daten_Motive!$A:$ZZ,MATCH($B62&amp;"|Umweltschutz",Daten_Motive!$A$1:$A$331,0),$BK$9)="",NA(),INDEX(Daten_Motive!$A:$ZZ,MATCH($B62&amp;"|Umweltschutz",Daten_Motive!$A$1:$A$331,0),$BK$9)),NA()),"")</f>
        <v>2</v>
      </c>
      <c r="BH62" s="50">
        <f>IFERROR(IF(INDEX(Daten_Motive!$A:$ZZ,MATCH($B62&amp;"|Kapazitätserweiterung",Daten_Motive!$A$1:$A$331,0),$BK$7)="","",INDEX(Daten_Motive!$A:$ZZ,MATCH($B62&amp;"|Kapazitätserweiterung",Daten_Motive!$A$1:$A$331,0),$BK$7)),"")</f>
        <v>35</v>
      </c>
      <c r="BI62" s="49">
        <f>IFERROR(BH62-IFERROR(IF(INDEX(Daten_Motive!$A:$ZZ,MATCH($B62&amp;"|Kapazitätserweiterung",Daten_Motive!$A$1:$A$331,0),$BK$8)="",NA(),INDEX(Daten_Motive!$A:$ZZ,MATCH($B62&amp;"|Kapazitätserweiterung",Daten_Motive!$A$1:$A$331,0),$BK$8)),NA()),"")</f>
        <v>9</v>
      </c>
      <c r="BJ62" s="49">
        <f>IFERROR(BH62-IFERROR(IF(INDEX(Daten_Motive!$A:$ZZ,MATCH($B62&amp;"|Kapazitätserweiterung",Daten_Motive!$A$1:$A$331,0),$BK$9)="",NA(),INDEX(Daten_Motive!$A:$ZZ,MATCH($B62&amp;"|Kapazitätserweiterung",Daten_Motive!$A$1:$A$331,0),$BK$9)),NA()),"")</f>
        <v>6</v>
      </c>
    </row>
    <row r="63" spans="1:62" x14ac:dyDescent="0.25">
      <c r="A63" s="42">
        <v>55</v>
      </c>
      <c r="B63" s="52" t="str">
        <f>Listen!A52</f>
        <v>Werbung und Marktforschung</v>
      </c>
      <c r="C63" s="44" t="s">
        <v>4545</v>
      </c>
      <c r="D63" s="44" t="str">
        <f>Listen!B52</f>
        <v>Dienstleister</v>
      </c>
      <c r="E63" s="45">
        <f>IFERROR(IF(INDEX(Daten_Anteile!$A:$ZZ,MATCH($B63&amp;"|Lage|"&amp;$C$3,Daten_Anteile!$A$1:$A$2971,0),5)="","",INDEX(Daten_Anteile!$A:$ZZ,MATCH($B63&amp;"|Lage|"&amp;$C$3,Daten_Anteile!$A$1:$A$2971,0),5)),"")</f>
        <v>257</v>
      </c>
      <c r="F63" s="46">
        <f t="shared" si="3"/>
        <v>83.4</v>
      </c>
      <c r="G63" s="47">
        <f t="shared" si="4"/>
        <v>-0.9</v>
      </c>
      <c r="H63" s="47">
        <f t="shared" si="5"/>
        <v>-3.6</v>
      </c>
      <c r="I63" s="48">
        <f>IFERROR(IF(INDEX(Daten_Salden!$A:$ZZ,MATCH($B63&amp;"|Lage",Daten_Salden!$A$1:$A$331,0),$BK$1)="","",INDEX(Daten_Salden!$A:$ZZ,MATCH($B63&amp;"|Lage",Daten_Salden!$A$1:$A$331,0),$BK$1)),"")</f>
        <v>-13</v>
      </c>
      <c r="J63" s="49">
        <f>IFERROR(I63-IFERROR(IF(INDEX(Daten_Salden!$A:$ZZ,MATCH($B63&amp;"|Lage",Daten_Salden!$A$1:$A$331,0),$BK$2)="",NA(),INDEX(Daten_Salden!$A:$ZZ,MATCH($B63&amp;"|Lage",Daten_Salden!$A$1:$A$331,0),$BK$2)),NA()),"")</f>
        <v>-3</v>
      </c>
      <c r="K63" s="49">
        <f>IFERROR(I63-IFERROR(IF(INDEX(Daten_Salden!$A:$ZZ,MATCH($B63&amp;"|Lage",Daten_Salden!$A$1:$A$331,0),$BK$3)="",NA(),INDEX(Daten_Salden!$A:$ZZ,MATCH($B63&amp;"|Lage",Daten_Salden!$A$1:$A$331,0),$BK$3)),NA()),"")</f>
        <v>-2</v>
      </c>
      <c r="L63" s="48">
        <f>IFERROR(IF(INDEX(Daten_Salden!$A:$ZZ,MATCH($B63&amp;"|Erwartungen",Daten_Salden!$A$1:$A$331,0),$BK$1)="","",INDEX(Daten_Salden!$A:$ZZ,MATCH($B63&amp;"|Erwartungen",Daten_Salden!$A$1:$A$331,0),$BK$1)),"")</f>
        <v>-20</v>
      </c>
      <c r="M63" s="49">
        <f>IFERROR(L63-IFERROR(IF(INDEX(Daten_Salden!$A:$ZZ,MATCH($B63&amp;"|Erwartungen",Daten_Salden!$A$1:$A$331,0),$BK$2)="",NA(),INDEX(Daten_Salden!$A:$ZZ,MATCH($B63&amp;"|Erwartungen",Daten_Salden!$A$1:$A$331,0),$BK$2)),NA()),"")</f>
        <v>1</v>
      </c>
      <c r="N63" s="49">
        <f>IFERROR(L63-IFERROR(IF(INDEX(Daten_Salden!$A:$ZZ,MATCH($B63&amp;"|Erwartungen",Daten_Salden!$A$1:$A$331,0),$BK$3)="",NA(),INDEX(Daten_Salden!$A:$ZZ,MATCH($B63&amp;"|Erwartungen",Daten_Salden!$A$1:$A$331,0),$BK$3)),NA()),"")</f>
        <v>-5</v>
      </c>
      <c r="O63" s="48" t="str">
        <f>IFERROR(IF(INDEX(Daten_Salden!$A:$ZZ,MATCH($B63&amp;"|Export",Daten_Salden!$A$1:$A$331,0),$BK$1)="","",INDEX(Daten_Salden!$A:$ZZ,MATCH($B63&amp;"|Export",Daten_Salden!$A$1:$A$331,0),$BK$1)),"")</f>
        <v/>
      </c>
      <c r="P63" s="49" t="str">
        <f>IFERROR(O63-IFERROR(IF(INDEX(Daten_Salden!$A:$ZZ,MATCH($B63&amp;"|Export",Daten_Salden!$A$1:$A$331,0),$BK$2)="",NA(),INDEX(Daten_Salden!$A:$ZZ,MATCH($B63&amp;"|Export",Daten_Salden!$A$1:$A$331,0),$BK$2)),NA()),"")</f>
        <v/>
      </c>
      <c r="Q63" s="49" t="str">
        <f>IFERROR(O63-IFERROR(IF(INDEX(Daten_Salden!$A:$ZZ,MATCH($B63&amp;"|Export",Daten_Salden!$A$1:$A$331,0),$BK$3)="",NA(),INDEX(Daten_Salden!$A:$ZZ,MATCH($B63&amp;"|Export",Daten_Salden!$A$1:$A$331,0),$BK$3)),NA()),"")</f>
        <v/>
      </c>
      <c r="R63" s="48">
        <f>IFERROR(IF(INDEX(Daten_Salden!$A:$ZZ,MATCH($B63&amp;"|Investitionen",Daten_Salden!$A$1:$A$331,0),$BK$1)="","",INDEX(Daten_Salden!$A:$ZZ,MATCH($B63&amp;"|Investitionen",Daten_Salden!$A$1:$A$331,0),$BK$1)),"")</f>
        <v>-16</v>
      </c>
      <c r="S63" s="49">
        <f>IFERROR(R63-IFERROR(IF(INDEX(Daten_Salden!$A:$ZZ,MATCH($B63&amp;"|Investitionen",Daten_Salden!$A$1:$A$331,0),$BK$2)="",NA(),INDEX(Daten_Salden!$A:$ZZ,MATCH($B63&amp;"|Investitionen",Daten_Salden!$A$1:$A$331,0),$BK$2)),NA()),"")</f>
        <v>-4</v>
      </c>
      <c r="T63" s="49">
        <f>IFERROR(R63-IFERROR(IF(INDEX(Daten_Salden!$A:$ZZ,MATCH($B63&amp;"|Investitionen",Daten_Salden!$A$1:$A$331,0),$BK$3)="",NA(),INDEX(Daten_Salden!$A:$ZZ,MATCH($B63&amp;"|Investitionen",Daten_Salden!$A$1:$A$331,0),$BK$3)),NA()),"")</f>
        <v>-1</v>
      </c>
      <c r="U63" s="48">
        <f>IFERROR(IF(INDEX(Daten_Salden!$A:$ZZ,MATCH($B63&amp;"|Beschäftigung",Daten_Salden!$A$1:$A$331,0),$BK$1)="","",INDEX(Daten_Salden!$A:$ZZ,MATCH($B63&amp;"|Beschäftigung",Daten_Salden!$A$1:$A$331,0),$BK$1)),"")</f>
        <v>-26</v>
      </c>
      <c r="V63" s="49">
        <f>IFERROR(U63-IFERROR(IF(INDEX(Daten_Salden!$A:$ZZ,MATCH($B63&amp;"|Beschäftigung",Daten_Salden!$A$1:$A$331,0),$BK$2)="",NA(),INDEX(Daten_Salden!$A:$ZZ,MATCH($B63&amp;"|Beschäftigung",Daten_Salden!$A$1:$A$331,0),$BK$2)),NA()),"")</f>
        <v>-4</v>
      </c>
      <c r="W63" s="49">
        <f>IFERROR(U63-IFERROR(IF(INDEX(Daten_Salden!$A:$ZZ,MATCH($B63&amp;"|Beschäftigung",Daten_Salden!$A$1:$A$331,0),$BK$3)="",NA(),INDEX(Daten_Salden!$A:$ZZ,MATCH($B63&amp;"|Beschäftigung",Daten_Salden!$A$1:$A$331,0),$BK$3)),NA()),"")</f>
        <v>-13</v>
      </c>
      <c r="X63" s="50">
        <f>IFERROR(IF(INDEX(Daten_Risiken!$A:$ZZ,MATCH($B63&amp;"|Energie- und Rohstoffpreise",Daten_Risiken!$A$1:$A$529,0),$BK$4)="","",INDEX(Daten_Risiken!$A:$ZZ,MATCH($B63&amp;"|Energie- und Rohstoffpreise",Daten_Risiken!$A$1:$A$529,0),$BK$4)),"")</f>
        <v>43</v>
      </c>
      <c r="Y63" s="49">
        <f>IFERROR(X63-IFERROR(IF(INDEX(Daten_Risiken!$A:$ZZ,MATCH($B63&amp;"|Energie- und Rohstoffpreise",Daten_Risiken!$A$1:$A$529,0),$BK$5)="",NA(),INDEX(Daten_Risiken!$A:$ZZ,MATCH($B63&amp;"|Energie- und Rohstoffpreise",Daten_Risiken!$A$1:$A$529,0),$BK$5)),NA()),"")</f>
        <v>-1</v>
      </c>
      <c r="Z63" s="49">
        <f>IFERROR(X63-IFERROR(IF(INDEX(Daten_Risiken!$A:$ZZ,MATCH($B63&amp;"|Energie- und Rohstoffpreise",Daten_Risiken!$A$1:$A$529,0),$BK$6)="",NA(),INDEX(Daten_Risiken!$A:$ZZ,MATCH($B63&amp;"|Energie- und Rohstoffpreise",Daten_Risiken!$A$1:$A$529,0),$BK$6)),NA()),"")</f>
        <v>19</v>
      </c>
      <c r="AA63" s="50">
        <f>IFERROR(IF(INDEX(Daten_Risiken!$A:$ZZ,MATCH($B63&amp;"|Arbeitskosten",Daten_Risiken!$A$1:$A$529,0),$BK$4)="","",INDEX(Daten_Risiken!$A:$ZZ,MATCH($B63&amp;"|Arbeitskosten",Daten_Risiken!$A$1:$A$529,0),$BK$4)),"")</f>
        <v>52</v>
      </c>
      <c r="AB63" s="49">
        <f>IFERROR(AA63-IFERROR(IF(INDEX(Daten_Risiken!$A:$ZZ,MATCH($B63&amp;"|Arbeitskosten",Daten_Risiken!$A$1:$A$529,0),$BK$5)="",NA(),INDEX(Daten_Risiken!$A:$ZZ,MATCH($B63&amp;"|Arbeitskosten",Daten_Risiken!$A$1:$A$529,0),$BK$5)),NA()),"")</f>
        <v>-3</v>
      </c>
      <c r="AC63" s="49">
        <f>IFERROR(AA63-IFERROR(IF(INDEX(Daten_Risiken!$A:$ZZ,MATCH($B63&amp;"|Arbeitskosten",Daten_Risiken!$A$1:$A$529,0),$BK$6)="",NA(),INDEX(Daten_Risiken!$A:$ZZ,MATCH($B63&amp;"|Arbeitskosten",Daten_Risiken!$A$1:$A$529,0),$BK$6)),NA()),"")</f>
        <v>2</v>
      </c>
      <c r="AD63" s="50">
        <f>IFERROR(IF(INDEX(Daten_Risiken!$A:$ZZ,MATCH($B63&amp;"|Inlandsnachfrage",Daten_Risiken!$A$1:$A$529,0),$BK$4)="","",INDEX(Daten_Risiken!$A:$ZZ,MATCH($B63&amp;"|Inlandsnachfrage",Daten_Risiken!$A$1:$A$529,0),$BK$4)),"")</f>
        <v>70</v>
      </c>
      <c r="AE63" s="49">
        <f>IFERROR(AD63-IFERROR(IF(INDEX(Daten_Risiken!$A:$ZZ,MATCH($B63&amp;"|Inlandsnachfrage",Daten_Risiken!$A$1:$A$529,0),$BK$5)="",NA(),INDEX(Daten_Risiken!$A:$ZZ,MATCH($B63&amp;"|Inlandsnachfrage",Daten_Risiken!$A$1:$A$529,0),$BK$5)),NA()),"")</f>
        <v>2</v>
      </c>
      <c r="AF63" s="49">
        <f>IFERROR(AD63-IFERROR(IF(INDEX(Daten_Risiken!$A:$ZZ,MATCH($B63&amp;"|Inlandsnachfrage",Daten_Risiken!$A$1:$A$529,0),$BK$6)="",NA(),INDEX(Daten_Risiken!$A:$ZZ,MATCH($B63&amp;"|Inlandsnachfrage",Daten_Risiken!$A$1:$A$529,0),$BK$6)),NA()),"")</f>
        <v>-6</v>
      </c>
      <c r="AG63" s="50">
        <f>IFERROR(IF(INDEX(Daten_Risiken!$A:$ZZ,MATCH($B63&amp;"|Wirtschaftspolitische Rahmenbedingungen",Daten_Risiken!$A$1:$A$529,0),$BK$4)="","",INDEX(Daten_Risiken!$A:$ZZ,MATCH($B63&amp;"|Wirtschaftspolitische Rahmenbedingungen",Daten_Risiken!$A$1:$A$529,0),$BK$4)),"")</f>
        <v>54</v>
      </c>
      <c r="AH63" s="49">
        <f>IFERROR(AG63-IFERROR(IF(INDEX(Daten_Risiken!$A:$ZZ,MATCH($B63&amp;"|Wirtschaftspolitische Rahmenbedingungen",Daten_Risiken!$A$1:$A$529,0),$BK$5)="",NA(),INDEX(Daten_Risiken!$A:$ZZ,MATCH($B63&amp;"|Wirtschaftspolitische Rahmenbedingungen",Daten_Risiken!$A$1:$A$529,0),$BK$5)),NA()),"")</f>
        <v>0</v>
      </c>
      <c r="AI63" s="49">
        <f>IFERROR(AG63-IFERROR(IF(INDEX(Daten_Risiken!$A:$ZZ,MATCH($B63&amp;"|Wirtschaftspolitische Rahmenbedingungen",Daten_Risiken!$A$1:$A$529,0),$BK$6)="",NA(),INDEX(Daten_Risiken!$A:$ZZ,MATCH($B63&amp;"|Wirtschaftspolitische Rahmenbedingungen",Daten_Risiken!$A$1:$A$529,0),$BK$6)),NA()),"")</f>
        <v>2</v>
      </c>
      <c r="AJ63" s="50">
        <f>IFERROR(IF(INDEX(Daten_Risiken!$A:$ZZ,MATCH($B63&amp;"|Fachkräftemangel",Daten_Risiken!$A$1:$A$529,0),$BK$4)="","",INDEX(Daten_Risiken!$A:$ZZ,MATCH($B63&amp;"|Fachkräftemangel",Daten_Risiken!$A$1:$A$529,0),$BK$4)),"")</f>
        <v>16</v>
      </c>
      <c r="AK63" s="49">
        <f>IFERROR(AJ63-IFERROR(IF(INDEX(Daten_Risiken!$A:$ZZ,MATCH($B63&amp;"|Fachkräftemangel",Daten_Risiken!$A$1:$A$529,0),$BK$5)="",NA(),INDEX(Daten_Risiken!$A:$ZZ,MATCH($B63&amp;"|Fachkräftemangel",Daten_Risiken!$A$1:$A$529,0),$BK$5)),NA()),"")</f>
        <v>-4</v>
      </c>
      <c r="AL63" s="49">
        <f>IFERROR(AJ63-IFERROR(IF(INDEX(Daten_Risiken!$A:$ZZ,MATCH($B63&amp;"|Fachkräftemangel",Daten_Risiken!$A$1:$A$529,0),$BK$6)="",NA(),INDEX(Daten_Risiken!$A:$ZZ,MATCH($B63&amp;"|Fachkräftemangel",Daten_Risiken!$A$1:$A$529,0),$BK$6)),NA()),"")</f>
        <v>-2</v>
      </c>
      <c r="AM63" s="50" t="str">
        <f>IFERROR(IF(INDEX(Daten_Risiken!$A:$ZZ,MATCH($B63&amp;"|Auslandsnachfrage",Daten_Risiken!$A$1:$A$529,0),$BK$4)="","",INDEX(Daten_Risiken!$A:$ZZ,MATCH($B63&amp;"|Auslandsnachfrage",Daten_Risiken!$A$1:$A$529,0),$BK$4)),"")</f>
        <v/>
      </c>
      <c r="AN63" s="49" t="str">
        <f>IFERROR(AM63-IFERROR(IF(INDEX(Daten_Risiken!$A:$ZZ,MATCH($B63&amp;"|Auslandsnachfrage",Daten_Risiken!$A$1:$A$529,0),$BK$5)="",NA(),INDEX(Daten_Risiken!$A:$ZZ,MATCH($B63&amp;"|Auslandsnachfrage",Daten_Risiken!$A$1:$A$529,0),$BK$5)),NA()),"")</f>
        <v/>
      </c>
      <c r="AO63" s="49" t="str">
        <f>IFERROR(AM63-IFERROR(IF(INDEX(Daten_Risiken!$A:$ZZ,MATCH($B63&amp;"|Auslandsnachfrage",Daten_Risiken!$A$1:$A$529,0),$BK$6)="",NA(),INDEX(Daten_Risiken!$A:$ZZ,MATCH($B63&amp;"|Auslandsnachfrage",Daten_Risiken!$A$1:$A$529,0),$BK$6)),NA()),"")</f>
        <v/>
      </c>
      <c r="AP63" s="50">
        <f>IFERROR(IF(INDEX(Daten_Risiken!$A:$ZZ,MATCH($B63&amp;"|Finanzierung",Daten_Risiken!$A$1:$A$529,0),$BK$4)="","",INDEX(Daten_Risiken!$A:$ZZ,MATCH($B63&amp;"|Finanzierung",Daten_Risiken!$A$1:$A$529,0),$BK$4)),"")</f>
        <v>7</v>
      </c>
      <c r="AQ63" s="49">
        <f>IFERROR(AP63-IFERROR(IF(INDEX(Daten_Risiken!$A:$ZZ,MATCH($B63&amp;"|Finanzierung",Daten_Risiken!$A$1:$A$529,0),$BK$5)="",NA(),INDEX(Daten_Risiken!$A:$ZZ,MATCH($B63&amp;"|Finanzierung",Daten_Risiken!$A$1:$A$529,0),$BK$5)),NA()),"")</f>
        <v>-1</v>
      </c>
      <c r="AR63" s="49">
        <f>IFERROR(AP63-IFERROR(IF(INDEX(Daten_Risiken!$A:$ZZ,MATCH($B63&amp;"|Finanzierung",Daten_Risiken!$A$1:$A$529,0),$BK$6)="",NA(),INDEX(Daten_Risiken!$A:$ZZ,MATCH($B63&amp;"|Finanzierung",Daten_Risiken!$A$1:$A$529,0),$BK$6)),NA()),"")</f>
        <v>-6</v>
      </c>
      <c r="AS63" s="50" t="str">
        <f>IFERROR(IF(INDEX(Daten_Risiken!$A:$ZZ,MATCH($B63&amp;"|Wechselkurs",Daten_Risiken!$A$1:$A$529,0),$BK$4)="","",INDEX(Daten_Risiken!$A:$ZZ,MATCH($B63&amp;"|Wechselkurs",Daten_Risiken!$A$1:$A$529,0),$BK$4)),"")</f>
        <v/>
      </c>
      <c r="AT63" s="49" t="str">
        <f>IFERROR(AS63-IFERROR(IF(INDEX(Daten_Risiken!$A:$ZZ,MATCH($B63&amp;"|Wechselkurs",Daten_Risiken!$A$1:$A$529,0),$BK$5)="",NA(),INDEX(Daten_Risiken!$A:$ZZ,MATCH($B63&amp;"|Wechselkurs",Daten_Risiken!$A$1:$A$529,0),$BK$5)),NA()),"")</f>
        <v/>
      </c>
      <c r="AU63" s="49" t="str">
        <f>IFERROR(AS63-IFERROR(IF(INDEX(Daten_Risiken!$A:$ZZ,MATCH($B63&amp;"|Wechselkurs",Daten_Risiken!$A$1:$A$529,0),$BK$6)="",NA(),INDEX(Daten_Risiken!$A:$ZZ,MATCH($B63&amp;"|Wechselkurs",Daten_Risiken!$A$1:$A$529,0),$BK$6)),NA()),"")</f>
        <v/>
      </c>
      <c r="AV63" s="50">
        <f>IFERROR(IF(INDEX(Daten_Motive!$A:$ZZ,MATCH($B63&amp;"|Ersatzbedarf",Daten_Motive!$A$1:$A$331,0),$BK$7)="","",INDEX(Daten_Motive!$A:$ZZ,MATCH($B63&amp;"|Ersatzbedarf",Daten_Motive!$A$1:$A$331,0),$BK$7)),"")</f>
        <v>51</v>
      </c>
      <c r="AW63" s="49">
        <f>IFERROR(AV63-IFERROR(IF(INDEX(Daten_Motive!$A:$ZZ,MATCH($B63&amp;"|Ersatzbedarf",Daten_Motive!$A$1:$A$331,0),$BK$8)="",NA(),INDEX(Daten_Motive!$A:$ZZ,MATCH($B63&amp;"|Ersatzbedarf",Daten_Motive!$A$1:$A$331,0),$BK$8)),NA()),"")</f>
        <v>0</v>
      </c>
      <c r="AX63" s="49">
        <f>IFERROR(AV63-IFERROR(IF(INDEX(Daten_Motive!$A:$ZZ,MATCH($B63&amp;"|Ersatzbedarf",Daten_Motive!$A$1:$A$331,0),$BK$9)="",NA(),INDEX(Daten_Motive!$A:$ZZ,MATCH($B63&amp;"|Ersatzbedarf",Daten_Motive!$A$1:$A$331,0),$BK$9)),NA()),"")</f>
        <v>3</v>
      </c>
      <c r="AY63" s="50">
        <f>IFERROR(IF(INDEX(Daten_Motive!$A:$ZZ,MATCH($B63&amp;"|Rationalisierung",Daten_Motive!$A$1:$A$331,0),$BK$7)="","",INDEX(Daten_Motive!$A:$ZZ,MATCH($B63&amp;"|Rationalisierung",Daten_Motive!$A$1:$A$331,0),$BK$7)),"")</f>
        <v>29</v>
      </c>
      <c r="AZ63" s="49">
        <f>IFERROR(AY63-IFERROR(IF(INDEX(Daten_Motive!$A:$ZZ,MATCH($B63&amp;"|Rationalisierung",Daten_Motive!$A$1:$A$331,0),$BK$8)="",NA(),INDEX(Daten_Motive!$A:$ZZ,MATCH($B63&amp;"|Rationalisierung",Daten_Motive!$A$1:$A$331,0),$BK$8)),NA()),"")</f>
        <v>-2</v>
      </c>
      <c r="BA63" s="49">
        <f>IFERROR(AY63-IFERROR(IF(INDEX(Daten_Motive!$A:$ZZ,MATCH($B63&amp;"|Rationalisierung",Daten_Motive!$A$1:$A$331,0),$BK$9)="",NA(),INDEX(Daten_Motive!$A:$ZZ,MATCH($B63&amp;"|Rationalisierung",Daten_Motive!$A$1:$A$331,0),$BK$9)),NA()),"")</f>
        <v>-6</v>
      </c>
      <c r="BB63" s="50">
        <f>IFERROR(IF(INDEX(Daten_Motive!$A:$ZZ,MATCH($B63&amp;"|Produktinnovation",Daten_Motive!$A$1:$A$331,0),$BK$7)="","",INDEX(Daten_Motive!$A:$ZZ,MATCH($B63&amp;"|Produktinnovation",Daten_Motive!$A$1:$A$331,0),$BK$7)),"")</f>
        <v>47</v>
      </c>
      <c r="BC63" s="49">
        <f>IFERROR(BB63-IFERROR(IF(INDEX(Daten_Motive!$A:$ZZ,MATCH($B63&amp;"|Produktinnovation",Daten_Motive!$A$1:$A$331,0),$BK$8)="",NA(),INDEX(Daten_Motive!$A:$ZZ,MATCH($B63&amp;"|Produktinnovation",Daten_Motive!$A$1:$A$331,0),$BK$8)),NA()),"")</f>
        <v>3</v>
      </c>
      <c r="BD63" s="49">
        <f>IFERROR(BB63-IFERROR(IF(INDEX(Daten_Motive!$A:$ZZ,MATCH($B63&amp;"|Produktinnovation",Daten_Motive!$A$1:$A$331,0),$BK$9)="",NA(),INDEX(Daten_Motive!$A:$ZZ,MATCH($B63&amp;"|Produktinnovation",Daten_Motive!$A$1:$A$331,0),$BK$9)),NA()),"")</f>
        <v>2</v>
      </c>
      <c r="BE63" s="50">
        <f>IFERROR(IF(INDEX(Daten_Motive!$A:$ZZ,MATCH($B63&amp;"|Umweltschutz",Daten_Motive!$A$1:$A$331,0),$BK$7)="","",INDEX(Daten_Motive!$A:$ZZ,MATCH($B63&amp;"|Umweltschutz",Daten_Motive!$A$1:$A$331,0),$BK$7)),"")</f>
        <v>5</v>
      </c>
      <c r="BF63" s="49">
        <f>IFERROR(BE63-IFERROR(IF(INDEX(Daten_Motive!$A:$ZZ,MATCH($B63&amp;"|Umweltschutz",Daten_Motive!$A$1:$A$331,0),$BK$8)="",NA(),INDEX(Daten_Motive!$A:$ZZ,MATCH($B63&amp;"|Umweltschutz",Daten_Motive!$A$1:$A$331,0),$BK$8)),NA()),"")</f>
        <v>1</v>
      </c>
      <c r="BG63" s="49">
        <f>IFERROR(BE63-IFERROR(IF(INDEX(Daten_Motive!$A:$ZZ,MATCH($B63&amp;"|Umweltschutz",Daten_Motive!$A$1:$A$331,0),$BK$9)="",NA(),INDEX(Daten_Motive!$A:$ZZ,MATCH($B63&amp;"|Umweltschutz",Daten_Motive!$A$1:$A$331,0),$BK$9)),NA()),"")</f>
        <v>-3</v>
      </c>
      <c r="BH63" s="50">
        <f>IFERROR(IF(INDEX(Daten_Motive!$A:$ZZ,MATCH($B63&amp;"|Kapazitätserweiterung",Daten_Motive!$A$1:$A$331,0),$BK$7)="","",INDEX(Daten_Motive!$A:$ZZ,MATCH($B63&amp;"|Kapazitätserweiterung",Daten_Motive!$A$1:$A$331,0),$BK$7)),"")</f>
        <v>19</v>
      </c>
      <c r="BI63" s="49">
        <f>IFERROR(BH63-IFERROR(IF(INDEX(Daten_Motive!$A:$ZZ,MATCH($B63&amp;"|Kapazitätserweiterung",Daten_Motive!$A$1:$A$331,0),$BK$8)="",NA(),INDEX(Daten_Motive!$A:$ZZ,MATCH($B63&amp;"|Kapazitätserweiterung",Daten_Motive!$A$1:$A$331,0),$BK$8)),NA()),"")</f>
        <v>5</v>
      </c>
      <c r="BJ63" s="49">
        <f>IFERROR(BH63-IFERROR(IF(INDEX(Daten_Motive!$A:$ZZ,MATCH($B63&amp;"|Kapazitätserweiterung",Daten_Motive!$A$1:$A$331,0),$BK$9)="",NA(),INDEX(Daten_Motive!$A:$ZZ,MATCH($B63&amp;"|Kapazitätserweiterung",Daten_Motive!$A$1:$A$331,0),$BK$9)),NA()),"")</f>
        <v>5</v>
      </c>
    </row>
    <row r="64" spans="1:62" x14ac:dyDescent="0.25">
      <c r="A64" s="42">
        <v>56</v>
      </c>
      <c r="B64" s="52" t="str">
        <f>Listen!A59</f>
        <v>Sonstige freiberufliche, wissenschaftliche und technische Tätigkeiten</v>
      </c>
      <c r="C64" s="44" t="s">
        <v>4552</v>
      </c>
      <c r="D64" s="44" t="str">
        <f>Listen!B59</f>
        <v>Dienstleister</v>
      </c>
      <c r="E64" s="45">
        <f>IFERROR(IF(INDEX(Daten_Anteile!$A:$ZZ,MATCH($B64&amp;"|Lage|"&amp;$C$3,Daten_Anteile!$A$1:$A$2971,0),5)="","",INDEX(Daten_Anteile!$A:$ZZ,MATCH($B64&amp;"|Lage|"&amp;$C$3,Daten_Anteile!$A$1:$A$2971,0),5)),"")</f>
        <v>187</v>
      </c>
      <c r="F64" s="46">
        <f t="shared" si="3"/>
        <v>98.2</v>
      </c>
      <c r="G64" s="47">
        <f t="shared" si="4"/>
        <v>5.6</v>
      </c>
      <c r="H64" s="47">
        <f t="shared" si="5"/>
        <v>5.4</v>
      </c>
      <c r="I64" s="48">
        <f>IFERROR(IF(INDEX(Daten_Salden!$A:$ZZ,MATCH($B64&amp;"|Lage",Daten_Salden!$A$1:$A$331,0),$BK$1)="","",INDEX(Daten_Salden!$A:$ZZ,MATCH($B64&amp;"|Lage",Daten_Salden!$A$1:$A$331,0),$BK$1)),"")</f>
        <v>6</v>
      </c>
      <c r="J64" s="49">
        <f>IFERROR(I64-IFERROR(IF(INDEX(Daten_Salden!$A:$ZZ,MATCH($B64&amp;"|Lage",Daten_Salden!$A$1:$A$331,0),$BK$2)="",NA(),INDEX(Daten_Salden!$A:$ZZ,MATCH($B64&amp;"|Lage",Daten_Salden!$A$1:$A$331,0),$BK$2)),NA()),"")</f>
        <v>4</v>
      </c>
      <c r="K64" s="49">
        <f>IFERROR(I64-IFERROR(IF(INDEX(Daten_Salden!$A:$ZZ,MATCH($B64&amp;"|Lage",Daten_Salden!$A$1:$A$331,0),$BK$3)="",NA(),INDEX(Daten_Salden!$A:$ZZ,MATCH($B64&amp;"|Lage",Daten_Salden!$A$1:$A$331,0),$BK$3)),NA()),"")</f>
        <v>7</v>
      </c>
      <c r="L64" s="48">
        <f>IFERROR(IF(INDEX(Daten_Salden!$A:$ZZ,MATCH($B64&amp;"|Erwartungen",Daten_Salden!$A$1:$A$331,0),$BK$1)="","",INDEX(Daten_Salden!$A:$ZZ,MATCH($B64&amp;"|Erwartungen",Daten_Salden!$A$1:$A$331,0),$BK$1)),"")</f>
        <v>-9</v>
      </c>
      <c r="M64" s="49">
        <f>IFERROR(L64-IFERROR(IF(INDEX(Daten_Salden!$A:$ZZ,MATCH($B64&amp;"|Erwartungen",Daten_Salden!$A$1:$A$331,0),$BK$2)="",NA(),INDEX(Daten_Salden!$A:$ZZ,MATCH($B64&amp;"|Erwartungen",Daten_Salden!$A$1:$A$331,0),$BK$2)),NA()),"")</f>
        <v>7</v>
      </c>
      <c r="N64" s="49">
        <f>IFERROR(L64-IFERROR(IF(INDEX(Daten_Salden!$A:$ZZ,MATCH($B64&amp;"|Erwartungen",Daten_Salden!$A$1:$A$331,0),$BK$3)="",NA(),INDEX(Daten_Salden!$A:$ZZ,MATCH($B64&amp;"|Erwartungen",Daten_Salden!$A$1:$A$331,0),$BK$3)),NA()),"")</f>
        <v>4</v>
      </c>
      <c r="O64" s="48" t="str">
        <f>IFERROR(IF(INDEX(Daten_Salden!$A:$ZZ,MATCH($B64&amp;"|Export",Daten_Salden!$A$1:$A$331,0),$BK$1)="","",INDEX(Daten_Salden!$A:$ZZ,MATCH($B64&amp;"|Export",Daten_Salden!$A$1:$A$331,0),$BK$1)),"")</f>
        <v/>
      </c>
      <c r="P64" s="49" t="str">
        <f>IFERROR(O64-IFERROR(IF(INDEX(Daten_Salden!$A:$ZZ,MATCH($B64&amp;"|Export",Daten_Salden!$A$1:$A$331,0),$BK$2)="",NA(),INDEX(Daten_Salden!$A:$ZZ,MATCH($B64&amp;"|Export",Daten_Salden!$A$1:$A$331,0),$BK$2)),NA()),"")</f>
        <v/>
      </c>
      <c r="Q64" s="49" t="str">
        <f>IFERROR(O64-IFERROR(IF(INDEX(Daten_Salden!$A:$ZZ,MATCH($B64&amp;"|Export",Daten_Salden!$A$1:$A$331,0),$BK$3)="",NA(),INDEX(Daten_Salden!$A:$ZZ,MATCH($B64&amp;"|Export",Daten_Salden!$A$1:$A$331,0),$BK$3)),NA()),"")</f>
        <v/>
      </c>
      <c r="R64" s="48">
        <f>IFERROR(IF(INDEX(Daten_Salden!$A:$ZZ,MATCH($B64&amp;"|Investitionen",Daten_Salden!$A$1:$A$331,0),$BK$1)="","",INDEX(Daten_Salden!$A:$ZZ,MATCH($B64&amp;"|Investitionen",Daten_Salden!$A$1:$A$331,0),$BK$1)),"")</f>
        <v>10</v>
      </c>
      <c r="S64" s="49">
        <f>IFERROR(R64-IFERROR(IF(INDEX(Daten_Salden!$A:$ZZ,MATCH($B64&amp;"|Investitionen",Daten_Salden!$A$1:$A$331,0),$BK$2)="",NA(),INDEX(Daten_Salden!$A:$ZZ,MATCH($B64&amp;"|Investitionen",Daten_Salden!$A$1:$A$331,0),$BK$2)),NA()),"")</f>
        <v>17</v>
      </c>
      <c r="T64" s="49">
        <f>IFERROR(R64-IFERROR(IF(INDEX(Daten_Salden!$A:$ZZ,MATCH($B64&amp;"|Investitionen",Daten_Salden!$A$1:$A$331,0),$BK$3)="",NA(),INDEX(Daten_Salden!$A:$ZZ,MATCH($B64&amp;"|Investitionen",Daten_Salden!$A$1:$A$331,0),$BK$3)),NA()),"")</f>
        <v>22</v>
      </c>
      <c r="U64" s="48">
        <f>IFERROR(IF(INDEX(Daten_Salden!$A:$ZZ,MATCH($B64&amp;"|Beschäftigung",Daten_Salden!$A$1:$A$331,0),$BK$1)="","",INDEX(Daten_Salden!$A:$ZZ,MATCH($B64&amp;"|Beschäftigung",Daten_Salden!$A$1:$A$331,0),$BK$1)),"")</f>
        <v>-6</v>
      </c>
      <c r="V64" s="49">
        <f>IFERROR(U64-IFERROR(IF(INDEX(Daten_Salden!$A:$ZZ,MATCH($B64&amp;"|Beschäftigung",Daten_Salden!$A$1:$A$331,0),$BK$2)="",NA(),INDEX(Daten_Salden!$A:$ZZ,MATCH($B64&amp;"|Beschäftigung",Daten_Salden!$A$1:$A$331,0),$BK$2)),NA()),"")</f>
        <v>-3</v>
      </c>
      <c r="W64" s="49">
        <f>IFERROR(U64-IFERROR(IF(INDEX(Daten_Salden!$A:$ZZ,MATCH($B64&amp;"|Beschäftigung",Daten_Salden!$A$1:$A$331,0),$BK$3)="",NA(),INDEX(Daten_Salden!$A:$ZZ,MATCH($B64&amp;"|Beschäftigung",Daten_Salden!$A$1:$A$331,0),$BK$3)),NA()),"")</f>
        <v>3</v>
      </c>
      <c r="X64" s="50">
        <f>IFERROR(IF(INDEX(Daten_Risiken!$A:$ZZ,MATCH($B64&amp;"|Energie- und Rohstoffpreise",Daten_Risiken!$A$1:$A$529,0),$BK$4)="","",INDEX(Daten_Risiken!$A:$ZZ,MATCH($B64&amp;"|Energie- und Rohstoffpreise",Daten_Risiken!$A$1:$A$529,0),$BK$4)),"")</f>
        <v>47</v>
      </c>
      <c r="Y64" s="49">
        <f>IFERROR(X64-IFERROR(IF(INDEX(Daten_Risiken!$A:$ZZ,MATCH($B64&amp;"|Energie- und Rohstoffpreise",Daten_Risiken!$A$1:$A$529,0),$BK$5)="",NA(),INDEX(Daten_Risiken!$A:$ZZ,MATCH($B64&amp;"|Energie- und Rohstoffpreise",Daten_Risiken!$A$1:$A$529,0),$BK$5)),NA()),"")</f>
        <v>-1</v>
      </c>
      <c r="Z64" s="49">
        <f>IFERROR(X64-IFERROR(IF(INDEX(Daten_Risiken!$A:$ZZ,MATCH($B64&amp;"|Energie- und Rohstoffpreise",Daten_Risiken!$A$1:$A$529,0),$BK$6)="",NA(),INDEX(Daten_Risiken!$A:$ZZ,MATCH($B64&amp;"|Energie- und Rohstoffpreise",Daten_Risiken!$A$1:$A$529,0),$BK$6)),NA()),"")</f>
        <v>13</v>
      </c>
      <c r="AA64" s="50">
        <f>IFERROR(IF(INDEX(Daten_Risiken!$A:$ZZ,MATCH($B64&amp;"|Arbeitskosten",Daten_Risiken!$A$1:$A$529,0),$BK$4)="","",INDEX(Daten_Risiken!$A:$ZZ,MATCH($B64&amp;"|Arbeitskosten",Daten_Risiken!$A$1:$A$529,0),$BK$4)),"")</f>
        <v>40</v>
      </c>
      <c r="AB64" s="49">
        <f>IFERROR(AA64-IFERROR(IF(INDEX(Daten_Risiken!$A:$ZZ,MATCH($B64&amp;"|Arbeitskosten",Daten_Risiken!$A$1:$A$529,0),$BK$5)="",NA(),INDEX(Daten_Risiken!$A:$ZZ,MATCH($B64&amp;"|Arbeitskosten",Daten_Risiken!$A$1:$A$529,0),$BK$5)),NA()),"")</f>
        <v>-8</v>
      </c>
      <c r="AC64" s="49">
        <f>IFERROR(AA64-IFERROR(IF(INDEX(Daten_Risiken!$A:$ZZ,MATCH($B64&amp;"|Arbeitskosten",Daten_Risiken!$A$1:$A$529,0),$BK$6)="",NA(),INDEX(Daten_Risiken!$A:$ZZ,MATCH($B64&amp;"|Arbeitskosten",Daten_Risiken!$A$1:$A$529,0),$BK$6)),NA()),"")</f>
        <v>-9</v>
      </c>
      <c r="AD64" s="50">
        <f>IFERROR(IF(INDEX(Daten_Risiken!$A:$ZZ,MATCH($B64&amp;"|Inlandsnachfrage",Daten_Risiken!$A$1:$A$529,0),$BK$4)="","",INDEX(Daten_Risiken!$A:$ZZ,MATCH($B64&amp;"|Inlandsnachfrage",Daten_Risiken!$A$1:$A$529,0),$BK$4)),"")</f>
        <v>59</v>
      </c>
      <c r="AE64" s="49">
        <f>IFERROR(AD64-IFERROR(IF(INDEX(Daten_Risiken!$A:$ZZ,MATCH($B64&amp;"|Inlandsnachfrage",Daten_Risiken!$A$1:$A$529,0),$BK$5)="",NA(),INDEX(Daten_Risiken!$A:$ZZ,MATCH($B64&amp;"|Inlandsnachfrage",Daten_Risiken!$A$1:$A$529,0),$BK$5)),NA()),"")</f>
        <v>-3</v>
      </c>
      <c r="AF64" s="49">
        <f>IFERROR(AD64-IFERROR(IF(INDEX(Daten_Risiken!$A:$ZZ,MATCH($B64&amp;"|Inlandsnachfrage",Daten_Risiken!$A$1:$A$529,0),$BK$6)="",NA(),INDEX(Daten_Risiken!$A:$ZZ,MATCH($B64&amp;"|Inlandsnachfrage",Daten_Risiken!$A$1:$A$529,0),$BK$6)),NA()),"")</f>
        <v>-3</v>
      </c>
      <c r="AG64" s="50">
        <f>IFERROR(IF(INDEX(Daten_Risiken!$A:$ZZ,MATCH($B64&amp;"|Wirtschaftspolitische Rahmenbedingungen",Daten_Risiken!$A$1:$A$529,0),$BK$4)="","",INDEX(Daten_Risiken!$A:$ZZ,MATCH($B64&amp;"|Wirtschaftspolitische Rahmenbedingungen",Daten_Risiken!$A$1:$A$529,0),$BK$4)),"")</f>
        <v>60</v>
      </c>
      <c r="AH64" s="49">
        <f>IFERROR(AG64-IFERROR(IF(INDEX(Daten_Risiken!$A:$ZZ,MATCH($B64&amp;"|Wirtschaftspolitische Rahmenbedingungen",Daten_Risiken!$A$1:$A$529,0),$BK$5)="",NA(),INDEX(Daten_Risiken!$A:$ZZ,MATCH($B64&amp;"|Wirtschaftspolitische Rahmenbedingungen",Daten_Risiken!$A$1:$A$529,0),$BK$5)),NA()),"")</f>
        <v>-4</v>
      </c>
      <c r="AI64" s="49">
        <f>IFERROR(AG64-IFERROR(IF(INDEX(Daten_Risiken!$A:$ZZ,MATCH($B64&amp;"|Wirtschaftspolitische Rahmenbedingungen",Daten_Risiken!$A$1:$A$529,0),$BK$6)="",NA(),INDEX(Daten_Risiken!$A:$ZZ,MATCH($B64&amp;"|Wirtschaftspolitische Rahmenbedingungen",Daten_Risiken!$A$1:$A$529,0),$BK$6)),NA()),"")</f>
        <v>8</v>
      </c>
      <c r="AJ64" s="50">
        <f>IFERROR(IF(INDEX(Daten_Risiken!$A:$ZZ,MATCH($B64&amp;"|Fachkräftemangel",Daten_Risiken!$A$1:$A$529,0),$BK$4)="","",INDEX(Daten_Risiken!$A:$ZZ,MATCH($B64&amp;"|Fachkräftemangel",Daten_Risiken!$A$1:$A$529,0),$BK$4)),"")</f>
        <v>28</v>
      </c>
      <c r="AK64" s="49">
        <f>IFERROR(AJ64-IFERROR(IF(INDEX(Daten_Risiken!$A:$ZZ,MATCH($B64&amp;"|Fachkräftemangel",Daten_Risiken!$A$1:$A$529,0),$BK$5)="",NA(),INDEX(Daten_Risiken!$A:$ZZ,MATCH($B64&amp;"|Fachkräftemangel",Daten_Risiken!$A$1:$A$529,0),$BK$5)),NA()),"")</f>
        <v>8</v>
      </c>
      <c r="AL64" s="49">
        <f>IFERROR(AJ64-IFERROR(IF(INDEX(Daten_Risiken!$A:$ZZ,MATCH($B64&amp;"|Fachkräftemangel",Daten_Risiken!$A$1:$A$529,0),$BK$6)="",NA(),INDEX(Daten_Risiken!$A:$ZZ,MATCH($B64&amp;"|Fachkräftemangel",Daten_Risiken!$A$1:$A$529,0),$BK$6)),NA()),"")</f>
        <v>3</v>
      </c>
      <c r="AM64" s="50" t="str">
        <f>IFERROR(IF(INDEX(Daten_Risiken!$A:$ZZ,MATCH($B64&amp;"|Auslandsnachfrage",Daten_Risiken!$A$1:$A$529,0),$BK$4)="","",INDEX(Daten_Risiken!$A:$ZZ,MATCH($B64&amp;"|Auslandsnachfrage",Daten_Risiken!$A$1:$A$529,0),$BK$4)),"")</f>
        <v/>
      </c>
      <c r="AN64" s="49" t="str">
        <f>IFERROR(AM64-IFERROR(IF(INDEX(Daten_Risiken!$A:$ZZ,MATCH($B64&amp;"|Auslandsnachfrage",Daten_Risiken!$A$1:$A$529,0),$BK$5)="",NA(),INDEX(Daten_Risiken!$A:$ZZ,MATCH($B64&amp;"|Auslandsnachfrage",Daten_Risiken!$A$1:$A$529,0),$BK$5)),NA()),"")</f>
        <v/>
      </c>
      <c r="AO64" s="49" t="str">
        <f>IFERROR(AM64-IFERROR(IF(INDEX(Daten_Risiken!$A:$ZZ,MATCH($B64&amp;"|Auslandsnachfrage",Daten_Risiken!$A$1:$A$529,0),$BK$6)="",NA(),INDEX(Daten_Risiken!$A:$ZZ,MATCH($B64&amp;"|Auslandsnachfrage",Daten_Risiken!$A$1:$A$529,0),$BK$6)),NA()),"")</f>
        <v/>
      </c>
      <c r="AP64" s="50">
        <f>IFERROR(IF(INDEX(Daten_Risiken!$A:$ZZ,MATCH($B64&amp;"|Finanzierung",Daten_Risiken!$A$1:$A$529,0),$BK$4)="","",INDEX(Daten_Risiken!$A:$ZZ,MATCH($B64&amp;"|Finanzierung",Daten_Risiken!$A$1:$A$529,0),$BK$4)),"")</f>
        <v>17</v>
      </c>
      <c r="AQ64" s="49">
        <f>IFERROR(AP64-IFERROR(IF(INDEX(Daten_Risiken!$A:$ZZ,MATCH($B64&amp;"|Finanzierung",Daten_Risiken!$A$1:$A$529,0),$BK$5)="",NA(),INDEX(Daten_Risiken!$A:$ZZ,MATCH($B64&amp;"|Finanzierung",Daten_Risiken!$A$1:$A$529,0),$BK$5)),NA()),"")</f>
        <v>6</v>
      </c>
      <c r="AR64" s="49">
        <f>IFERROR(AP64-IFERROR(IF(INDEX(Daten_Risiken!$A:$ZZ,MATCH($B64&amp;"|Finanzierung",Daten_Risiken!$A$1:$A$529,0),$BK$6)="",NA(),INDEX(Daten_Risiken!$A:$ZZ,MATCH($B64&amp;"|Finanzierung",Daten_Risiken!$A$1:$A$529,0),$BK$6)),NA()),"")</f>
        <v>5</v>
      </c>
      <c r="AS64" s="50" t="str">
        <f>IFERROR(IF(INDEX(Daten_Risiken!$A:$ZZ,MATCH($B64&amp;"|Wechselkurs",Daten_Risiken!$A$1:$A$529,0),$BK$4)="","",INDEX(Daten_Risiken!$A:$ZZ,MATCH($B64&amp;"|Wechselkurs",Daten_Risiken!$A$1:$A$529,0),$BK$4)),"")</f>
        <v/>
      </c>
      <c r="AT64" s="49" t="str">
        <f>IFERROR(AS64-IFERROR(IF(INDEX(Daten_Risiken!$A:$ZZ,MATCH($B64&amp;"|Wechselkurs",Daten_Risiken!$A$1:$A$529,0),$BK$5)="",NA(),INDEX(Daten_Risiken!$A:$ZZ,MATCH($B64&amp;"|Wechselkurs",Daten_Risiken!$A$1:$A$529,0),$BK$5)),NA()),"")</f>
        <v/>
      </c>
      <c r="AU64" s="49" t="str">
        <f>IFERROR(AS64-IFERROR(IF(INDEX(Daten_Risiken!$A:$ZZ,MATCH($B64&amp;"|Wechselkurs",Daten_Risiken!$A$1:$A$529,0),$BK$6)="",NA(),INDEX(Daten_Risiken!$A:$ZZ,MATCH($B64&amp;"|Wechselkurs",Daten_Risiken!$A$1:$A$529,0),$BK$6)),NA()),"")</f>
        <v/>
      </c>
      <c r="AV64" s="50">
        <f>IFERROR(IF(INDEX(Daten_Motive!$A:$ZZ,MATCH($B64&amp;"|Ersatzbedarf",Daten_Motive!$A$1:$A$331,0),$BK$7)="","",INDEX(Daten_Motive!$A:$ZZ,MATCH($B64&amp;"|Ersatzbedarf",Daten_Motive!$A$1:$A$331,0),$BK$7)),"")</f>
        <v>58</v>
      </c>
      <c r="AW64" s="49">
        <f>IFERROR(AV64-IFERROR(IF(INDEX(Daten_Motive!$A:$ZZ,MATCH($B64&amp;"|Ersatzbedarf",Daten_Motive!$A$1:$A$331,0),$BK$8)="",NA(),INDEX(Daten_Motive!$A:$ZZ,MATCH($B64&amp;"|Ersatzbedarf",Daten_Motive!$A$1:$A$331,0),$BK$8)),NA()),"")</f>
        <v>6</v>
      </c>
      <c r="AX64" s="49">
        <f>IFERROR(AV64-IFERROR(IF(INDEX(Daten_Motive!$A:$ZZ,MATCH($B64&amp;"|Ersatzbedarf",Daten_Motive!$A$1:$A$331,0),$BK$9)="",NA(),INDEX(Daten_Motive!$A:$ZZ,MATCH($B64&amp;"|Ersatzbedarf",Daten_Motive!$A$1:$A$331,0),$BK$9)),NA()),"")</f>
        <v>1</v>
      </c>
      <c r="AY64" s="50">
        <f>IFERROR(IF(INDEX(Daten_Motive!$A:$ZZ,MATCH($B64&amp;"|Rationalisierung",Daten_Motive!$A$1:$A$331,0),$BK$7)="","",INDEX(Daten_Motive!$A:$ZZ,MATCH($B64&amp;"|Rationalisierung",Daten_Motive!$A$1:$A$331,0),$BK$7)),"")</f>
        <v>31</v>
      </c>
      <c r="AZ64" s="49">
        <f>IFERROR(AY64-IFERROR(IF(INDEX(Daten_Motive!$A:$ZZ,MATCH($B64&amp;"|Rationalisierung",Daten_Motive!$A$1:$A$331,0),$BK$8)="",NA(),INDEX(Daten_Motive!$A:$ZZ,MATCH($B64&amp;"|Rationalisierung",Daten_Motive!$A$1:$A$331,0),$BK$8)),NA()),"")</f>
        <v>-1</v>
      </c>
      <c r="BA64" s="49">
        <f>IFERROR(AY64-IFERROR(IF(INDEX(Daten_Motive!$A:$ZZ,MATCH($B64&amp;"|Rationalisierung",Daten_Motive!$A$1:$A$331,0),$BK$9)="",NA(),INDEX(Daten_Motive!$A:$ZZ,MATCH($B64&amp;"|Rationalisierung",Daten_Motive!$A$1:$A$331,0),$BK$9)),NA()),"")</f>
        <v>2</v>
      </c>
      <c r="BB64" s="50">
        <f>IFERROR(IF(INDEX(Daten_Motive!$A:$ZZ,MATCH($B64&amp;"|Produktinnovation",Daten_Motive!$A$1:$A$331,0),$BK$7)="","",INDEX(Daten_Motive!$A:$ZZ,MATCH($B64&amp;"|Produktinnovation",Daten_Motive!$A$1:$A$331,0),$BK$7)),"")</f>
        <v>32</v>
      </c>
      <c r="BC64" s="49">
        <f>IFERROR(BB64-IFERROR(IF(INDEX(Daten_Motive!$A:$ZZ,MATCH($B64&amp;"|Produktinnovation",Daten_Motive!$A$1:$A$331,0),$BK$8)="",NA(),INDEX(Daten_Motive!$A:$ZZ,MATCH($B64&amp;"|Produktinnovation",Daten_Motive!$A$1:$A$331,0),$BK$8)),NA()),"")</f>
        <v>2</v>
      </c>
      <c r="BD64" s="49">
        <f>IFERROR(BB64-IFERROR(IF(INDEX(Daten_Motive!$A:$ZZ,MATCH($B64&amp;"|Produktinnovation",Daten_Motive!$A$1:$A$331,0),$BK$9)="",NA(),INDEX(Daten_Motive!$A:$ZZ,MATCH($B64&amp;"|Produktinnovation",Daten_Motive!$A$1:$A$331,0),$BK$9)),NA()),"")</f>
        <v>3</v>
      </c>
      <c r="BE64" s="50">
        <f>IFERROR(IF(INDEX(Daten_Motive!$A:$ZZ,MATCH($B64&amp;"|Umweltschutz",Daten_Motive!$A$1:$A$331,0),$BK$7)="","",INDEX(Daten_Motive!$A:$ZZ,MATCH($B64&amp;"|Umweltschutz",Daten_Motive!$A$1:$A$331,0),$BK$7)),"")</f>
        <v>17</v>
      </c>
      <c r="BF64" s="49">
        <f>IFERROR(BE64-IFERROR(IF(INDEX(Daten_Motive!$A:$ZZ,MATCH($B64&amp;"|Umweltschutz",Daten_Motive!$A$1:$A$331,0),$BK$8)="",NA(),INDEX(Daten_Motive!$A:$ZZ,MATCH($B64&amp;"|Umweltschutz",Daten_Motive!$A$1:$A$331,0),$BK$8)),NA()),"")</f>
        <v>0</v>
      </c>
      <c r="BG64" s="49">
        <f>IFERROR(BE64-IFERROR(IF(INDEX(Daten_Motive!$A:$ZZ,MATCH($B64&amp;"|Umweltschutz",Daten_Motive!$A$1:$A$331,0),$BK$9)="",NA(),INDEX(Daten_Motive!$A:$ZZ,MATCH($B64&amp;"|Umweltschutz",Daten_Motive!$A$1:$A$331,0),$BK$9)),NA()),"")</f>
        <v>4</v>
      </c>
      <c r="BH64" s="50">
        <f>IFERROR(IF(INDEX(Daten_Motive!$A:$ZZ,MATCH($B64&amp;"|Kapazitätserweiterung",Daten_Motive!$A$1:$A$331,0),$BK$7)="","",INDEX(Daten_Motive!$A:$ZZ,MATCH($B64&amp;"|Kapazitätserweiterung",Daten_Motive!$A$1:$A$331,0),$BK$7)),"")</f>
        <v>24</v>
      </c>
      <c r="BI64" s="49">
        <f>IFERROR(BH64-IFERROR(IF(INDEX(Daten_Motive!$A:$ZZ,MATCH($B64&amp;"|Kapazitätserweiterung",Daten_Motive!$A$1:$A$331,0),$BK$8)="",NA(),INDEX(Daten_Motive!$A:$ZZ,MATCH($B64&amp;"|Kapazitätserweiterung",Daten_Motive!$A$1:$A$331,0),$BK$8)),NA()),"")</f>
        <v>-4</v>
      </c>
      <c r="BJ64" s="49">
        <f>IFERROR(BH64-IFERROR(IF(INDEX(Daten_Motive!$A:$ZZ,MATCH($B64&amp;"|Kapazitätserweiterung",Daten_Motive!$A$1:$A$331,0),$BK$9)="",NA(),INDEX(Daten_Motive!$A:$ZZ,MATCH($B64&amp;"|Kapazitätserweiterung",Daten_Motive!$A$1:$A$331,0),$BK$9)),NA()),"")</f>
        <v>2</v>
      </c>
    </row>
    <row r="65" spans="1:62" x14ac:dyDescent="0.25">
      <c r="A65" s="42">
        <v>57</v>
      </c>
      <c r="B65" s="52" t="str">
        <f>Listen!A53</f>
        <v>Leasing/Vermietungsleistungen</v>
      </c>
      <c r="C65" s="44" t="s">
        <v>4546</v>
      </c>
      <c r="D65" s="44" t="str">
        <f>Listen!B53</f>
        <v>Dienstleister</v>
      </c>
      <c r="E65" s="45">
        <f>IFERROR(IF(INDEX(Daten_Anteile!$A:$ZZ,MATCH($B65&amp;"|Lage|"&amp;$C$3,Daten_Anteile!$A$1:$A$2971,0),5)="","",INDEX(Daten_Anteile!$A:$ZZ,MATCH($B65&amp;"|Lage|"&amp;$C$3,Daten_Anteile!$A$1:$A$2971,0),5)),"")</f>
        <v>126</v>
      </c>
      <c r="F65" s="46">
        <f t="shared" si="3"/>
        <v>88.1</v>
      </c>
      <c r="G65" s="47">
        <f t="shared" si="4"/>
        <v>2.4</v>
      </c>
      <c r="H65" s="47">
        <f t="shared" si="5"/>
        <v>-10.3</v>
      </c>
      <c r="I65" s="48">
        <f>IFERROR(IF(INDEX(Daten_Salden!$A:$ZZ,MATCH($B65&amp;"|Lage",Daten_Salden!$A$1:$A$331,0),$BK$1)="","",INDEX(Daten_Salden!$A:$ZZ,MATCH($B65&amp;"|Lage",Daten_Salden!$A$1:$A$331,0),$BK$1)),"")</f>
        <v>-3</v>
      </c>
      <c r="J65" s="49">
        <f>IFERROR(I65-IFERROR(IF(INDEX(Daten_Salden!$A:$ZZ,MATCH($B65&amp;"|Lage",Daten_Salden!$A$1:$A$331,0),$BK$2)="",NA(),INDEX(Daten_Salden!$A:$ZZ,MATCH($B65&amp;"|Lage",Daten_Salden!$A$1:$A$331,0),$BK$2)),NA()),"")</f>
        <v>4</v>
      </c>
      <c r="K65" s="49">
        <f>IFERROR(I65-IFERROR(IF(INDEX(Daten_Salden!$A:$ZZ,MATCH($B65&amp;"|Lage",Daten_Salden!$A$1:$A$331,0),$BK$3)="",NA(),INDEX(Daten_Salden!$A:$ZZ,MATCH($B65&amp;"|Lage",Daten_Salden!$A$1:$A$331,0),$BK$3)),NA()),"")</f>
        <v>-6</v>
      </c>
      <c r="L65" s="48">
        <f>IFERROR(IF(INDEX(Daten_Salden!$A:$ZZ,MATCH($B65&amp;"|Erwartungen",Daten_Salden!$A$1:$A$331,0),$BK$1)="","",INDEX(Daten_Salden!$A:$ZZ,MATCH($B65&amp;"|Erwartungen",Daten_Salden!$A$1:$A$331,0),$BK$1)),"")</f>
        <v>-20</v>
      </c>
      <c r="M65" s="49">
        <f>IFERROR(L65-IFERROR(IF(INDEX(Daten_Salden!$A:$ZZ,MATCH($B65&amp;"|Erwartungen",Daten_Salden!$A$1:$A$331,0),$BK$2)="",NA(),INDEX(Daten_Salden!$A:$ZZ,MATCH($B65&amp;"|Erwartungen",Daten_Salden!$A$1:$A$331,0),$BK$2)),NA()),"")</f>
        <v>1</v>
      </c>
      <c r="N65" s="49">
        <f>IFERROR(L65-IFERROR(IF(INDEX(Daten_Salden!$A:$ZZ,MATCH($B65&amp;"|Erwartungen",Daten_Salden!$A$1:$A$331,0),$BK$3)="",NA(),INDEX(Daten_Salden!$A:$ZZ,MATCH($B65&amp;"|Erwartungen",Daten_Salden!$A$1:$A$331,0),$BK$3)),NA()),"")</f>
        <v>-14</v>
      </c>
      <c r="O65" s="48" t="str">
        <f>IFERROR(IF(INDEX(Daten_Salden!$A:$ZZ,MATCH($B65&amp;"|Export",Daten_Salden!$A$1:$A$331,0),$BK$1)="","",INDEX(Daten_Salden!$A:$ZZ,MATCH($B65&amp;"|Export",Daten_Salden!$A$1:$A$331,0),$BK$1)),"")</f>
        <v/>
      </c>
      <c r="P65" s="49" t="str">
        <f>IFERROR(O65-IFERROR(IF(INDEX(Daten_Salden!$A:$ZZ,MATCH($B65&amp;"|Export",Daten_Salden!$A$1:$A$331,0),$BK$2)="",NA(),INDEX(Daten_Salden!$A:$ZZ,MATCH($B65&amp;"|Export",Daten_Salden!$A$1:$A$331,0),$BK$2)),NA()),"")</f>
        <v/>
      </c>
      <c r="Q65" s="49" t="str">
        <f>IFERROR(O65-IFERROR(IF(INDEX(Daten_Salden!$A:$ZZ,MATCH($B65&amp;"|Export",Daten_Salden!$A$1:$A$331,0),$BK$3)="",NA(),INDEX(Daten_Salden!$A:$ZZ,MATCH($B65&amp;"|Export",Daten_Salden!$A$1:$A$331,0),$BK$3)),NA()),"")</f>
        <v/>
      </c>
      <c r="R65" s="48">
        <f>IFERROR(IF(INDEX(Daten_Salden!$A:$ZZ,MATCH($B65&amp;"|Investitionen",Daten_Salden!$A$1:$A$331,0),$BK$1)="","",INDEX(Daten_Salden!$A:$ZZ,MATCH($B65&amp;"|Investitionen",Daten_Salden!$A$1:$A$331,0),$BK$1)),"")</f>
        <v>2</v>
      </c>
      <c r="S65" s="49">
        <f>IFERROR(R65-IFERROR(IF(INDEX(Daten_Salden!$A:$ZZ,MATCH($B65&amp;"|Investitionen",Daten_Salden!$A$1:$A$331,0),$BK$2)="",NA(),INDEX(Daten_Salden!$A:$ZZ,MATCH($B65&amp;"|Investitionen",Daten_Salden!$A$1:$A$331,0),$BK$2)),NA()),"")</f>
        <v>16</v>
      </c>
      <c r="T65" s="49">
        <f>IFERROR(R65-IFERROR(IF(INDEX(Daten_Salden!$A:$ZZ,MATCH($B65&amp;"|Investitionen",Daten_Salden!$A$1:$A$331,0),$BK$3)="",NA(),INDEX(Daten_Salden!$A:$ZZ,MATCH($B65&amp;"|Investitionen",Daten_Salden!$A$1:$A$331,0),$BK$3)),NA()),"")</f>
        <v>8</v>
      </c>
      <c r="U65" s="48">
        <f>IFERROR(IF(INDEX(Daten_Salden!$A:$ZZ,MATCH($B65&amp;"|Beschäftigung",Daten_Salden!$A$1:$A$331,0),$BK$1)="","",INDEX(Daten_Salden!$A:$ZZ,MATCH($B65&amp;"|Beschäftigung",Daten_Salden!$A$1:$A$331,0),$BK$1)),"")</f>
        <v>-11</v>
      </c>
      <c r="V65" s="49">
        <f>IFERROR(U65-IFERROR(IF(INDEX(Daten_Salden!$A:$ZZ,MATCH($B65&amp;"|Beschäftigung",Daten_Salden!$A$1:$A$331,0),$BK$2)="",NA(),INDEX(Daten_Salden!$A:$ZZ,MATCH($B65&amp;"|Beschäftigung",Daten_Salden!$A$1:$A$331,0),$BK$2)),NA()),"")</f>
        <v>-8</v>
      </c>
      <c r="W65" s="49">
        <f>IFERROR(U65-IFERROR(IF(INDEX(Daten_Salden!$A:$ZZ,MATCH($B65&amp;"|Beschäftigung",Daten_Salden!$A$1:$A$331,0),$BK$3)="",NA(),INDEX(Daten_Salden!$A:$ZZ,MATCH($B65&amp;"|Beschäftigung",Daten_Salden!$A$1:$A$331,0),$BK$3)),NA()),"")</f>
        <v>-11</v>
      </c>
      <c r="X65" s="50">
        <f>IFERROR(IF(INDEX(Daten_Risiken!$A:$ZZ,MATCH($B65&amp;"|Energie- und Rohstoffpreise",Daten_Risiken!$A$1:$A$529,0),$BK$4)="","",INDEX(Daten_Risiken!$A:$ZZ,MATCH($B65&amp;"|Energie- und Rohstoffpreise",Daten_Risiken!$A$1:$A$529,0),$BK$4)),"")</f>
        <v>71</v>
      </c>
      <c r="Y65" s="49">
        <f>IFERROR(X65-IFERROR(IF(INDEX(Daten_Risiken!$A:$ZZ,MATCH($B65&amp;"|Energie- und Rohstoffpreise",Daten_Risiken!$A$1:$A$529,0),$BK$5)="",NA(),INDEX(Daten_Risiken!$A:$ZZ,MATCH($B65&amp;"|Energie- und Rohstoffpreise",Daten_Risiken!$A$1:$A$529,0),$BK$5)),NA()),"")</f>
        <v>-1</v>
      </c>
      <c r="Z65" s="49">
        <f>IFERROR(X65-IFERROR(IF(INDEX(Daten_Risiken!$A:$ZZ,MATCH($B65&amp;"|Energie- und Rohstoffpreise",Daten_Risiken!$A$1:$A$529,0),$BK$6)="",NA(),INDEX(Daten_Risiken!$A:$ZZ,MATCH($B65&amp;"|Energie- und Rohstoffpreise",Daten_Risiken!$A$1:$A$529,0),$BK$6)),NA()),"")</f>
        <v>18</v>
      </c>
      <c r="AA65" s="50">
        <f>IFERROR(IF(INDEX(Daten_Risiken!$A:$ZZ,MATCH($B65&amp;"|Arbeitskosten",Daten_Risiken!$A$1:$A$529,0),$BK$4)="","",INDEX(Daten_Risiken!$A:$ZZ,MATCH($B65&amp;"|Arbeitskosten",Daten_Risiken!$A$1:$A$529,0),$BK$4)),"")</f>
        <v>58</v>
      </c>
      <c r="AB65" s="49">
        <f>IFERROR(AA65-IFERROR(IF(INDEX(Daten_Risiken!$A:$ZZ,MATCH($B65&amp;"|Arbeitskosten",Daten_Risiken!$A$1:$A$529,0),$BK$5)="",NA(),INDEX(Daten_Risiken!$A:$ZZ,MATCH($B65&amp;"|Arbeitskosten",Daten_Risiken!$A$1:$A$529,0),$BK$5)),NA()),"")</f>
        <v>0</v>
      </c>
      <c r="AC65" s="49">
        <f>IFERROR(AA65-IFERROR(IF(INDEX(Daten_Risiken!$A:$ZZ,MATCH($B65&amp;"|Arbeitskosten",Daten_Risiken!$A$1:$A$529,0),$BK$6)="",NA(),INDEX(Daten_Risiken!$A:$ZZ,MATCH($B65&amp;"|Arbeitskosten",Daten_Risiken!$A$1:$A$529,0),$BK$6)),NA()),"")</f>
        <v>2</v>
      </c>
      <c r="AD65" s="50">
        <f>IFERROR(IF(INDEX(Daten_Risiken!$A:$ZZ,MATCH($B65&amp;"|Inlandsnachfrage",Daten_Risiken!$A$1:$A$529,0),$BK$4)="","",INDEX(Daten_Risiken!$A:$ZZ,MATCH($B65&amp;"|Inlandsnachfrage",Daten_Risiken!$A$1:$A$529,0),$BK$4)),"")</f>
        <v>52</v>
      </c>
      <c r="AE65" s="49">
        <f>IFERROR(AD65-IFERROR(IF(INDEX(Daten_Risiken!$A:$ZZ,MATCH($B65&amp;"|Inlandsnachfrage",Daten_Risiken!$A$1:$A$529,0),$BK$5)="",NA(),INDEX(Daten_Risiken!$A:$ZZ,MATCH($B65&amp;"|Inlandsnachfrage",Daten_Risiken!$A$1:$A$529,0),$BK$5)),NA()),"")</f>
        <v>-9</v>
      </c>
      <c r="AF65" s="49">
        <f>IFERROR(AD65-IFERROR(IF(INDEX(Daten_Risiken!$A:$ZZ,MATCH($B65&amp;"|Inlandsnachfrage",Daten_Risiken!$A$1:$A$529,0),$BK$6)="",NA(),INDEX(Daten_Risiken!$A:$ZZ,MATCH($B65&amp;"|Inlandsnachfrage",Daten_Risiken!$A$1:$A$529,0),$BK$6)),NA()),"")</f>
        <v>-10</v>
      </c>
      <c r="AG65" s="50">
        <f>IFERROR(IF(INDEX(Daten_Risiken!$A:$ZZ,MATCH($B65&amp;"|Wirtschaftspolitische Rahmenbedingungen",Daten_Risiken!$A$1:$A$529,0),$BK$4)="","",INDEX(Daten_Risiken!$A:$ZZ,MATCH($B65&amp;"|Wirtschaftspolitische Rahmenbedingungen",Daten_Risiken!$A$1:$A$529,0),$BK$4)),"")</f>
        <v>57</v>
      </c>
      <c r="AH65" s="49">
        <f>IFERROR(AG65-IFERROR(IF(INDEX(Daten_Risiken!$A:$ZZ,MATCH($B65&amp;"|Wirtschaftspolitische Rahmenbedingungen",Daten_Risiken!$A$1:$A$529,0),$BK$5)="",NA(),INDEX(Daten_Risiken!$A:$ZZ,MATCH($B65&amp;"|Wirtschaftspolitische Rahmenbedingungen",Daten_Risiken!$A$1:$A$529,0),$BK$5)),NA()),"")</f>
        <v>3</v>
      </c>
      <c r="AI65" s="49">
        <f>IFERROR(AG65-IFERROR(IF(INDEX(Daten_Risiken!$A:$ZZ,MATCH($B65&amp;"|Wirtschaftspolitische Rahmenbedingungen",Daten_Risiken!$A$1:$A$529,0),$BK$6)="",NA(),INDEX(Daten_Risiken!$A:$ZZ,MATCH($B65&amp;"|Wirtschaftspolitische Rahmenbedingungen",Daten_Risiken!$A$1:$A$529,0),$BK$6)),NA()),"")</f>
        <v>8</v>
      </c>
      <c r="AJ65" s="50">
        <f>IFERROR(IF(INDEX(Daten_Risiken!$A:$ZZ,MATCH($B65&amp;"|Fachkräftemangel",Daten_Risiken!$A$1:$A$529,0),$BK$4)="","",INDEX(Daten_Risiken!$A:$ZZ,MATCH($B65&amp;"|Fachkräftemangel",Daten_Risiken!$A$1:$A$529,0),$BK$4)),"")</f>
        <v>35</v>
      </c>
      <c r="AK65" s="49">
        <f>IFERROR(AJ65-IFERROR(IF(INDEX(Daten_Risiken!$A:$ZZ,MATCH($B65&amp;"|Fachkräftemangel",Daten_Risiken!$A$1:$A$529,0),$BK$5)="",NA(),INDEX(Daten_Risiken!$A:$ZZ,MATCH($B65&amp;"|Fachkräftemangel",Daten_Risiken!$A$1:$A$529,0),$BK$5)),NA()),"")</f>
        <v>-1</v>
      </c>
      <c r="AL65" s="49">
        <f>IFERROR(AJ65-IFERROR(IF(INDEX(Daten_Risiken!$A:$ZZ,MATCH($B65&amp;"|Fachkräftemangel",Daten_Risiken!$A$1:$A$529,0),$BK$6)="",NA(),INDEX(Daten_Risiken!$A:$ZZ,MATCH($B65&amp;"|Fachkräftemangel",Daten_Risiken!$A$1:$A$529,0),$BK$6)),NA()),"")</f>
        <v>-11</v>
      </c>
      <c r="AM65" s="50" t="str">
        <f>IFERROR(IF(INDEX(Daten_Risiken!$A:$ZZ,MATCH($B65&amp;"|Auslandsnachfrage",Daten_Risiken!$A$1:$A$529,0),$BK$4)="","",INDEX(Daten_Risiken!$A:$ZZ,MATCH($B65&amp;"|Auslandsnachfrage",Daten_Risiken!$A$1:$A$529,0),$BK$4)),"")</f>
        <v/>
      </c>
      <c r="AN65" s="49" t="str">
        <f>IFERROR(AM65-IFERROR(IF(INDEX(Daten_Risiken!$A:$ZZ,MATCH($B65&amp;"|Auslandsnachfrage",Daten_Risiken!$A$1:$A$529,0),$BK$5)="",NA(),INDEX(Daten_Risiken!$A:$ZZ,MATCH($B65&amp;"|Auslandsnachfrage",Daten_Risiken!$A$1:$A$529,0),$BK$5)),NA()),"")</f>
        <v/>
      </c>
      <c r="AO65" s="49" t="str">
        <f>IFERROR(AM65-IFERROR(IF(INDEX(Daten_Risiken!$A:$ZZ,MATCH($B65&amp;"|Auslandsnachfrage",Daten_Risiken!$A$1:$A$529,0),$BK$6)="",NA(),INDEX(Daten_Risiken!$A:$ZZ,MATCH($B65&amp;"|Auslandsnachfrage",Daten_Risiken!$A$1:$A$529,0),$BK$6)),NA()),"")</f>
        <v/>
      </c>
      <c r="AP65" s="50">
        <f>IFERROR(IF(INDEX(Daten_Risiken!$A:$ZZ,MATCH($B65&amp;"|Finanzierung",Daten_Risiken!$A$1:$A$529,0),$BK$4)="","",INDEX(Daten_Risiken!$A:$ZZ,MATCH($B65&amp;"|Finanzierung",Daten_Risiken!$A$1:$A$529,0),$BK$4)),"")</f>
        <v>24</v>
      </c>
      <c r="AQ65" s="49">
        <f>IFERROR(AP65-IFERROR(IF(INDEX(Daten_Risiken!$A:$ZZ,MATCH($B65&amp;"|Finanzierung",Daten_Risiken!$A$1:$A$529,0),$BK$5)="",NA(),INDEX(Daten_Risiken!$A:$ZZ,MATCH($B65&amp;"|Finanzierung",Daten_Risiken!$A$1:$A$529,0),$BK$5)),NA()),"")</f>
        <v>7</v>
      </c>
      <c r="AR65" s="49">
        <f>IFERROR(AP65-IFERROR(IF(INDEX(Daten_Risiken!$A:$ZZ,MATCH($B65&amp;"|Finanzierung",Daten_Risiken!$A$1:$A$529,0),$BK$6)="",NA(),INDEX(Daten_Risiken!$A:$ZZ,MATCH($B65&amp;"|Finanzierung",Daten_Risiken!$A$1:$A$529,0),$BK$6)),NA()),"")</f>
        <v>1</v>
      </c>
      <c r="AS65" s="50" t="str">
        <f>IFERROR(IF(INDEX(Daten_Risiken!$A:$ZZ,MATCH($B65&amp;"|Wechselkurs",Daten_Risiken!$A$1:$A$529,0),$BK$4)="","",INDEX(Daten_Risiken!$A:$ZZ,MATCH($B65&amp;"|Wechselkurs",Daten_Risiken!$A$1:$A$529,0),$BK$4)),"")</f>
        <v/>
      </c>
      <c r="AT65" s="49" t="str">
        <f>IFERROR(AS65-IFERROR(IF(INDEX(Daten_Risiken!$A:$ZZ,MATCH($B65&amp;"|Wechselkurs",Daten_Risiken!$A$1:$A$529,0),$BK$5)="",NA(),INDEX(Daten_Risiken!$A:$ZZ,MATCH($B65&amp;"|Wechselkurs",Daten_Risiken!$A$1:$A$529,0),$BK$5)),NA()),"")</f>
        <v/>
      </c>
      <c r="AU65" s="49" t="str">
        <f>IFERROR(AS65-IFERROR(IF(INDEX(Daten_Risiken!$A:$ZZ,MATCH($B65&amp;"|Wechselkurs",Daten_Risiken!$A$1:$A$529,0),$BK$6)="",NA(),INDEX(Daten_Risiken!$A:$ZZ,MATCH($B65&amp;"|Wechselkurs",Daten_Risiken!$A$1:$A$529,0),$BK$6)),NA()),"")</f>
        <v/>
      </c>
      <c r="AV65" s="50">
        <f>IFERROR(IF(INDEX(Daten_Motive!$A:$ZZ,MATCH($B65&amp;"|Ersatzbedarf",Daten_Motive!$A$1:$A$331,0),$BK$7)="","",INDEX(Daten_Motive!$A:$ZZ,MATCH($B65&amp;"|Ersatzbedarf",Daten_Motive!$A$1:$A$331,0),$BK$7)),"")</f>
        <v>76</v>
      </c>
      <c r="AW65" s="49">
        <f>IFERROR(AV65-IFERROR(IF(INDEX(Daten_Motive!$A:$ZZ,MATCH($B65&amp;"|Ersatzbedarf",Daten_Motive!$A$1:$A$331,0),$BK$8)="",NA(),INDEX(Daten_Motive!$A:$ZZ,MATCH($B65&amp;"|Ersatzbedarf",Daten_Motive!$A$1:$A$331,0),$BK$8)),NA()),"")</f>
        <v>-1</v>
      </c>
      <c r="AX65" s="49">
        <f>IFERROR(AV65-IFERROR(IF(INDEX(Daten_Motive!$A:$ZZ,MATCH($B65&amp;"|Ersatzbedarf",Daten_Motive!$A$1:$A$331,0),$BK$9)="",NA(),INDEX(Daten_Motive!$A:$ZZ,MATCH($B65&amp;"|Ersatzbedarf",Daten_Motive!$A$1:$A$331,0),$BK$9)),NA()),"")</f>
        <v>8</v>
      </c>
      <c r="AY65" s="50">
        <f>IFERROR(IF(INDEX(Daten_Motive!$A:$ZZ,MATCH($B65&amp;"|Rationalisierung",Daten_Motive!$A$1:$A$331,0),$BK$7)="","",INDEX(Daten_Motive!$A:$ZZ,MATCH($B65&amp;"|Rationalisierung",Daten_Motive!$A$1:$A$331,0),$BK$7)),"")</f>
        <v>21</v>
      </c>
      <c r="AZ65" s="49">
        <f>IFERROR(AY65-IFERROR(IF(INDEX(Daten_Motive!$A:$ZZ,MATCH($B65&amp;"|Rationalisierung",Daten_Motive!$A$1:$A$331,0),$BK$8)="",NA(),INDEX(Daten_Motive!$A:$ZZ,MATCH($B65&amp;"|Rationalisierung",Daten_Motive!$A$1:$A$331,0),$BK$8)),NA()),"")</f>
        <v>1</v>
      </c>
      <c r="BA65" s="49">
        <f>IFERROR(AY65-IFERROR(IF(INDEX(Daten_Motive!$A:$ZZ,MATCH($B65&amp;"|Rationalisierung",Daten_Motive!$A$1:$A$331,0),$BK$9)="",NA(),INDEX(Daten_Motive!$A:$ZZ,MATCH($B65&amp;"|Rationalisierung",Daten_Motive!$A$1:$A$331,0),$BK$9)),NA()),"")</f>
        <v>3</v>
      </c>
      <c r="BB65" s="50">
        <f>IFERROR(IF(INDEX(Daten_Motive!$A:$ZZ,MATCH($B65&amp;"|Produktinnovation",Daten_Motive!$A$1:$A$331,0),$BK$7)="","",INDEX(Daten_Motive!$A:$ZZ,MATCH($B65&amp;"|Produktinnovation",Daten_Motive!$A$1:$A$331,0),$BK$7)),"")</f>
        <v>21</v>
      </c>
      <c r="BC65" s="49">
        <f>IFERROR(BB65-IFERROR(IF(INDEX(Daten_Motive!$A:$ZZ,MATCH($B65&amp;"|Produktinnovation",Daten_Motive!$A$1:$A$331,0),$BK$8)="",NA(),INDEX(Daten_Motive!$A:$ZZ,MATCH($B65&amp;"|Produktinnovation",Daten_Motive!$A$1:$A$331,0),$BK$8)),NA()),"")</f>
        <v>0</v>
      </c>
      <c r="BD65" s="49">
        <f>IFERROR(BB65-IFERROR(IF(INDEX(Daten_Motive!$A:$ZZ,MATCH($B65&amp;"|Produktinnovation",Daten_Motive!$A$1:$A$331,0),$BK$9)="",NA(),INDEX(Daten_Motive!$A:$ZZ,MATCH($B65&amp;"|Produktinnovation",Daten_Motive!$A$1:$A$331,0),$BK$9)),NA()),"")</f>
        <v>-5</v>
      </c>
      <c r="BE65" s="50">
        <f>IFERROR(IF(INDEX(Daten_Motive!$A:$ZZ,MATCH($B65&amp;"|Umweltschutz",Daten_Motive!$A$1:$A$331,0),$BK$7)="","",INDEX(Daten_Motive!$A:$ZZ,MATCH($B65&amp;"|Umweltschutz",Daten_Motive!$A$1:$A$331,0),$BK$7)),"")</f>
        <v>12</v>
      </c>
      <c r="BF65" s="49">
        <f>IFERROR(BE65-IFERROR(IF(INDEX(Daten_Motive!$A:$ZZ,MATCH($B65&amp;"|Umweltschutz",Daten_Motive!$A$1:$A$331,0),$BK$8)="",NA(),INDEX(Daten_Motive!$A:$ZZ,MATCH($B65&amp;"|Umweltschutz",Daten_Motive!$A$1:$A$331,0),$BK$8)),NA()),"")</f>
        <v>3</v>
      </c>
      <c r="BG65" s="49">
        <f>IFERROR(BE65-IFERROR(IF(INDEX(Daten_Motive!$A:$ZZ,MATCH($B65&amp;"|Umweltschutz",Daten_Motive!$A$1:$A$331,0),$BK$9)="",NA(),INDEX(Daten_Motive!$A:$ZZ,MATCH($B65&amp;"|Umweltschutz",Daten_Motive!$A$1:$A$331,0),$BK$9)),NA()),"")</f>
        <v>1</v>
      </c>
      <c r="BH65" s="50">
        <f>IFERROR(IF(INDEX(Daten_Motive!$A:$ZZ,MATCH($B65&amp;"|Kapazitätserweiterung",Daten_Motive!$A$1:$A$331,0),$BK$7)="","",INDEX(Daten_Motive!$A:$ZZ,MATCH($B65&amp;"|Kapazitätserweiterung",Daten_Motive!$A$1:$A$331,0),$BK$7)),"")</f>
        <v>24</v>
      </c>
      <c r="BI65" s="49">
        <f>IFERROR(BH65-IFERROR(IF(INDEX(Daten_Motive!$A:$ZZ,MATCH($B65&amp;"|Kapazitätserweiterung",Daten_Motive!$A$1:$A$331,0),$BK$8)="",NA(),INDEX(Daten_Motive!$A:$ZZ,MATCH($B65&amp;"|Kapazitätserweiterung",Daten_Motive!$A$1:$A$331,0),$BK$8)),NA()),"")</f>
        <v>1</v>
      </c>
      <c r="BJ65" s="49">
        <f>IFERROR(BH65-IFERROR(IF(INDEX(Daten_Motive!$A:$ZZ,MATCH($B65&amp;"|Kapazitätserweiterung",Daten_Motive!$A$1:$A$331,0),$BK$9)="",NA(),INDEX(Daten_Motive!$A:$ZZ,MATCH($B65&amp;"|Kapazitätserweiterung",Daten_Motive!$A$1:$A$331,0),$BK$9)),NA()),"")</f>
        <v>-9</v>
      </c>
    </row>
    <row r="66" spans="1:62" x14ac:dyDescent="0.25">
      <c r="A66" s="42">
        <v>58</v>
      </c>
      <c r="B66" s="52" t="str">
        <f>Listen!A54</f>
        <v>Vermittlung und Überlassung von Arbeitskräften</v>
      </c>
      <c r="C66" s="44" t="s">
        <v>4547</v>
      </c>
      <c r="D66" s="44" t="str">
        <f>Listen!B54</f>
        <v>Dienstleister</v>
      </c>
      <c r="E66" s="45">
        <f>IFERROR(IF(INDEX(Daten_Anteile!$A:$ZZ,MATCH($B66&amp;"|Lage|"&amp;$C$3,Daten_Anteile!$A$1:$A$2971,0),5)="","",INDEX(Daten_Anteile!$A:$ZZ,MATCH($B66&amp;"|Lage|"&amp;$C$3,Daten_Anteile!$A$1:$A$2971,0),5)),"")</f>
        <v>121</v>
      </c>
      <c r="F66" s="46">
        <f t="shared" si="3"/>
        <v>94</v>
      </c>
      <c r="G66" s="47">
        <f t="shared" si="4"/>
        <v>9.6</v>
      </c>
      <c r="H66" s="47">
        <f t="shared" si="5"/>
        <v>10.9</v>
      </c>
      <c r="I66" s="48">
        <f>IFERROR(IF(INDEX(Daten_Salden!$A:$ZZ,MATCH($B66&amp;"|Lage",Daten_Salden!$A$1:$A$331,0),$BK$1)="","",INDEX(Daten_Salden!$A:$ZZ,MATCH($B66&amp;"|Lage",Daten_Salden!$A$1:$A$331,0),$BK$1)),"")</f>
        <v>-7</v>
      </c>
      <c r="J66" s="49">
        <f>IFERROR(I66-IFERROR(IF(INDEX(Daten_Salden!$A:$ZZ,MATCH($B66&amp;"|Lage",Daten_Salden!$A$1:$A$331,0),$BK$2)="",NA(),INDEX(Daten_Salden!$A:$ZZ,MATCH($B66&amp;"|Lage",Daten_Salden!$A$1:$A$331,0),$BK$2)),NA()),"")</f>
        <v>18</v>
      </c>
      <c r="K66" s="49">
        <f>IFERROR(I66-IFERROR(IF(INDEX(Daten_Salden!$A:$ZZ,MATCH($B66&amp;"|Lage",Daten_Salden!$A$1:$A$331,0),$BK$3)="",NA(),INDEX(Daten_Salden!$A:$ZZ,MATCH($B66&amp;"|Lage",Daten_Salden!$A$1:$A$331,0),$BK$3)),NA()),"")</f>
        <v>18</v>
      </c>
      <c r="L66" s="48">
        <f>IFERROR(IF(INDEX(Daten_Salden!$A:$ZZ,MATCH($B66&amp;"|Erwartungen",Daten_Salden!$A$1:$A$331,0),$BK$1)="","",INDEX(Daten_Salden!$A:$ZZ,MATCH($B66&amp;"|Erwartungen",Daten_Salden!$A$1:$A$331,0),$BK$1)),"")</f>
        <v>-5</v>
      </c>
      <c r="M66" s="49">
        <f>IFERROR(L66-IFERROR(IF(INDEX(Daten_Salden!$A:$ZZ,MATCH($B66&amp;"|Erwartungen",Daten_Salden!$A$1:$A$331,0),$BK$2)="",NA(),INDEX(Daten_Salden!$A:$ZZ,MATCH($B66&amp;"|Erwartungen",Daten_Salden!$A$1:$A$331,0),$BK$2)),NA()),"")</f>
        <v>0</v>
      </c>
      <c r="N66" s="49">
        <f>IFERROR(L66-IFERROR(IF(INDEX(Daten_Salden!$A:$ZZ,MATCH($B66&amp;"|Erwartungen",Daten_Salden!$A$1:$A$331,0),$BK$3)="",NA(),INDEX(Daten_Salden!$A:$ZZ,MATCH($B66&amp;"|Erwartungen",Daten_Salden!$A$1:$A$331,0),$BK$3)),NA()),"")</f>
        <v>3</v>
      </c>
      <c r="O66" s="48" t="str">
        <f>IFERROR(IF(INDEX(Daten_Salden!$A:$ZZ,MATCH($B66&amp;"|Export",Daten_Salden!$A$1:$A$331,0),$BK$1)="","",INDEX(Daten_Salden!$A:$ZZ,MATCH($B66&amp;"|Export",Daten_Salden!$A$1:$A$331,0),$BK$1)),"")</f>
        <v/>
      </c>
      <c r="P66" s="49" t="str">
        <f>IFERROR(O66-IFERROR(IF(INDEX(Daten_Salden!$A:$ZZ,MATCH($B66&amp;"|Export",Daten_Salden!$A$1:$A$331,0),$BK$2)="",NA(),INDEX(Daten_Salden!$A:$ZZ,MATCH($B66&amp;"|Export",Daten_Salden!$A$1:$A$331,0),$BK$2)),NA()),"")</f>
        <v/>
      </c>
      <c r="Q66" s="49" t="str">
        <f>IFERROR(O66-IFERROR(IF(INDEX(Daten_Salden!$A:$ZZ,MATCH($B66&amp;"|Export",Daten_Salden!$A$1:$A$331,0),$BK$3)="",NA(),INDEX(Daten_Salden!$A:$ZZ,MATCH($B66&amp;"|Export",Daten_Salden!$A$1:$A$331,0),$BK$3)),NA()),"")</f>
        <v/>
      </c>
      <c r="R66" s="48">
        <f>IFERROR(IF(INDEX(Daten_Salden!$A:$ZZ,MATCH($B66&amp;"|Investitionen",Daten_Salden!$A$1:$A$331,0),$BK$1)="","",INDEX(Daten_Salden!$A:$ZZ,MATCH($B66&amp;"|Investitionen",Daten_Salden!$A$1:$A$331,0),$BK$1)),"")</f>
        <v>-5</v>
      </c>
      <c r="S66" s="49">
        <f>IFERROR(R66-IFERROR(IF(INDEX(Daten_Salden!$A:$ZZ,MATCH($B66&amp;"|Investitionen",Daten_Salden!$A$1:$A$331,0),$BK$2)="",NA(),INDEX(Daten_Salden!$A:$ZZ,MATCH($B66&amp;"|Investitionen",Daten_Salden!$A$1:$A$331,0),$BK$2)),NA()),"")</f>
        <v>29</v>
      </c>
      <c r="T66" s="49">
        <f>IFERROR(R66-IFERROR(IF(INDEX(Daten_Salden!$A:$ZZ,MATCH($B66&amp;"|Investitionen",Daten_Salden!$A$1:$A$331,0),$BK$3)="",NA(),INDEX(Daten_Salden!$A:$ZZ,MATCH($B66&amp;"|Investitionen",Daten_Salden!$A$1:$A$331,0),$BK$3)),NA()),"")</f>
        <v>7</v>
      </c>
      <c r="U66" s="48">
        <f>IFERROR(IF(INDEX(Daten_Salden!$A:$ZZ,MATCH($B66&amp;"|Beschäftigung",Daten_Salden!$A$1:$A$331,0),$BK$1)="","",INDEX(Daten_Salden!$A:$ZZ,MATCH($B66&amp;"|Beschäftigung",Daten_Salden!$A$1:$A$331,0),$BK$1)),"")</f>
        <v>1</v>
      </c>
      <c r="V66" s="49">
        <f>IFERROR(U66-IFERROR(IF(INDEX(Daten_Salden!$A:$ZZ,MATCH($B66&amp;"|Beschäftigung",Daten_Salden!$A$1:$A$331,0),$BK$2)="",NA(),INDEX(Daten_Salden!$A:$ZZ,MATCH($B66&amp;"|Beschäftigung",Daten_Salden!$A$1:$A$331,0),$BK$2)),NA()),"")</f>
        <v>6</v>
      </c>
      <c r="W66" s="49">
        <f>IFERROR(U66-IFERROR(IF(INDEX(Daten_Salden!$A:$ZZ,MATCH($B66&amp;"|Beschäftigung",Daten_Salden!$A$1:$A$331,0),$BK$3)="",NA(),INDEX(Daten_Salden!$A:$ZZ,MATCH($B66&amp;"|Beschäftigung",Daten_Salden!$A$1:$A$331,0),$BK$3)),NA()),"")</f>
        <v>6</v>
      </c>
      <c r="X66" s="50">
        <f>IFERROR(IF(INDEX(Daten_Risiken!$A:$ZZ,MATCH($B66&amp;"|Energie- und Rohstoffpreise",Daten_Risiken!$A$1:$A$529,0),$BK$4)="","",INDEX(Daten_Risiken!$A:$ZZ,MATCH($B66&amp;"|Energie- und Rohstoffpreise",Daten_Risiken!$A$1:$A$529,0),$BK$4)),"")</f>
        <v>41</v>
      </c>
      <c r="Y66" s="49">
        <f>IFERROR(X66-IFERROR(IF(INDEX(Daten_Risiken!$A:$ZZ,MATCH($B66&amp;"|Energie- und Rohstoffpreise",Daten_Risiken!$A$1:$A$529,0),$BK$5)="",NA(),INDEX(Daten_Risiken!$A:$ZZ,MATCH($B66&amp;"|Energie- und Rohstoffpreise",Daten_Risiken!$A$1:$A$529,0),$BK$5)),NA()),"")</f>
        <v>-5</v>
      </c>
      <c r="Z66" s="49">
        <f>IFERROR(X66-IFERROR(IF(INDEX(Daten_Risiken!$A:$ZZ,MATCH($B66&amp;"|Energie- und Rohstoffpreise",Daten_Risiken!$A$1:$A$529,0),$BK$6)="",NA(),INDEX(Daten_Risiken!$A:$ZZ,MATCH($B66&amp;"|Energie- und Rohstoffpreise",Daten_Risiken!$A$1:$A$529,0),$BK$6)),NA()),"")</f>
        <v>19</v>
      </c>
      <c r="AA66" s="50">
        <f>IFERROR(IF(INDEX(Daten_Risiken!$A:$ZZ,MATCH($B66&amp;"|Arbeitskosten",Daten_Risiken!$A$1:$A$529,0),$BK$4)="","",INDEX(Daten_Risiken!$A:$ZZ,MATCH($B66&amp;"|Arbeitskosten",Daten_Risiken!$A$1:$A$529,0),$BK$4)),"")</f>
        <v>70</v>
      </c>
      <c r="AB66" s="49">
        <f>IFERROR(AA66-IFERROR(IF(INDEX(Daten_Risiken!$A:$ZZ,MATCH($B66&amp;"|Arbeitskosten",Daten_Risiken!$A$1:$A$529,0),$BK$5)="",NA(),INDEX(Daten_Risiken!$A:$ZZ,MATCH($B66&amp;"|Arbeitskosten",Daten_Risiken!$A$1:$A$529,0),$BK$5)),NA()),"")</f>
        <v>7</v>
      </c>
      <c r="AC66" s="49">
        <f>IFERROR(AA66-IFERROR(IF(INDEX(Daten_Risiken!$A:$ZZ,MATCH($B66&amp;"|Arbeitskosten",Daten_Risiken!$A$1:$A$529,0),$BK$6)="",NA(),INDEX(Daten_Risiken!$A:$ZZ,MATCH($B66&amp;"|Arbeitskosten",Daten_Risiken!$A$1:$A$529,0),$BK$6)),NA()),"")</f>
        <v>7</v>
      </c>
      <c r="AD66" s="50">
        <f>IFERROR(IF(INDEX(Daten_Risiken!$A:$ZZ,MATCH($B66&amp;"|Inlandsnachfrage",Daten_Risiken!$A$1:$A$529,0),$BK$4)="","",INDEX(Daten_Risiken!$A:$ZZ,MATCH($B66&amp;"|Inlandsnachfrage",Daten_Risiken!$A$1:$A$529,0),$BK$4)),"")</f>
        <v>47</v>
      </c>
      <c r="AE66" s="49">
        <f>IFERROR(AD66-IFERROR(IF(INDEX(Daten_Risiken!$A:$ZZ,MATCH($B66&amp;"|Inlandsnachfrage",Daten_Risiken!$A$1:$A$529,0),$BK$5)="",NA(),INDEX(Daten_Risiken!$A:$ZZ,MATCH($B66&amp;"|Inlandsnachfrage",Daten_Risiken!$A$1:$A$529,0),$BK$5)),NA()),"")</f>
        <v>-16</v>
      </c>
      <c r="AF66" s="49">
        <f>IFERROR(AD66-IFERROR(IF(INDEX(Daten_Risiken!$A:$ZZ,MATCH($B66&amp;"|Inlandsnachfrage",Daten_Risiken!$A$1:$A$529,0),$BK$6)="",NA(),INDEX(Daten_Risiken!$A:$ZZ,MATCH($B66&amp;"|Inlandsnachfrage",Daten_Risiken!$A$1:$A$529,0),$BK$6)),NA()),"")</f>
        <v>-2</v>
      </c>
      <c r="AG66" s="50">
        <f>IFERROR(IF(INDEX(Daten_Risiken!$A:$ZZ,MATCH($B66&amp;"|Wirtschaftspolitische Rahmenbedingungen",Daten_Risiken!$A$1:$A$529,0),$BK$4)="","",INDEX(Daten_Risiken!$A:$ZZ,MATCH($B66&amp;"|Wirtschaftspolitische Rahmenbedingungen",Daten_Risiken!$A$1:$A$529,0),$BK$4)),"")</f>
        <v>49</v>
      </c>
      <c r="AH66" s="49">
        <f>IFERROR(AG66-IFERROR(IF(INDEX(Daten_Risiken!$A:$ZZ,MATCH($B66&amp;"|Wirtschaftspolitische Rahmenbedingungen",Daten_Risiken!$A$1:$A$529,0),$BK$5)="",NA(),INDEX(Daten_Risiken!$A:$ZZ,MATCH($B66&amp;"|Wirtschaftspolitische Rahmenbedingungen",Daten_Risiken!$A$1:$A$529,0),$BK$5)),NA()),"")</f>
        <v>-3</v>
      </c>
      <c r="AI66" s="49">
        <f>IFERROR(AG66-IFERROR(IF(INDEX(Daten_Risiken!$A:$ZZ,MATCH($B66&amp;"|Wirtschaftspolitische Rahmenbedingungen",Daten_Risiken!$A$1:$A$529,0),$BK$6)="",NA(),INDEX(Daten_Risiken!$A:$ZZ,MATCH($B66&amp;"|Wirtschaftspolitische Rahmenbedingungen",Daten_Risiken!$A$1:$A$529,0),$BK$6)),NA()),"")</f>
        <v>-9</v>
      </c>
      <c r="AJ66" s="50">
        <f>IFERROR(IF(INDEX(Daten_Risiken!$A:$ZZ,MATCH($B66&amp;"|Fachkräftemangel",Daten_Risiken!$A$1:$A$529,0),$BK$4)="","",INDEX(Daten_Risiken!$A:$ZZ,MATCH($B66&amp;"|Fachkräftemangel",Daten_Risiken!$A$1:$A$529,0),$BK$4)),"")</f>
        <v>64</v>
      </c>
      <c r="AK66" s="49">
        <f>IFERROR(AJ66-IFERROR(IF(INDEX(Daten_Risiken!$A:$ZZ,MATCH($B66&amp;"|Fachkräftemangel",Daten_Risiken!$A$1:$A$529,0),$BK$5)="",NA(),INDEX(Daten_Risiken!$A:$ZZ,MATCH($B66&amp;"|Fachkräftemangel",Daten_Risiken!$A$1:$A$529,0),$BK$5)),NA()),"")</f>
        <v>12</v>
      </c>
      <c r="AL66" s="49">
        <f>IFERROR(AJ66-IFERROR(IF(INDEX(Daten_Risiken!$A:$ZZ,MATCH($B66&amp;"|Fachkräftemangel",Daten_Risiken!$A$1:$A$529,0),$BK$6)="",NA(),INDEX(Daten_Risiken!$A:$ZZ,MATCH($B66&amp;"|Fachkräftemangel",Daten_Risiken!$A$1:$A$529,0),$BK$6)),NA()),"")</f>
        <v>7</v>
      </c>
      <c r="AM66" s="50" t="str">
        <f>IFERROR(IF(INDEX(Daten_Risiken!$A:$ZZ,MATCH($B66&amp;"|Auslandsnachfrage",Daten_Risiken!$A$1:$A$529,0),$BK$4)="","",INDEX(Daten_Risiken!$A:$ZZ,MATCH($B66&amp;"|Auslandsnachfrage",Daten_Risiken!$A$1:$A$529,0),$BK$4)),"")</f>
        <v/>
      </c>
      <c r="AN66" s="49" t="str">
        <f>IFERROR(AM66-IFERROR(IF(INDEX(Daten_Risiken!$A:$ZZ,MATCH($B66&amp;"|Auslandsnachfrage",Daten_Risiken!$A$1:$A$529,0),$BK$5)="",NA(),INDEX(Daten_Risiken!$A:$ZZ,MATCH($B66&amp;"|Auslandsnachfrage",Daten_Risiken!$A$1:$A$529,0),$BK$5)),NA()),"")</f>
        <v/>
      </c>
      <c r="AO66" s="49" t="str">
        <f>IFERROR(AM66-IFERROR(IF(INDEX(Daten_Risiken!$A:$ZZ,MATCH($B66&amp;"|Auslandsnachfrage",Daten_Risiken!$A$1:$A$529,0),$BK$6)="",NA(),INDEX(Daten_Risiken!$A:$ZZ,MATCH($B66&amp;"|Auslandsnachfrage",Daten_Risiken!$A$1:$A$529,0),$BK$6)),NA()),"")</f>
        <v/>
      </c>
      <c r="AP66" s="50">
        <f>IFERROR(IF(INDEX(Daten_Risiken!$A:$ZZ,MATCH($B66&amp;"|Finanzierung",Daten_Risiken!$A$1:$A$529,0),$BK$4)="","",INDEX(Daten_Risiken!$A:$ZZ,MATCH($B66&amp;"|Finanzierung",Daten_Risiken!$A$1:$A$529,0),$BK$4)),"")</f>
        <v>15</v>
      </c>
      <c r="AQ66" s="49">
        <f>IFERROR(AP66-IFERROR(IF(INDEX(Daten_Risiken!$A:$ZZ,MATCH($B66&amp;"|Finanzierung",Daten_Risiken!$A$1:$A$529,0),$BK$5)="",NA(),INDEX(Daten_Risiken!$A:$ZZ,MATCH($B66&amp;"|Finanzierung",Daten_Risiken!$A$1:$A$529,0),$BK$5)),NA()),"")</f>
        <v>4</v>
      </c>
      <c r="AR66" s="49">
        <f>IFERROR(AP66-IFERROR(IF(INDEX(Daten_Risiken!$A:$ZZ,MATCH($B66&amp;"|Finanzierung",Daten_Risiken!$A$1:$A$529,0),$BK$6)="",NA(),INDEX(Daten_Risiken!$A:$ZZ,MATCH($B66&amp;"|Finanzierung",Daten_Risiken!$A$1:$A$529,0),$BK$6)),NA()),"")</f>
        <v>5</v>
      </c>
      <c r="AS66" s="50" t="str">
        <f>IFERROR(IF(INDEX(Daten_Risiken!$A:$ZZ,MATCH($B66&amp;"|Wechselkurs",Daten_Risiken!$A$1:$A$529,0),$BK$4)="","",INDEX(Daten_Risiken!$A:$ZZ,MATCH($B66&amp;"|Wechselkurs",Daten_Risiken!$A$1:$A$529,0),$BK$4)),"")</f>
        <v/>
      </c>
      <c r="AT66" s="49" t="str">
        <f>IFERROR(AS66-IFERROR(IF(INDEX(Daten_Risiken!$A:$ZZ,MATCH($B66&amp;"|Wechselkurs",Daten_Risiken!$A$1:$A$529,0),$BK$5)="",NA(),INDEX(Daten_Risiken!$A:$ZZ,MATCH($B66&amp;"|Wechselkurs",Daten_Risiken!$A$1:$A$529,0),$BK$5)),NA()),"")</f>
        <v/>
      </c>
      <c r="AU66" s="49" t="str">
        <f>IFERROR(AS66-IFERROR(IF(INDEX(Daten_Risiken!$A:$ZZ,MATCH($B66&amp;"|Wechselkurs",Daten_Risiken!$A$1:$A$529,0),$BK$6)="",NA(),INDEX(Daten_Risiken!$A:$ZZ,MATCH($B66&amp;"|Wechselkurs",Daten_Risiken!$A$1:$A$529,0),$BK$6)),NA()),"")</f>
        <v/>
      </c>
      <c r="AV66" s="50">
        <f>IFERROR(IF(INDEX(Daten_Motive!$A:$ZZ,MATCH($B66&amp;"|Ersatzbedarf",Daten_Motive!$A$1:$A$331,0),$BK$7)="","",INDEX(Daten_Motive!$A:$ZZ,MATCH($B66&amp;"|Ersatzbedarf",Daten_Motive!$A$1:$A$331,0),$BK$7)),"")</f>
        <v>61</v>
      </c>
      <c r="AW66" s="49">
        <f>IFERROR(AV66-IFERROR(IF(INDEX(Daten_Motive!$A:$ZZ,MATCH($B66&amp;"|Ersatzbedarf",Daten_Motive!$A$1:$A$331,0),$BK$8)="",NA(),INDEX(Daten_Motive!$A:$ZZ,MATCH($B66&amp;"|Ersatzbedarf",Daten_Motive!$A$1:$A$331,0),$BK$8)),NA()),"")</f>
        <v>3</v>
      </c>
      <c r="AX66" s="49">
        <f>IFERROR(AV66-IFERROR(IF(INDEX(Daten_Motive!$A:$ZZ,MATCH($B66&amp;"|Ersatzbedarf",Daten_Motive!$A$1:$A$331,0),$BK$9)="",NA(),INDEX(Daten_Motive!$A:$ZZ,MATCH($B66&amp;"|Ersatzbedarf",Daten_Motive!$A$1:$A$331,0),$BK$9)),NA()),"")</f>
        <v>14</v>
      </c>
      <c r="AY66" s="50">
        <f>IFERROR(IF(INDEX(Daten_Motive!$A:$ZZ,MATCH($B66&amp;"|Rationalisierung",Daten_Motive!$A$1:$A$331,0),$BK$7)="","",INDEX(Daten_Motive!$A:$ZZ,MATCH($B66&amp;"|Rationalisierung",Daten_Motive!$A$1:$A$331,0),$BK$7)),"")</f>
        <v>41</v>
      </c>
      <c r="AZ66" s="49">
        <f>IFERROR(AY66-IFERROR(IF(INDEX(Daten_Motive!$A:$ZZ,MATCH($B66&amp;"|Rationalisierung",Daten_Motive!$A$1:$A$331,0),$BK$8)="",NA(),INDEX(Daten_Motive!$A:$ZZ,MATCH($B66&amp;"|Rationalisierung",Daten_Motive!$A$1:$A$331,0),$BK$8)),NA()),"")</f>
        <v>2</v>
      </c>
      <c r="BA66" s="49">
        <f>IFERROR(AY66-IFERROR(IF(INDEX(Daten_Motive!$A:$ZZ,MATCH($B66&amp;"|Rationalisierung",Daten_Motive!$A$1:$A$331,0),$BK$9)="",NA(),INDEX(Daten_Motive!$A:$ZZ,MATCH($B66&amp;"|Rationalisierung",Daten_Motive!$A$1:$A$331,0),$BK$9)),NA()),"")</f>
        <v>-4</v>
      </c>
      <c r="BB66" s="50">
        <f>IFERROR(IF(INDEX(Daten_Motive!$A:$ZZ,MATCH($B66&amp;"|Produktinnovation",Daten_Motive!$A$1:$A$331,0),$BK$7)="","",INDEX(Daten_Motive!$A:$ZZ,MATCH($B66&amp;"|Produktinnovation",Daten_Motive!$A$1:$A$331,0),$BK$7)),"")</f>
        <v>18</v>
      </c>
      <c r="BC66" s="49">
        <f>IFERROR(BB66-IFERROR(IF(INDEX(Daten_Motive!$A:$ZZ,MATCH($B66&amp;"|Produktinnovation",Daten_Motive!$A$1:$A$331,0),$BK$8)="",NA(),INDEX(Daten_Motive!$A:$ZZ,MATCH($B66&amp;"|Produktinnovation",Daten_Motive!$A$1:$A$331,0),$BK$8)),NA()),"")</f>
        <v>-2</v>
      </c>
      <c r="BD66" s="49">
        <f>IFERROR(BB66-IFERROR(IF(INDEX(Daten_Motive!$A:$ZZ,MATCH($B66&amp;"|Produktinnovation",Daten_Motive!$A$1:$A$331,0),$BK$9)="",NA(),INDEX(Daten_Motive!$A:$ZZ,MATCH($B66&amp;"|Produktinnovation",Daten_Motive!$A$1:$A$331,0),$BK$9)),NA()),"")</f>
        <v>-5</v>
      </c>
      <c r="BE66" s="50">
        <f>IFERROR(IF(INDEX(Daten_Motive!$A:$ZZ,MATCH($B66&amp;"|Umweltschutz",Daten_Motive!$A$1:$A$331,0),$BK$7)="","",INDEX(Daten_Motive!$A:$ZZ,MATCH($B66&amp;"|Umweltschutz",Daten_Motive!$A$1:$A$331,0),$BK$7)),"")</f>
        <v>2</v>
      </c>
      <c r="BF66" s="49">
        <f>IFERROR(BE66-IFERROR(IF(INDEX(Daten_Motive!$A:$ZZ,MATCH($B66&amp;"|Umweltschutz",Daten_Motive!$A$1:$A$331,0),$BK$8)="",NA(),INDEX(Daten_Motive!$A:$ZZ,MATCH($B66&amp;"|Umweltschutz",Daten_Motive!$A$1:$A$331,0),$BK$8)),NA()),"")</f>
        <v>0</v>
      </c>
      <c r="BG66" s="49">
        <f>IFERROR(BE66-IFERROR(IF(INDEX(Daten_Motive!$A:$ZZ,MATCH($B66&amp;"|Umweltschutz",Daten_Motive!$A$1:$A$331,0),$BK$9)="",NA(),INDEX(Daten_Motive!$A:$ZZ,MATCH($B66&amp;"|Umweltschutz",Daten_Motive!$A$1:$A$331,0),$BK$9)),NA()),"")</f>
        <v>-2</v>
      </c>
      <c r="BH66" s="50">
        <f>IFERROR(IF(INDEX(Daten_Motive!$A:$ZZ,MATCH($B66&amp;"|Kapazitätserweiterung",Daten_Motive!$A$1:$A$331,0),$BK$7)="","",INDEX(Daten_Motive!$A:$ZZ,MATCH($B66&amp;"|Kapazitätserweiterung",Daten_Motive!$A$1:$A$331,0),$BK$7)),"")</f>
        <v>14</v>
      </c>
      <c r="BI66" s="49">
        <f>IFERROR(BH66-IFERROR(IF(INDEX(Daten_Motive!$A:$ZZ,MATCH($B66&amp;"|Kapazitätserweiterung",Daten_Motive!$A$1:$A$331,0),$BK$8)="",NA(),INDEX(Daten_Motive!$A:$ZZ,MATCH($B66&amp;"|Kapazitätserweiterung",Daten_Motive!$A$1:$A$331,0),$BK$8)),NA()),"")</f>
        <v>-1</v>
      </c>
      <c r="BJ66" s="49">
        <f>IFERROR(BH66-IFERROR(IF(INDEX(Daten_Motive!$A:$ZZ,MATCH($B66&amp;"|Kapazitätserweiterung",Daten_Motive!$A$1:$A$331,0),$BK$9)="",NA(),INDEX(Daten_Motive!$A:$ZZ,MATCH($B66&amp;"|Kapazitätserweiterung",Daten_Motive!$A$1:$A$331,0),$BK$9)),NA()),"")</f>
        <v>-8</v>
      </c>
    </row>
    <row r="67" spans="1:62" x14ac:dyDescent="0.25">
      <c r="A67" s="42">
        <v>59</v>
      </c>
      <c r="B67" s="52" t="str">
        <f>Listen!A55</f>
        <v>Reisevermittlung</v>
      </c>
      <c r="C67" s="44" t="s">
        <v>4548</v>
      </c>
      <c r="D67" s="44" t="str">
        <f>Listen!B55</f>
        <v>Dienstleister</v>
      </c>
      <c r="E67" s="45">
        <f>IFERROR(IF(INDEX(Daten_Anteile!$A:$ZZ,MATCH($B67&amp;"|Lage|"&amp;$C$3,Daten_Anteile!$A$1:$A$2971,0),5)="","",INDEX(Daten_Anteile!$A:$ZZ,MATCH($B67&amp;"|Lage|"&amp;$C$3,Daten_Anteile!$A$1:$A$2971,0),5)),"")</f>
        <v>323</v>
      </c>
      <c r="F67" s="46">
        <f t="shared" si="3"/>
        <v>85.5</v>
      </c>
      <c r="G67" s="47">
        <f t="shared" si="4"/>
        <v>22.4</v>
      </c>
      <c r="H67" s="47">
        <f t="shared" si="5"/>
        <v>-17.3</v>
      </c>
      <c r="I67" s="48">
        <f>IFERROR(IF(INDEX(Daten_Salden!$A:$ZZ,MATCH($B67&amp;"|Lage",Daten_Salden!$A$1:$A$331,0),$BK$1)="","",INDEX(Daten_Salden!$A:$ZZ,MATCH($B67&amp;"|Lage",Daten_Salden!$A$1:$A$331,0),$BK$1)),"")</f>
        <v>-5</v>
      </c>
      <c r="J67" s="49">
        <f>IFERROR(I67-IFERROR(IF(INDEX(Daten_Salden!$A:$ZZ,MATCH($B67&amp;"|Lage",Daten_Salden!$A$1:$A$331,0),$BK$2)="",NA(),INDEX(Daten_Salden!$A:$ZZ,MATCH($B67&amp;"|Lage",Daten_Salden!$A$1:$A$331,0),$BK$2)),NA()),"")</f>
        <v>17</v>
      </c>
      <c r="K67" s="49">
        <f>IFERROR(I67-IFERROR(IF(INDEX(Daten_Salden!$A:$ZZ,MATCH($B67&amp;"|Lage",Daten_Salden!$A$1:$A$331,0),$BK$3)="",NA(),INDEX(Daten_Salden!$A:$ZZ,MATCH($B67&amp;"|Lage",Daten_Salden!$A$1:$A$331,0),$BK$3)),NA()),"")</f>
        <v>-28</v>
      </c>
      <c r="L67" s="48">
        <f>IFERROR(IF(INDEX(Daten_Salden!$A:$ZZ,MATCH($B67&amp;"|Erwartungen",Daten_Salden!$A$1:$A$331,0),$BK$1)="","",INDEX(Daten_Salden!$A:$ZZ,MATCH($B67&amp;"|Erwartungen",Daten_Salden!$A$1:$A$331,0),$BK$1)),"")</f>
        <v>-23</v>
      </c>
      <c r="M67" s="49">
        <f>IFERROR(L67-IFERROR(IF(INDEX(Daten_Salden!$A:$ZZ,MATCH($B67&amp;"|Erwartungen",Daten_Salden!$A$1:$A$331,0),$BK$2)="",NA(),INDEX(Daten_Salden!$A:$ZZ,MATCH($B67&amp;"|Erwartungen",Daten_Salden!$A$1:$A$331,0),$BK$2)),NA()),"")</f>
        <v>26</v>
      </c>
      <c r="N67" s="49">
        <f>IFERROR(L67-IFERROR(IF(INDEX(Daten_Salden!$A:$ZZ,MATCH($B67&amp;"|Erwartungen",Daten_Salden!$A$1:$A$331,0),$BK$3)="",NA(),INDEX(Daten_Salden!$A:$ZZ,MATCH($B67&amp;"|Erwartungen",Daten_Salden!$A$1:$A$331,0),$BK$3)),NA()),"")</f>
        <v>-9</v>
      </c>
      <c r="O67" s="48" t="str">
        <f>IFERROR(IF(INDEX(Daten_Salden!$A:$ZZ,MATCH($B67&amp;"|Export",Daten_Salden!$A$1:$A$331,0),$BK$1)="","",INDEX(Daten_Salden!$A:$ZZ,MATCH($B67&amp;"|Export",Daten_Salden!$A$1:$A$331,0),$BK$1)),"")</f>
        <v/>
      </c>
      <c r="P67" s="49" t="str">
        <f>IFERROR(O67-IFERROR(IF(INDEX(Daten_Salden!$A:$ZZ,MATCH($B67&amp;"|Export",Daten_Salden!$A$1:$A$331,0),$BK$2)="",NA(),INDEX(Daten_Salden!$A:$ZZ,MATCH($B67&amp;"|Export",Daten_Salden!$A$1:$A$331,0),$BK$2)),NA()),"")</f>
        <v/>
      </c>
      <c r="Q67" s="49" t="str">
        <f>IFERROR(O67-IFERROR(IF(INDEX(Daten_Salden!$A:$ZZ,MATCH($B67&amp;"|Export",Daten_Salden!$A$1:$A$331,0),$BK$3)="",NA(),INDEX(Daten_Salden!$A:$ZZ,MATCH($B67&amp;"|Export",Daten_Salden!$A$1:$A$331,0),$BK$3)),NA()),"")</f>
        <v/>
      </c>
      <c r="R67" s="48">
        <f>IFERROR(IF(INDEX(Daten_Salden!$A:$ZZ,MATCH($B67&amp;"|Investitionen",Daten_Salden!$A$1:$A$331,0),$BK$1)="","",INDEX(Daten_Salden!$A:$ZZ,MATCH($B67&amp;"|Investitionen",Daten_Salden!$A$1:$A$331,0),$BK$1)),"")</f>
        <v>-10</v>
      </c>
      <c r="S67" s="49">
        <f>IFERROR(R67-IFERROR(IF(INDEX(Daten_Salden!$A:$ZZ,MATCH($B67&amp;"|Investitionen",Daten_Salden!$A$1:$A$331,0),$BK$2)="",NA(),INDEX(Daten_Salden!$A:$ZZ,MATCH($B67&amp;"|Investitionen",Daten_Salden!$A$1:$A$331,0),$BK$2)),NA()),"")</f>
        <v>7</v>
      </c>
      <c r="T67" s="49">
        <f>IFERROR(R67-IFERROR(IF(INDEX(Daten_Salden!$A:$ZZ,MATCH($B67&amp;"|Investitionen",Daten_Salden!$A$1:$A$331,0),$BK$3)="",NA(),INDEX(Daten_Salden!$A:$ZZ,MATCH($B67&amp;"|Investitionen",Daten_Salden!$A$1:$A$331,0),$BK$3)),NA()),"")</f>
        <v>-1</v>
      </c>
      <c r="U67" s="48">
        <f>IFERROR(IF(INDEX(Daten_Salden!$A:$ZZ,MATCH($B67&amp;"|Beschäftigung",Daten_Salden!$A$1:$A$331,0),$BK$1)="","",INDEX(Daten_Salden!$A:$ZZ,MATCH($B67&amp;"|Beschäftigung",Daten_Salden!$A$1:$A$331,0),$BK$1)),"")</f>
        <v>-13</v>
      </c>
      <c r="V67" s="49">
        <f>IFERROR(U67-IFERROR(IF(INDEX(Daten_Salden!$A:$ZZ,MATCH($B67&amp;"|Beschäftigung",Daten_Salden!$A$1:$A$331,0),$BK$2)="",NA(),INDEX(Daten_Salden!$A:$ZZ,MATCH($B67&amp;"|Beschäftigung",Daten_Salden!$A$1:$A$331,0),$BK$2)),NA()),"")</f>
        <v>2</v>
      </c>
      <c r="W67" s="49">
        <f>IFERROR(U67-IFERROR(IF(INDEX(Daten_Salden!$A:$ZZ,MATCH($B67&amp;"|Beschäftigung",Daten_Salden!$A$1:$A$331,0),$BK$3)="",NA(),INDEX(Daten_Salden!$A:$ZZ,MATCH($B67&amp;"|Beschäftigung",Daten_Salden!$A$1:$A$331,0),$BK$3)),NA()),"")</f>
        <v>-7</v>
      </c>
      <c r="X67" s="50">
        <f>IFERROR(IF(INDEX(Daten_Risiken!$A:$ZZ,MATCH($B67&amp;"|Energie- und Rohstoffpreise",Daten_Risiken!$A$1:$A$529,0),$BK$4)="","",INDEX(Daten_Risiken!$A:$ZZ,MATCH($B67&amp;"|Energie- und Rohstoffpreise",Daten_Risiken!$A$1:$A$529,0),$BK$4)),"")</f>
        <v>56</v>
      </c>
      <c r="Y67" s="49">
        <f>IFERROR(X67-IFERROR(IF(INDEX(Daten_Risiken!$A:$ZZ,MATCH($B67&amp;"|Energie- und Rohstoffpreise",Daten_Risiken!$A$1:$A$529,0),$BK$5)="",NA(),INDEX(Daten_Risiken!$A:$ZZ,MATCH($B67&amp;"|Energie- und Rohstoffpreise",Daten_Risiken!$A$1:$A$529,0),$BK$5)),NA()),"")</f>
        <v>-5</v>
      </c>
      <c r="Z67" s="49">
        <f>IFERROR(X67-IFERROR(IF(INDEX(Daten_Risiken!$A:$ZZ,MATCH($B67&amp;"|Energie- und Rohstoffpreise",Daten_Risiken!$A$1:$A$529,0),$BK$6)="",NA(),INDEX(Daten_Risiken!$A:$ZZ,MATCH($B67&amp;"|Energie- und Rohstoffpreise",Daten_Risiken!$A$1:$A$529,0),$BK$6)),NA()),"")</f>
        <v>28</v>
      </c>
      <c r="AA67" s="50">
        <f>IFERROR(IF(INDEX(Daten_Risiken!$A:$ZZ,MATCH($B67&amp;"|Arbeitskosten",Daten_Risiken!$A$1:$A$529,0),$BK$4)="","",INDEX(Daten_Risiken!$A:$ZZ,MATCH($B67&amp;"|Arbeitskosten",Daten_Risiken!$A$1:$A$529,0),$BK$4)),"")</f>
        <v>39</v>
      </c>
      <c r="AB67" s="49">
        <f>IFERROR(AA67-IFERROR(IF(INDEX(Daten_Risiken!$A:$ZZ,MATCH($B67&amp;"|Arbeitskosten",Daten_Risiken!$A$1:$A$529,0),$BK$5)="",NA(),INDEX(Daten_Risiken!$A:$ZZ,MATCH($B67&amp;"|Arbeitskosten",Daten_Risiken!$A$1:$A$529,0),$BK$5)),NA()),"")</f>
        <v>2</v>
      </c>
      <c r="AC67" s="49">
        <f>IFERROR(AA67-IFERROR(IF(INDEX(Daten_Risiken!$A:$ZZ,MATCH($B67&amp;"|Arbeitskosten",Daten_Risiken!$A$1:$A$529,0),$BK$6)="",NA(),INDEX(Daten_Risiken!$A:$ZZ,MATCH($B67&amp;"|Arbeitskosten",Daten_Risiken!$A$1:$A$529,0),$BK$6)),NA()),"")</f>
        <v>0</v>
      </c>
      <c r="AD67" s="50">
        <f>IFERROR(IF(INDEX(Daten_Risiken!$A:$ZZ,MATCH($B67&amp;"|Inlandsnachfrage",Daten_Risiken!$A$1:$A$529,0),$BK$4)="","",INDEX(Daten_Risiken!$A:$ZZ,MATCH($B67&amp;"|Inlandsnachfrage",Daten_Risiken!$A$1:$A$529,0),$BK$4)),"")</f>
        <v>53</v>
      </c>
      <c r="AE67" s="49">
        <f>IFERROR(AD67-IFERROR(IF(INDEX(Daten_Risiken!$A:$ZZ,MATCH($B67&amp;"|Inlandsnachfrage",Daten_Risiken!$A$1:$A$529,0),$BK$5)="",NA(),INDEX(Daten_Risiken!$A:$ZZ,MATCH($B67&amp;"|Inlandsnachfrage",Daten_Risiken!$A$1:$A$529,0),$BK$5)),NA()),"")</f>
        <v>1</v>
      </c>
      <c r="AF67" s="49">
        <f>IFERROR(AD67-IFERROR(IF(INDEX(Daten_Risiken!$A:$ZZ,MATCH($B67&amp;"|Inlandsnachfrage",Daten_Risiken!$A$1:$A$529,0),$BK$6)="",NA(),INDEX(Daten_Risiken!$A:$ZZ,MATCH($B67&amp;"|Inlandsnachfrage",Daten_Risiken!$A$1:$A$529,0),$BK$6)),NA()),"")</f>
        <v>5</v>
      </c>
      <c r="AG67" s="50">
        <f>IFERROR(IF(INDEX(Daten_Risiken!$A:$ZZ,MATCH($B67&amp;"|Wirtschaftspolitische Rahmenbedingungen",Daten_Risiken!$A$1:$A$529,0),$BK$4)="","",INDEX(Daten_Risiken!$A:$ZZ,MATCH($B67&amp;"|Wirtschaftspolitische Rahmenbedingungen",Daten_Risiken!$A$1:$A$529,0),$BK$4)),"")</f>
        <v>54</v>
      </c>
      <c r="AH67" s="49">
        <f>IFERROR(AG67-IFERROR(IF(INDEX(Daten_Risiken!$A:$ZZ,MATCH($B67&amp;"|Wirtschaftspolitische Rahmenbedingungen",Daten_Risiken!$A$1:$A$529,0),$BK$5)="",NA(),INDEX(Daten_Risiken!$A:$ZZ,MATCH($B67&amp;"|Wirtschaftspolitische Rahmenbedingungen",Daten_Risiken!$A$1:$A$529,0),$BK$5)),NA()),"")</f>
        <v>-4</v>
      </c>
      <c r="AI67" s="49">
        <f>IFERROR(AG67-IFERROR(IF(INDEX(Daten_Risiken!$A:$ZZ,MATCH($B67&amp;"|Wirtschaftspolitische Rahmenbedingungen",Daten_Risiken!$A$1:$A$529,0),$BK$6)="",NA(),INDEX(Daten_Risiken!$A:$ZZ,MATCH($B67&amp;"|Wirtschaftspolitische Rahmenbedingungen",Daten_Risiken!$A$1:$A$529,0),$BK$6)),NA()),"")</f>
        <v>0</v>
      </c>
      <c r="AJ67" s="50">
        <f>IFERROR(IF(INDEX(Daten_Risiken!$A:$ZZ,MATCH($B67&amp;"|Fachkräftemangel",Daten_Risiken!$A$1:$A$529,0),$BK$4)="","",INDEX(Daten_Risiken!$A:$ZZ,MATCH($B67&amp;"|Fachkräftemangel",Daten_Risiken!$A$1:$A$529,0),$BK$4)),"")</f>
        <v>27</v>
      </c>
      <c r="AK67" s="49">
        <f>IFERROR(AJ67-IFERROR(IF(INDEX(Daten_Risiken!$A:$ZZ,MATCH($B67&amp;"|Fachkräftemangel",Daten_Risiken!$A$1:$A$529,0),$BK$5)="",NA(),INDEX(Daten_Risiken!$A:$ZZ,MATCH($B67&amp;"|Fachkräftemangel",Daten_Risiken!$A$1:$A$529,0),$BK$5)),NA()),"")</f>
        <v>-1</v>
      </c>
      <c r="AL67" s="49">
        <f>IFERROR(AJ67-IFERROR(IF(INDEX(Daten_Risiken!$A:$ZZ,MATCH($B67&amp;"|Fachkräftemangel",Daten_Risiken!$A$1:$A$529,0),$BK$6)="",NA(),INDEX(Daten_Risiken!$A:$ZZ,MATCH($B67&amp;"|Fachkräftemangel",Daten_Risiken!$A$1:$A$529,0),$BK$6)),NA()),"")</f>
        <v>-11</v>
      </c>
      <c r="AM67" s="50" t="str">
        <f>IFERROR(IF(INDEX(Daten_Risiken!$A:$ZZ,MATCH($B67&amp;"|Auslandsnachfrage",Daten_Risiken!$A$1:$A$529,0),$BK$4)="","",INDEX(Daten_Risiken!$A:$ZZ,MATCH($B67&amp;"|Auslandsnachfrage",Daten_Risiken!$A$1:$A$529,0),$BK$4)),"")</f>
        <v/>
      </c>
      <c r="AN67" s="49" t="str">
        <f>IFERROR(AM67-IFERROR(IF(INDEX(Daten_Risiken!$A:$ZZ,MATCH($B67&amp;"|Auslandsnachfrage",Daten_Risiken!$A$1:$A$529,0),$BK$5)="",NA(),INDEX(Daten_Risiken!$A:$ZZ,MATCH($B67&amp;"|Auslandsnachfrage",Daten_Risiken!$A$1:$A$529,0),$BK$5)),NA()),"")</f>
        <v/>
      </c>
      <c r="AO67" s="49" t="str">
        <f>IFERROR(AM67-IFERROR(IF(INDEX(Daten_Risiken!$A:$ZZ,MATCH($B67&amp;"|Auslandsnachfrage",Daten_Risiken!$A$1:$A$529,0),$BK$6)="",NA(),INDEX(Daten_Risiken!$A:$ZZ,MATCH($B67&amp;"|Auslandsnachfrage",Daten_Risiken!$A$1:$A$529,0),$BK$6)),NA()),"")</f>
        <v/>
      </c>
      <c r="AP67" s="50">
        <f>IFERROR(IF(INDEX(Daten_Risiken!$A:$ZZ,MATCH($B67&amp;"|Finanzierung",Daten_Risiken!$A$1:$A$529,0),$BK$4)="","",INDEX(Daten_Risiken!$A:$ZZ,MATCH($B67&amp;"|Finanzierung",Daten_Risiken!$A$1:$A$529,0),$BK$4)),"")</f>
        <v>8</v>
      </c>
      <c r="AQ67" s="49">
        <f>IFERROR(AP67-IFERROR(IF(INDEX(Daten_Risiken!$A:$ZZ,MATCH($B67&amp;"|Finanzierung",Daten_Risiken!$A$1:$A$529,0),$BK$5)="",NA(),INDEX(Daten_Risiken!$A:$ZZ,MATCH($B67&amp;"|Finanzierung",Daten_Risiken!$A$1:$A$529,0),$BK$5)),NA()),"")</f>
        <v>1</v>
      </c>
      <c r="AR67" s="49">
        <f>IFERROR(AP67-IFERROR(IF(INDEX(Daten_Risiken!$A:$ZZ,MATCH($B67&amp;"|Finanzierung",Daten_Risiken!$A$1:$A$529,0),$BK$6)="",NA(),INDEX(Daten_Risiken!$A:$ZZ,MATCH($B67&amp;"|Finanzierung",Daten_Risiken!$A$1:$A$529,0),$BK$6)),NA()),"")</f>
        <v>-1</v>
      </c>
      <c r="AS67" s="50" t="str">
        <f>IFERROR(IF(INDEX(Daten_Risiken!$A:$ZZ,MATCH($B67&amp;"|Wechselkurs",Daten_Risiken!$A$1:$A$529,0),$BK$4)="","",INDEX(Daten_Risiken!$A:$ZZ,MATCH($B67&amp;"|Wechselkurs",Daten_Risiken!$A$1:$A$529,0),$BK$4)),"")</f>
        <v/>
      </c>
      <c r="AT67" s="49" t="str">
        <f>IFERROR(AS67-IFERROR(IF(INDEX(Daten_Risiken!$A:$ZZ,MATCH($B67&amp;"|Wechselkurs",Daten_Risiken!$A$1:$A$529,0),$BK$5)="",NA(),INDEX(Daten_Risiken!$A:$ZZ,MATCH($B67&amp;"|Wechselkurs",Daten_Risiken!$A$1:$A$529,0),$BK$5)),NA()),"")</f>
        <v/>
      </c>
      <c r="AU67" s="49" t="str">
        <f>IFERROR(AS67-IFERROR(IF(INDEX(Daten_Risiken!$A:$ZZ,MATCH($B67&amp;"|Wechselkurs",Daten_Risiken!$A$1:$A$529,0),$BK$6)="",NA(),INDEX(Daten_Risiken!$A:$ZZ,MATCH($B67&amp;"|Wechselkurs",Daten_Risiken!$A$1:$A$529,0),$BK$6)),NA()),"")</f>
        <v/>
      </c>
      <c r="AV67" s="50">
        <f>IFERROR(IF(INDEX(Daten_Motive!$A:$ZZ,MATCH($B67&amp;"|Ersatzbedarf",Daten_Motive!$A$1:$A$331,0),$BK$7)="","",INDEX(Daten_Motive!$A:$ZZ,MATCH($B67&amp;"|Ersatzbedarf",Daten_Motive!$A$1:$A$331,0),$BK$7)),"")</f>
        <v>60</v>
      </c>
      <c r="AW67" s="49">
        <f>IFERROR(AV67-IFERROR(IF(INDEX(Daten_Motive!$A:$ZZ,MATCH($B67&amp;"|Ersatzbedarf",Daten_Motive!$A$1:$A$331,0),$BK$8)="",NA(),INDEX(Daten_Motive!$A:$ZZ,MATCH($B67&amp;"|Ersatzbedarf",Daten_Motive!$A$1:$A$331,0),$BK$8)),NA()),"")</f>
        <v>8</v>
      </c>
      <c r="AX67" s="49">
        <f>IFERROR(AV67-IFERROR(IF(INDEX(Daten_Motive!$A:$ZZ,MATCH($B67&amp;"|Ersatzbedarf",Daten_Motive!$A$1:$A$331,0),$BK$9)="",NA(),INDEX(Daten_Motive!$A:$ZZ,MATCH($B67&amp;"|Ersatzbedarf",Daten_Motive!$A$1:$A$331,0),$BK$9)),NA()),"")</f>
        <v>0</v>
      </c>
      <c r="AY67" s="50">
        <f>IFERROR(IF(INDEX(Daten_Motive!$A:$ZZ,MATCH($B67&amp;"|Rationalisierung",Daten_Motive!$A$1:$A$331,0),$BK$7)="","",INDEX(Daten_Motive!$A:$ZZ,MATCH($B67&amp;"|Rationalisierung",Daten_Motive!$A$1:$A$331,0),$BK$7)),"")</f>
        <v>38</v>
      </c>
      <c r="AZ67" s="49">
        <f>IFERROR(AY67-IFERROR(IF(INDEX(Daten_Motive!$A:$ZZ,MATCH($B67&amp;"|Rationalisierung",Daten_Motive!$A$1:$A$331,0),$BK$8)="",NA(),INDEX(Daten_Motive!$A:$ZZ,MATCH($B67&amp;"|Rationalisierung",Daten_Motive!$A$1:$A$331,0),$BK$8)),NA()),"")</f>
        <v>2</v>
      </c>
      <c r="BA67" s="49">
        <f>IFERROR(AY67-IFERROR(IF(INDEX(Daten_Motive!$A:$ZZ,MATCH($B67&amp;"|Rationalisierung",Daten_Motive!$A$1:$A$331,0),$BK$9)="",NA(),INDEX(Daten_Motive!$A:$ZZ,MATCH($B67&amp;"|Rationalisierung",Daten_Motive!$A$1:$A$331,0),$BK$9)),NA()),"")</f>
        <v>15</v>
      </c>
      <c r="BB67" s="50">
        <f>IFERROR(IF(INDEX(Daten_Motive!$A:$ZZ,MATCH($B67&amp;"|Produktinnovation",Daten_Motive!$A$1:$A$331,0),$BK$7)="","",INDEX(Daten_Motive!$A:$ZZ,MATCH($B67&amp;"|Produktinnovation",Daten_Motive!$A$1:$A$331,0),$BK$7)),"")</f>
        <v>28</v>
      </c>
      <c r="BC67" s="49">
        <f>IFERROR(BB67-IFERROR(IF(INDEX(Daten_Motive!$A:$ZZ,MATCH($B67&amp;"|Produktinnovation",Daten_Motive!$A$1:$A$331,0),$BK$8)="",NA(),INDEX(Daten_Motive!$A:$ZZ,MATCH($B67&amp;"|Produktinnovation",Daten_Motive!$A$1:$A$331,0),$BK$8)),NA()),"")</f>
        <v>-9</v>
      </c>
      <c r="BD67" s="49">
        <f>IFERROR(BB67-IFERROR(IF(INDEX(Daten_Motive!$A:$ZZ,MATCH($B67&amp;"|Produktinnovation",Daten_Motive!$A$1:$A$331,0),$BK$9)="",NA(),INDEX(Daten_Motive!$A:$ZZ,MATCH($B67&amp;"|Produktinnovation",Daten_Motive!$A$1:$A$331,0),$BK$9)),NA()),"")</f>
        <v>-4</v>
      </c>
      <c r="BE67" s="50">
        <f>IFERROR(IF(INDEX(Daten_Motive!$A:$ZZ,MATCH($B67&amp;"|Umweltschutz",Daten_Motive!$A$1:$A$331,0),$BK$7)="","",INDEX(Daten_Motive!$A:$ZZ,MATCH($B67&amp;"|Umweltschutz",Daten_Motive!$A$1:$A$331,0),$BK$7)),"")</f>
        <v>10</v>
      </c>
      <c r="BF67" s="49">
        <f>IFERROR(BE67-IFERROR(IF(INDEX(Daten_Motive!$A:$ZZ,MATCH($B67&amp;"|Umweltschutz",Daten_Motive!$A$1:$A$331,0),$BK$8)="",NA(),INDEX(Daten_Motive!$A:$ZZ,MATCH($B67&amp;"|Umweltschutz",Daten_Motive!$A$1:$A$331,0),$BK$8)),NA()),"")</f>
        <v>1</v>
      </c>
      <c r="BG67" s="49">
        <f>IFERROR(BE67-IFERROR(IF(INDEX(Daten_Motive!$A:$ZZ,MATCH($B67&amp;"|Umweltschutz",Daten_Motive!$A$1:$A$331,0),$BK$9)="",NA(),INDEX(Daten_Motive!$A:$ZZ,MATCH($B67&amp;"|Umweltschutz",Daten_Motive!$A$1:$A$331,0),$BK$9)),NA()),"")</f>
        <v>-7</v>
      </c>
      <c r="BH67" s="50">
        <f>IFERROR(IF(INDEX(Daten_Motive!$A:$ZZ,MATCH($B67&amp;"|Kapazitätserweiterung",Daten_Motive!$A$1:$A$331,0),$BK$7)="","",INDEX(Daten_Motive!$A:$ZZ,MATCH($B67&amp;"|Kapazitätserweiterung",Daten_Motive!$A$1:$A$331,0),$BK$7)),"")</f>
        <v>11</v>
      </c>
      <c r="BI67" s="49">
        <f>IFERROR(BH67-IFERROR(IF(INDEX(Daten_Motive!$A:$ZZ,MATCH($B67&amp;"|Kapazitätserweiterung",Daten_Motive!$A$1:$A$331,0),$BK$8)="",NA(),INDEX(Daten_Motive!$A:$ZZ,MATCH($B67&amp;"|Kapazitätserweiterung",Daten_Motive!$A$1:$A$331,0),$BK$8)),NA()),"")</f>
        <v>0</v>
      </c>
      <c r="BJ67" s="49">
        <f>IFERROR(BH67-IFERROR(IF(INDEX(Daten_Motive!$A:$ZZ,MATCH($B67&amp;"|Kapazitätserweiterung",Daten_Motive!$A$1:$A$331,0),$BK$9)="",NA(),INDEX(Daten_Motive!$A:$ZZ,MATCH($B67&amp;"|Kapazitätserweiterung",Daten_Motive!$A$1:$A$331,0),$BK$9)),NA()),"")</f>
        <v>-2</v>
      </c>
    </row>
    <row r="68" spans="1:62" x14ac:dyDescent="0.25">
      <c r="A68" s="42">
        <v>60</v>
      </c>
      <c r="B68" s="52" t="str">
        <f>Listen!A61</f>
        <v>Sicherheitswirtschaft</v>
      </c>
      <c r="C68" s="44" t="s">
        <v>4554</v>
      </c>
      <c r="D68" s="44" t="str">
        <f>Listen!B61</f>
        <v>Dienstleister</v>
      </c>
      <c r="E68" s="45">
        <f>IFERROR(IF(INDEX(Daten_Anteile!$A:$ZZ,MATCH($B68&amp;"|Lage|"&amp;$C$3,Daten_Anteile!$A$1:$A$2971,0),5)="","",INDEX(Daten_Anteile!$A:$ZZ,MATCH($B68&amp;"|Lage|"&amp;$C$3,Daten_Anteile!$A$1:$A$2971,0),5)),"")</f>
        <v>60</v>
      </c>
      <c r="F68" s="46">
        <f t="shared" si="3"/>
        <v>90.1</v>
      </c>
      <c r="G68" s="47">
        <f t="shared" si="4"/>
        <v>0.8</v>
      </c>
      <c r="H68" s="47">
        <f t="shared" si="5"/>
        <v>-10.199999999999999</v>
      </c>
      <c r="I68" s="48">
        <f>IFERROR(IF(INDEX(Daten_Salden!$A:$ZZ,MATCH($B68&amp;"|Lage",Daten_Salden!$A$1:$A$331,0),$BK$1)="","",INDEX(Daten_Salden!$A:$ZZ,MATCH($B68&amp;"|Lage",Daten_Salden!$A$1:$A$331,0),$BK$1)),"")</f>
        <v>4</v>
      </c>
      <c r="J68" s="49">
        <f>IFERROR(I68-IFERROR(IF(INDEX(Daten_Salden!$A:$ZZ,MATCH($B68&amp;"|Lage",Daten_Salden!$A$1:$A$331,0),$BK$2)="",NA(),INDEX(Daten_Salden!$A:$ZZ,MATCH($B68&amp;"|Lage",Daten_Salden!$A$1:$A$331,0),$BK$2)),NA()),"")</f>
        <v>-1</v>
      </c>
      <c r="K68" s="49">
        <f>IFERROR(I68-IFERROR(IF(INDEX(Daten_Salden!$A:$ZZ,MATCH($B68&amp;"|Lage",Daten_Salden!$A$1:$A$331,0),$BK$3)="",NA(),INDEX(Daten_Salden!$A:$ZZ,MATCH($B68&amp;"|Lage",Daten_Salden!$A$1:$A$331,0),$BK$3)),NA()),"")</f>
        <v>-3</v>
      </c>
      <c r="L68" s="48">
        <f>IFERROR(IF(INDEX(Daten_Salden!$A:$ZZ,MATCH($B68&amp;"|Erwartungen",Daten_Salden!$A$1:$A$331,0),$BK$1)="","",INDEX(Daten_Salden!$A:$ZZ,MATCH($B68&amp;"|Erwartungen",Daten_Salden!$A$1:$A$331,0),$BK$1)),"")</f>
        <v>-22</v>
      </c>
      <c r="M68" s="49">
        <f>IFERROR(L68-IFERROR(IF(INDEX(Daten_Salden!$A:$ZZ,MATCH($B68&amp;"|Erwartungen",Daten_Salden!$A$1:$A$331,0),$BK$2)="",NA(),INDEX(Daten_Salden!$A:$ZZ,MATCH($B68&amp;"|Erwartungen",Daten_Salden!$A$1:$A$331,0),$BK$2)),NA()),"")</f>
        <v>2</v>
      </c>
      <c r="N68" s="49">
        <f>IFERROR(L68-IFERROR(IF(INDEX(Daten_Salden!$A:$ZZ,MATCH($B68&amp;"|Erwartungen",Daten_Salden!$A$1:$A$331,0),$BK$3)="",NA(),INDEX(Daten_Salden!$A:$ZZ,MATCH($B68&amp;"|Erwartungen",Daten_Salden!$A$1:$A$331,0),$BK$3)),NA()),"")</f>
        <v>-16</v>
      </c>
      <c r="O68" s="48" t="str">
        <f>IFERROR(IF(INDEX(Daten_Salden!$A:$ZZ,MATCH($B68&amp;"|Export",Daten_Salden!$A$1:$A$331,0),$BK$1)="","",INDEX(Daten_Salden!$A:$ZZ,MATCH($B68&amp;"|Export",Daten_Salden!$A$1:$A$331,0),$BK$1)),"")</f>
        <v/>
      </c>
      <c r="P68" s="49" t="str">
        <f>IFERROR(O68-IFERROR(IF(INDEX(Daten_Salden!$A:$ZZ,MATCH($B68&amp;"|Export",Daten_Salden!$A$1:$A$331,0),$BK$2)="",NA(),INDEX(Daten_Salden!$A:$ZZ,MATCH($B68&amp;"|Export",Daten_Salden!$A$1:$A$331,0),$BK$2)),NA()),"")</f>
        <v/>
      </c>
      <c r="Q68" s="49" t="str">
        <f>IFERROR(O68-IFERROR(IF(INDEX(Daten_Salden!$A:$ZZ,MATCH($B68&amp;"|Export",Daten_Salden!$A$1:$A$331,0),$BK$3)="",NA(),INDEX(Daten_Salden!$A:$ZZ,MATCH($B68&amp;"|Export",Daten_Salden!$A$1:$A$331,0),$BK$3)),NA()),"")</f>
        <v/>
      </c>
      <c r="R68" s="48">
        <f>IFERROR(IF(INDEX(Daten_Salden!$A:$ZZ,MATCH($B68&amp;"|Investitionen",Daten_Salden!$A$1:$A$331,0),$BK$1)="","",INDEX(Daten_Salden!$A:$ZZ,MATCH($B68&amp;"|Investitionen",Daten_Salden!$A$1:$A$331,0),$BK$1)),"")</f>
        <v>-3</v>
      </c>
      <c r="S68" s="49">
        <f>IFERROR(R68-IFERROR(IF(INDEX(Daten_Salden!$A:$ZZ,MATCH($B68&amp;"|Investitionen",Daten_Salden!$A$1:$A$331,0),$BK$2)="",NA(),INDEX(Daten_Salden!$A:$ZZ,MATCH($B68&amp;"|Investitionen",Daten_Salden!$A$1:$A$331,0),$BK$2)),NA()),"")</f>
        <v>-4</v>
      </c>
      <c r="T68" s="49">
        <f>IFERROR(R68-IFERROR(IF(INDEX(Daten_Salden!$A:$ZZ,MATCH($B68&amp;"|Investitionen",Daten_Salden!$A$1:$A$331,0),$BK$3)="",NA(),INDEX(Daten_Salden!$A:$ZZ,MATCH($B68&amp;"|Investitionen",Daten_Salden!$A$1:$A$331,0),$BK$3)),NA()),"")</f>
        <v>-17</v>
      </c>
      <c r="U68" s="48">
        <f>IFERROR(IF(INDEX(Daten_Salden!$A:$ZZ,MATCH($B68&amp;"|Beschäftigung",Daten_Salden!$A$1:$A$331,0),$BK$1)="","",INDEX(Daten_Salden!$A:$ZZ,MATCH($B68&amp;"|Beschäftigung",Daten_Salden!$A$1:$A$331,0),$BK$1)),"")</f>
        <v>-19</v>
      </c>
      <c r="V68" s="49">
        <f>IFERROR(U68-IFERROR(IF(INDEX(Daten_Salden!$A:$ZZ,MATCH($B68&amp;"|Beschäftigung",Daten_Salden!$A$1:$A$331,0),$BK$2)="",NA(),INDEX(Daten_Salden!$A:$ZZ,MATCH($B68&amp;"|Beschäftigung",Daten_Salden!$A$1:$A$331,0),$BK$2)),NA()),"")</f>
        <v>-6</v>
      </c>
      <c r="W68" s="49">
        <f>IFERROR(U68-IFERROR(IF(INDEX(Daten_Salden!$A:$ZZ,MATCH($B68&amp;"|Beschäftigung",Daten_Salden!$A$1:$A$331,0),$BK$3)="",NA(),INDEX(Daten_Salden!$A:$ZZ,MATCH($B68&amp;"|Beschäftigung",Daten_Salden!$A$1:$A$331,0),$BK$3)),NA()),"")</f>
        <v>-29</v>
      </c>
      <c r="X68" s="50">
        <f>IFERROR(IF(INDEX(Daten_Risiken!$A:$ZZ,MATCH($B68&amp;"|Energie- und Rohstoffpreise",Daten_Risiken!$A$1:$A$529,0),$BK$4)="","",INDEX(Daten_Risiken!$A:$ZZ,MATCH($B68&amp;"|Energie- und Rohstoffpreise",Daten_Risiken!$A$1:$A$529,0),$BK$4)),"")</f>
        <v>58</v>
      </c>
      <c r="Y68" s="49">
        <f>IFERROR(X68-IFERROR(IF(INDEX(Daten_Risiken!$A:$ZZ,MATCH($B68&amp;"|Energie- und Rohstoffpreise",Daten_Risiken!$A$1:$A$529,0),$BK$5)="",NA(),INDEX(Daten_Risiken!$A:$ZZ,MATCH($B68&amp;"|Energie- und Rohstoffpreise",Daten_Risiken!$A$1:$A$529,0),$BK$5)),NA()),"")</f>
        <v>4</v>
      </c>
      <c r="Z68" s="49">
        <f>IFERROR(X68-IFERROR(IF(INDEX(Daten_Risiken!$A:$ZZ,MATCH($B68&amp;"|Energie- und Rohstoffpreise",Daten_Risiken!$A$1:$A$529,0),$BK$6)="",NA(),INDEX(Daten_Risiken!$A:$ZZ,MATCH($B68&amp;"|Energie- und Rohstoffpreise",Daten_Risiken!$A$1:$A$529,0),$BK$6)),NA()),"")</f>
        <v>15</v>
      </c>
      <c r="AA68" s="50">
        <f>IFERROR(IF(INDEX(Daten_Risiken!$A:$ZZ,MATCH($B68&amp;"|Arbeitskosten",Daten_Risiken!$A$1:$A$529,0),$BK$4)="","",INDEX(Daten_Risiken!$A:$ZZ,MATCH($B68&amp;"|Arbeitskosten",Daten_Risiken!$A$1:$A$529,0),$BK$4)),"")</f>
        <v>73</v>
      </c>
      <c r="AB68" s="49">
        <f>IFERROR(AA68-IFERROR(IF(INDEX(Daten_Risiken!$A:$ZZ,MATCH($B68&amp;"|Arbeitskosten",Daten_Risiken!$A$1:$A$529,0),$BK$5)="",NA(),INDEX(Daten_Risiken!$A:$ZZ,MATCH($B68&amp;"|Arbeitskosten",Daten_Risiken!$A$1:$A$529,0),$BK$5)),NA()),"")</f>
        <v>4</v>
      </c>
      <c r="AC68" s="49">
        <f>IFERROR(AA68-IFERROR(IF(INDEX(Daten_Risiken!$A:$ZZ,MATCH($B68&amp;"|Arbeitskosten",Daten_Risiken!$A$1:$A$529,0),$BK$6)="",NA(),INDEX(Daten_Risiken!$A:$ZZ,MATCH($B68&amp;"|Arbeitskosten",Daten_Risiken!$A$1:$A$529,0),$BK$6)),NA()),"")</f>
        <v>-10</v>
      </c>
      <c r="AD68" s="50">
        <f>IFERROR(IF(INDEX(Daten_Risiken!$A:$ZZ,MATCH($B68&amp;"|Inlandsnachfrage",Daten_Risiken!$A$1:$A$529,0),$BK$4)="","",INDEX(Daten_Risiken!$A:$ZZ,MATCH($B68&amp;"|Inlandsnachfrage",Daten_Risiken!$A$1:$A$529,0),$BK$4)),"")</f>
        <v>40</v>
      </c>
      <c r="AE68" s="49">
        <f>IFERROR(AD68-IFERROR(IF(INDEX(Daten_Risiken!$A:$ZZ,MATCH($B68&amp;"|Inlandsnachfrage",Daten_Risiken!$A$1:$A$529,0),$BK$5)="",NA(),INDEX(Daten_Risiken!$A:$ZZ,MATCH($B68&amp;"|Inlandsnachfrage",Daten_Risiken!$A$1:$A$529,0),$BK$5)),NA()),"")</f>
        <v>-11</v>
      </c>
      <c r="AF68" s="49">
        <f>IFERROR(AD68-IFERROR(IF(INDEX(Daten_Risiken!$A:$ZZ,MATCH($B68&amp;"|Inlandsnachfrage",Daten_Risiken!$A$1:$A$529,0),$BK$6)="",NA(),INDEX(Daten_Risiken!$A:$ZZ,MATCH($B68&amp;"|Inlandsnachfrage",Daten_Risiken!$A$1:$A$529,0),$BK$6)),NA()),"")</f>
        <v>-15</v>
      </c>
      <c r="AG68" s="50">
        <f>IFERROR(IF(INDEX(Daten_Risiken!$A:$ZZ,MATCH($B68&amp;"|Wirtschaftspolitische Rahmenbedingungen",Daten_Risiken!$A$1:$A$529,0),$BK$4)="","",INDEX(Daten_Risiken!$A:$ZZ,MATCH($B68&amp;"|Wirtschaftspolitische Rahmenbedingungen",Daten_Risiken!$A$1:$A$529,0),$BK$4)),"")</f>
        <v>49</v>
      </c>
      <c r="AH68" s="49">
        <f>IFERROR(AG68-IFERROR(IF(INDEX(Daten_Risiken!$A:$ZZ,MATCH($B68&amp;"|Wirtschaftspolitische Rahmenbedingungen",Daten_Risiken!$A$1:$A$529,0),$BK$5)="",NA(),INDEX(Daten_Risiken!$A:$ZZ,MATCH($B68&amp;"|Wirtschaftspolitische Rahmenbedingungen",Daten_Risiken!$A$1:$A$529,0),$BK$5)),NA()),"")</f>
        <v>3</v>
      </c>
      <c r="AI68" s="49">
        <f>IFERROR(AG68-IFERROR(IF(INDEX(Daten_Risiken!$A:$ZZ,MATCH($B68&amp;"|Wirtschaftspolitische Rahmenbedingungen",Daten_Risiken!$A$1:$A$529,0),$BK$6)="",NA(),INDEX(Daten_Risiken!$A:$ZZ,MATCH($B68&amp;"|Wirtschaftspolitische Rahmenbedingungen",Daten_Risiken!$A$1:$A$529,0),$BK$6)),NA()),"")</f>
        <v>11</v>
      </c>
      <c r="AJ68" s="50">
        <f>IFERROR(IF(INDEX(Daten_Risiken!$A:$ZZ,MATCH($B68&amp;"|Fachkräftemangel",Daten_Risiken!$A$1:$A$529,0),$BK$4)="","",INDEX(Daten_Risiken!$A:$ZZ,MATCH($B68&amp;"|Fachkräftemangel",Daten_Risiken!$A$1:$A$529,0),$BK$4)),"")</f>
        <v>51</v>
      </c>
      <c r="AK68" s="49">
        <f>IFERROR(AJ68-IFERROR(IF(INDEX(Daten_Risiken!$A:$ZZ,MATCH($B68&amp;"|Fachkräftemangel",Daten_Risiken!$A$1:$A$529,0),$BK$5)="",NA(),INDEX(Daten_Risiken!$A:$ZZ,MATCH($B68&amp;"|Fachkräftemangel",Daten_Risiken!$A$1:$A$529,0),$BK$5)),NA()),"")</f>
        <v>-7</v>
      </c>
      <c r="AL68" s="49">
        <f>IFERROR(AJ68-IFERROR(IF(INDEX(Daten_Risiken!$A:$ZZ,MATCH($B68&amp;"|Fachkräftemangel",Daten_Risiken!$A$1:$A$529,0),$BK$6)="",NA(),INDEX(Daten_Risiken!$A:$ZZ,MATCH($B68&amp;"|Fachkräftemangel",Daten_Risiken!$A$1:$A$529,0),$BK$6)),NA()),"")</f>
        <v>-22</v>
      </c>
      <c r="AM68" s="50" t="str">
        <f>IFERROR(IF(INDEX(Daten_Risiken!$A:$ZZ,MATCH($B68&amp;"|Auslandsnachfrage",Daten_Risiken!$A$1:$A$529,0),$BK$4)="","",INDEX(Daten_Risiken!$A:$ZZ,MATCH($B68&amp;"|Auslandsnachfrage",Daten_Risiken!$A$1:$A$529,0),$BK$4)),"")</f>
        <v/>
      </c>
      <c r="AN68" s="49" t="str">
        <f>IFERROR(AM68-IFERROR(IF(INDEX(Daten_Risiken!$A:$ZZ,MATCH($B68&amp;"|Auslandsnachfrage",Daten_Risiken!$A$1:$A$529,0),$BK$5)="",NA(),INDEX(Daten_Risiken!$A:$ZZ,MATCH($B68&amp;"|Auslandsnachfrage",Daten_Risiken!$A$1:$A$529,0),$BK$5)),NA()),"")</f>
        <v/>
      </c>
      <c r="AO68" s="49" t="str">
        <f>IFERROR(AM68-IFERROR(IF(INDEX(Daten_Risiken!$A:$ZZ,MATCH($B68&amp;"|Auslandsnachfrage",Daten_Risiken!$A$1:$A$529,0),$BK$6)="",NA(),INDEX(Daten_Risiken!$A:$ZZ,MATCH($B68&amp;"|Auslandsnachfrage",Daten_Risiken!$A$1:$A$529,0),$BK$6)),NA()),"")</f>
        <v/>
      </c>
      <c r="AP68" s="50">
        <f>IFERROR(IF(INDEX(Daten_Risiken!$A:$ZZ,MATCH($B68&amp;"|Finanzierung",Daten_Risiken!$A$1:$A$529,0),$BK$4)="","",INDEX(Daten_Risiken!$A:$ZZ,MATCH($B68&amp;"|Finanzierung",Daten_Risiken!$A$1:$A$529,0),$BK$4)),"")</f>
        <v>12</v>
      </c>
      <c r="AQ68" s="49">
        <f>IFERROR(AP68-IFERROR(IF(INDEX(Daten_Risiken!$A:$ZZ,MATCH($B68&amp;"|Finanzierung",Daten_Risiken!$A$1:$A$529,0),$BK$5)="",NA(),INDEX(Daten_Risiken!$A:$ZZ,MATCH($B68&amp;"|Finanzierung",Daten_Risiken!$A$1:$A$529,0),$BK$5)),NA()),"")</f>
        <v>3</v>
      </c>
      <c r="AR68" s="49">
        <f>IFERROR(AP68-IFERROR(IF(INDEX(Daten_Risiken!$A:$ZZ,MATCH($B68&amp;"|Finanzierung",Daten_Risiken!$A$1:$A$529,0),$BK$6)="",NA(),INDEX(Daten_Risiken!$A:$ZZ,MATCH($B68&amp;"|Finanzierung",Daten_Risiken!$A$1:$A$529,0),$BK$6)),NA()),"")</f>
        <v>-3</v>
      </c>
      <c r="AS68" s="50" t="str">
        <f>IFERROR(IF(INDEX(Daten_Risiken!$A:$ZZ,MATCH($B68&amp;"|Wechselkurs",Daten_Risiken!$A$1:$A$529,0),$BK$4)="","",INDEX(Daten_Risiken!$A:$ZZ,MATCH($B68&amp;"|Wechselkurs",Daten_Risiken!$A$1:$A$529,0),$BK$4)),"")</f>
        <v/>
      </c>
      <c r="AT68" s="49" t="str">
        <f>IFERROR(AS68-IFERROR(IF(INDEX(Daten_Risiken!$A:$ZZ,MATCH($B68&amp;"|Wechselkurs",Daten_Risiken!$A$1:$A$529,0),$BK$5)="",NA(),INDEX(Daten_Risiken!$A:$ZZ,MATCH($B68&amp;"|Wechselkurs",Daten_Risiken!$A$1:$A$529,0),$BK$5)),NA()),"")</f>
        <v/>
      </c>
      <c r="AU68" s="49" t="str">
        <f>IFERROR(AS68-IFERROR(IF(INDEX(Daten_Risiken!$A:$ZZ,MATCH($B68&amp;"|Wechselkurs",Daten_Risiken!$A$1:$A$529,0),$BK$6)="",NA(),INDEX(Daten_Risiken!$A:$ZZ,MATCH($B68&amp;"|Wechselkurs",Daten_Risiken!$A$1:$A$529,0),$BK$6)),NA()),"")</f>
        <v/>
      </c>
      <c r="AV68" s="50">
        <f>IFERROR(IF(INDEX(Daten_Motive!$A:$ZZ,MATCH($B68&amp;"|Ersatzbedarf",Daten_Motive!$A$1:$A$331,0),$BK$7)="","",INDEX(Daten_Motive!$A:$ZZ,MATCH($B68&amp;"|Ersatzbedarf",Daten_Motive!$A$1:$A$331,0),$BK$7)),"")</f>
        <v>54</v>
      </c>
      <c r="AW68" s="49">
        <f>IFERROR(AV68-IFERROR(IF(INDEX(Daten_Motive!$A:$ZZ,MATCH($B68&amp;"|Ersatzbedarf",Daten_Motive!$A$1:$A$331,0),$BK$8)="",NA(),INDEX(Daten_Motive!$A:$ZZ,MATCH($B68&amp;"|Ersatzbedarf",Daten_Motive!$A$1:$A$331,0),$BK$8)),NA()),"")</f>
        <v>5</v>
      </c>
      <c r="AX68" s="49">
        <f>IFERROR(AV68-IFERROR(IF(INDEX(Daten_Motive!$A:$ZZ,MATCH($B68&amp;"|Ersatzbedarf",Daten_Motive!$A$1:$A$331,0),$BK$9)="",NA(),INDEX(Daten_Motive!$A:$ZZ,MATCH($B68&amp;"|Ersatzbedarf",Daten_Motive!$A$1:$A$331,0),$BK$9)),NA()),"")</f>
        <v>-4</v>
      </c>
      <c r="AY68" s="50">
        <f>IFERROR(IF(INDEX(Daten_Motive!$A:$ZZ,MATCH($B68&amp;"|Rationalisierung",Daten_Motive!$A$1:$A$331,0),$BK$7)="","",INDEX(Daten_Motive!$A:$ZZ,MATCH($B68&amp;"|Rationalisierung",Daten_Motive!$A$1:$A$331,0),$BK$7)),"")</f>
        <v>40</v>
      </c>
      <c r="AZ68" s="49">
        <f>IFERROR(AY68-IFERROR(IF(INDEX(Daten_Motive!$A:$ZZ,MATCH($B68&amp;"|Rationalisierung",Daten_Motive!$A$1:$A$331,0),$BK$8)="",NA(),INDEX(Daten_Motive!$A:$ZZ,MATCH($B68&amp;"|Rationalisierung",Daten_Motive!$A$1:$A$331,0),$BK$8)),NA()),"")</f>
        <v>10</v>
      </c>
      <c r="BA68" s="49">
        <f>IFERROR(AY68-IFERROR(IF(INDEX(Daten_Motive!$A:$ZZ,MATCH($B68&amp;"|Rationalisierung",Daten_Motive!$A$1:$A$331,0),$BK$9)="",NA(),INDEX(Daten_Motive!$A:$ZZ,MATCH($B68&amp;"|Rationalisierung",Daten_Motive!$A$1:$A$331,0),$BK$9)),NA()),"")</f>
        <v>17</v>
      </c>
      <c r="BB68" s="50">
        <f>IFERROR(IF(INDEX(Daten_Motive!$A:$ZZ,MATCH($B68&amp;"|Produktinnovation",Daten_Motive!$A$1:$A$331,0),$BK$7)="","",INDEX(Daten_Motive!$A:$ZZ,MATCH($B68&amp;"|Produktinnovation",Daten_Motive!$A$1:$A$331,0),$BK$7)),"")</f>
        <v>40</v>
      </c>
      <c r="BC68" s="49">
        <f>IFERROR(BB68-IFERROR(IF(INDEX(Daten_Motive!$A:$ZZ,MATCH($B68&amp;"|Produktinnovation",Daten_Motive!$A$1:$A$331,0),$BK$8)="",NA(),INDEX(Daten_Motive!$A:$ZZ,MATCH($B68&amp;"|Produktinnovation",Daten_Motive!$A$1:$A$331,0),$BK$8)),NA()),"")</f>
        <v>21</v>
      </c>
      <c r="BD68" s="49">
        <f>IFERROR(BB68-IFERROR(IF(INDEX(Daten_Motive!$A:$ZZ,MATCH($B68&amp;"|Produktinnovation",Daten_Motive!$A$1:$A$331,0),$BK$9)="",NA(),INDEX(Daten_Motive!$A:$ZZ,MATCH($B68&amp;"|Produktinnovation",Daten_Motive!$A$1:$A$331,0),$BK$9)),NA()),"")</f>
        <v>-5</v>
      </c>
      <c r="BE68" s="50">
        <f>IFERROR(IF(INDEX(Daten_Motive!$A:$ZZ,MATCH($B68&amp;"|Umweltschutz",Daten_Motive!$A$1:$A$331,0),$BK$7)="","",INDEX(Daten_Motive!$A:$ZZ,MATCH($B68&amp;"|Umweltschutz",Daten_Motive!$A$1:$A$331,0),$BK$7)),"")</f>
        <v>20</v>
      </c>
      <c r="BF68" s="49">
        <f>IFERROR(BE68-IFERROR(IF(INDEX(Daten_Motive!$A:$ZZ,MATCH($B68&amp;"|Umweltschutz",Daten_Motive!$A$1:$A$331,0),$BK$8)="",NA(),INDEX(Daten_Motive!$A:$ZZ,MATCH($B68&amp;"|Umweltschutz",Daten_Motive!$A$1:$A$331,0),$BK$8)),NA()),"")</f>
        <v>10</v>
      </c>
      <c r="BG68" s="49">
        <f>IFERROR(BE68-IFERROR(IF(INDEX(Daten_Motive!$A:$ZZ,MATCH($B68&amp;"|Umweltschutz",Daten_Motive!$A$1:$A$331,0),$BK$9)="",NA(),INDEX(Daten_Motive!$A:$ZZ,MATCH($B68&amp;"|Umweltschutz",Daten_Motive!$A$1:$A$331,0),$BK$9)),NA()),"")</f>
        <v>2</v>
      </c>
      <c r="BH68" s="50">
        <f>IFERROR(IF(INDEX(Daten_Motive!$A:$ZZ,MATCH($B68&amp;"|Kapazitätserweiterung",Daten_Motive!$A$1:$A$331,0),$BK$7)="","",INDEX(Daten_Motive!$A:$ZZ,MATCH($B68&amp;"|Kapazitätserweiterung",Daten_Motive!$A$1:$A$331,0),$BK$7)),"")</f>
        <v>19</v>
      </c>
      <c r="BI68" s="49">
        <f>IFERROR(BH68-IFERROR(IF(INDEX(Daten_Motive!$A:$ZZ,MATCH($B68&amp;"|Kapazitätserweiterung",Daten_Motive!$A$1:$A$331,0),$BK$8)="",NA(),INDEX(Daten_Motive!$A:$ZZ,MATCH($B68&amp;"|Kapazitätserweiterung",Daten_Motive!$A$1:$A$331,0),$BK$8)),NA()),"")</f>
        <v>-18</v>
      </c>
      <c r="BJ68" s="49">
        <f>IFERROR(BH68-IFERROR(IF(INDEX(Daten_Motive!$A:$ZZ,MATCH($B68&amp;"|Kapazitätserweiterung",Daten_Motive!$A$1:$A$331,0),$BK$9)="",NA(),INDEX(Daten_Motive!$A:$ZZ,MATCH($B68&amp;"|Kapazitätserweiterung",Daten_Motive!$A$1:$A$331,0),$BK$9)),NA()),"")</f>
        <v>-5</v>
      </c>
    </row>
    <row r="69" spans="1:62" x14ac:dyDescent="0.25">
      <c r="A69" s="42">
        <v>61</v>
      </c>
      <c r="B69" s="52" t="str">
        <f>Listen!A62</f>
        <v>Gebäudebetreuung, Garten- und Landschaftsbau</v>
      </c>
      <c r="C69" s="44" t="s">
        <v>4555</v>
      </c>
      <c r="D69" s="44" t="str">
        <f>Listen!B62</f>
        <v>Dienstleister</v>
      </c>
      <c r="E69" s="45">
        <f>IFERROR(IF(INDEX(Daten_Anteile!$A:$ZZ,MATCH($B69&amp;"|Lage|"&amp;$C$3,Daten_Anteile!$A$1:$A$2971,0),5)="","",INDEX(Daten_Anteile!$A:$ZZ,MATCH($B69&amp;"|Lage|"&amp;$C$3,Daten_Anteile!$A$1:$A$2971,0),5)),"")</f>
        <v>269</v>
      </c>
      <c r="F69" s="46">
        <f t="shared" si="3"/>
        <v>101.7</v>
      </c>
      <c r="G69" s="47">
        <f t="shared" si="4"/>
        <v>10</v>
      </c>
      <c r="H69" s="47">
        <f t="shared" si="5"/>
        <v>2.5</v>
      </c>
      <c r="I69" s="48">
        <f>IFERROR(IF(INDEX(Daten_Salden!$A:$ZZ,MATCH($B69&amp;"|Lage",Daten_Salden!$A$1:$A$331,0),$BK$1)="","",INDEX(Daten_Salden!$A:$ZZ,MATCH($B69&amp;"|Lage",Daten_Salden!$A$1:$A$331,0),$BK$1)),"")</f>
        <v>19</v>
      </c>
      <c r="J69" s="49">
        <f>IFERROR(I69-IFERROR(IF(INDEX(Daten_Salden!$A:$ZZ,MATCH($B69&amp;"|Lage",Daten_Salden!$A$1:$A$331,0),$BK$2)="",NA(),INDEX(Daten_Salden!$A:$ZZ,MATCH($B69&amp;"|Lage",Daten_Salden!$A$1:$A$331,0),$BK$2)),NA()),"")</f>
        <v>7</v>
      </c>
      <c r="K69" s="49">
        <f>IFERROR(I69-IFERROR(IF(INDEX(Daten_Salden!$A:$ZZ,MATCH($B69&amp;"|Lage",Daten_Salden!$A$1:$A$331,0),$BK$3)="",NA(),INDEX(Daten_Salden!$A:$ZZ,MATCH($B69&amp;"|Lage",Daten_Salden!$A$1:$A$331,0),$BK$3)),NA()),"")</f>
        <v>-1</v>
      </c>
      <c r="L69" s="48">
        <f>IFERROR(IF(INDEX(Daten_Salden!$A:$ZZ,MATCH($B69&amp;"|Erwartungen",Daten_Salden!$A$1:$A$331,0),$BK$1)="","",INDEX(Daten_Salden!$A:$ZZ,MATCH($B69&amp;"|Erwartungen",Daten_Salden!$A$1:$A$331,0),$BK$1)),"")</f>
        <v>-13</v>
      </c>
      <c r="M69" s="49">
        <f>IFERROR(L69-IFERROR(IF(INDEX(Daten_Salden!$A:$ZZ,MATCH($B69&amp;"|Erwartungen",Daten_Salden!$A$1:$A$331,0),$BK$2)="",NA(),INDEX(Daten_Salden!$A:$ZZ,MATCH($B69&amp;"|Erwartungen",Daten_Salden!$A$1:$A$331,0),$BK$2)),NA()),"")</f>
        <v>12</v>
      </c>
      <c r="N69" s="49">
        <f>IFERROR(L69-IFERROR(IF(INDEX(Daten_Salden!$A:$ZZ,MATCH($B69&amp;"|Erwartungen",Daten_Salden!$A$1:$A$331,0),$BK$3)="",NA(),INDEX(Daten_Salden!$A:$ZZ,MATCH($B69&amp;"|Erwartungen",Daten_Salden!$A$1:$A$331,0),$BK$3)),NA()),"")</f>
        <v>5</v>
      </c>
      <c r="O69" s="48" t="str">
        <f>IFERROR(IF(INDEX(Daten_Salden!$A:$ZZ,MATCH($B69&amp;"|Export",Daten_Salden!$A$1:$A$331,0),$BK$1)="","",INDEX(Daten_Salden!$A:$ZZ,MATCH($B69&amp;"|Export",Daten_Salden!$A$1:$A$331,0),$BK$1)),"")</f>
        <v/>
      </c>
      <c r="P69" s="49" t="str">
        <f>IFERROR(O69-IFERROR(IF(INDEX(Daten_Salden!$A:$ZZ,MATCH($B69&amp;"|Export",Daten_Salden!$A$1:$A$331,0),$BK$2)="",NA(),INDEX(Daten_Salden!$A:$ZZ,MATCH($B69&amp;"|Export",Daten_Salden!$A$1:$A$331,0),$BK$2)),NA()),"")</f>
        <v/>
      </c>
      <c r="Q69" s="49" t="str">
        <f>IFERROR(O69-IFERROR(IF(INDEX(Daten_Salden!$A:$ZZ,MATCH($B69&amp;"|Export",Daten_Salden!$A$1:$A$331,0),$BK$3)="",NA(),INDEX(Daten_Salden!$A:$ZZ,MATCH($B69&amp;"|Export",Daten_Salden!$A$1:$A$331,0),$BK$3)),NA()),"")</f>
        <v/>
      </c>
      <c r="R69" s="48">
        <f>IFERROR(IF(INDEX(Daten_Salden!$A:$ZZ,MATCH($B69&amp;"|Investitionen",Daten_Salden!$A$1:$A$331,0),$BK$1)="","",INDEX(Daten_Salden!$A:$ZZ,MATCH($B69&amp;"|Investitionen",Daten_Salden!$A$1:$A$331,0),$BK$1)),"")</f>
        <v>-7</v>
      </c>
      <c r="S69" s="49">
        <f>IFERROR(R69-IFERROR(IF(INDEX(Daten_Salden!$A:$ZZ,MATCH($B69&amp;"|Investitionen",Daten_Salden!$A$1:$A$331,0),$BK$2)="",NA(),INDEX(Daten_Salden!$A:$ZZ,MATCH($B69&amp;"|Investitionen",Daten_Salden!$A$1:$A$331,0),$BK$2)),NA()),"")</f>
        <v>-11</v>
      </c>
      <c r="T69" s="49">
        <f>IFERROR(R69-IFERROR(IF(INDEX(Daten_Salden!$A:$ZZ,MATCH($B69&amp;"|Investitionen",Daten_Salden!$A$1:$A$331,0),$BK$3)="",NA(),INDEX(Daten_Salden!$A:$ZZ,MATCH($B69&amp;"|Investitionen",Daten_Salden!$A$1:$A$331,0),$BK$3)),NA()),"")</f>
        <v>-7</v>
      </c>
      <c r="U69" s="48">
        <f>IFERROR(IF(INDEX(Daten_Salden!$A:$ZZ,MATCH($B69&amp;"|Beschäftigung",Daten_Salden!$A$1:$A$331,0),$BK$1)="","",INDEX(Daten_Salden!$A:$ZZ,MATCH($B69&amp;"|Beschäftigung",Daten_Salden!$A$1:$A$331,0),$BK$1)),"")</f>
        <v>-14</v>
      </c>
      <c r="V69" s="49">
        <f>IFERROR(U69-IFERROR(IF(INDEX(Daten_Salden!$A:$ZZ,MATCH($B69&amp;"|Beschäftigung",Daten_Salden!$A$1:$A$331,0),$BK$2)="",NA(),INDEX(Daten_Salden!$A:$ZZ,MATCH($B69&amp;"|Beschäftigung",Daten_Salden!$A$1:$A$331,0),$BK$2)),NA()),"")</f>
        <v>1</v>
      </c>
      <c r="W69" s="49">
        <f>IFERROR(U69-IFERROR(IF(INDEX(Daten_Salden!$A:$ZZ,MATCH($B69&amp;"|Beschäftigung",Daten_Salden!$A$1:$A$331,0),$BK$3)="",NA(),INDEX(Daten_Salden!$A:$ZZ,MATCH($B69&amp;"|Beschäftigung",Daten_Salden!$A$1:$A$331,0),$BK$3)),NA()),"")</f>
        <v>-3</v>
      </c>
      <c r="X69" s="50">
        <f>IFERROR(IF(INDEX(Daten_Risiken!$A:$ZZ,MATCH($B69&amp;"|Energie- und Rohstoffpreise",Daten_Risiken!$A$1:$A$529,0),$BK$4)="","",INDEX(Daten_Risiken!$A:$ZZ,MATCH($B69&amp;"|Energie- und Rohstoffpreise",Daten_Risiken!$A$1:$A$529,0),$BK$4)),"")</f>
        <v>72</v>
      </c>
      <c r="Y69" s="49">
        <f>IFERROR(X69-IFERROR(IF(INDEX(Daten_Risiken!$A:$ZZ,MATCH($B69&amp;"|Energie- und Rohstoffpreise",Daten_Risiken!$A$1:$A$529,0),$BK$5)="",NA(),INDEX(Daten_Risiken!$A:$ZZ,MATCH($B69&amp;"|Energie- und Rohstoffpreise",Daten_Risiken!$A$1:$A$529,0),$BK$5)),NA()),"")</f>
        <v>-10</v>
      </c>
      <c r="Z69" s="49">
        <f>IFERROR(X69-IFERROR(IF(INDEX(Daten_Risiken!$A:$ZZ,MATCH($B69&amp;"|Energie- und Rohstoffpreise",Daten_Risiken!$A$1:$A$529,0),$BK$6)="",NA(),INDEX(Daten_Risiken!$A:$ZZ,MATCH($B69&amp;"|Energie- und Rohstoffpreise",Daten_Risiken!$A$1:$A$529,0),$BK$6)),NA()),"")</f>
        <v>25</v>
      </c>
      <c r="AA69" s="50">
        <f>IFERROR(IF(INDEX(Daten_Risiken!$A:$ZZ,MATCH($B69&amp;"|Arbeitskosten",Daten_Risiken!$A$1:$A$529,0),$BK$4)="","",INDEX(Daten_Risiken!$A:$ZZ,MATCH($B69&amp;"|Arbeitskosten",Daten_Risiken!$A$1:$A$529,0),$BK$4)),"")</f>
        <v>67</v>
      </c>
      <c r="AB69" s="49">
        <f>IFERROR(AA69-IFERROR(IF(INDEX(Daten_Risiken!$A:$ZZ,MATCH($B69&amp;"|Arbeitskosten",Daten_Risiken!$A$1:$A$529,0),$BK$5)="",NA(),INDEX(Daten_Risiken!$A:$ZZ,MATCH($B69&amp;"|Arbeitskosten",Daten_Risiken!$A$1:$A$529,0),$BK$5)),NA()),"")</f>
        <v>-2</v>
      </c>
      <c r="AC69" s="49">
        <f>IFERROR(AA69-IFERROR(IF(INDEX(Daten_Risiken!$A:$ZZ,MATCH($B69&amp;"|Arbeitskosten",Daten_Risiken!$A$1:$A$529,0),$BK$6)="",NA(),INDEX(Daten_Risiken!$A:$ZZ,MATCH($B69&amp;"|Arbeitskosten",Daten_Risiken!$A$1:$A$529,0),$BK$6)),NA()),"")</f>
        <v>2</v>
      </c>
      <c r="AD69" s="50">
        <f>IFERROR(IF(INDEX(Daten_Risiken!$A:$ZZ,MATCH($B69&amp;"|Inlandsnachfrage",Daten_Risiken!$A$1:$A$529,0),$BK$4)="","",INDEX(Daten_Risiken!$A:$ZZ,MATCH($B69&amp;"|Inlandsnachfrage",Daten_Risiken!$A$1:$A$529,0),$BK$4)),"")</f>
        <v>32</v>
      </c>
      <c r="AE69" s="49">
        <f>IFERROR(AD69-IFERROR(IF(INDEX(Daten_Risiken!$A:$ZZ,MATCH($B69&amp;"|Inlandsnachfrage",Daten_Risiken!$A$1:$A$529,0),$BK$5)="",NA(),INDEX(Daten_Risiken!$A:$ZZ,MATCH($B69&amp;"|Inlandsnachfrage",Daten_Risiken!$A$1:$A$529,0),$BK$5)),NA()),"")</f>
        <v>-11</v>
      </c>
      <c r="AF69" s="49">
        <f>IFERROR(AD69-IFERROR(IF(INDEX(Daten_Risiken!$A:$ZZ,MATCH($B69&amp;"|Inlandsnachfrage",Daten_Risiken!$A$1:$A$529,0),$BK$6)="",NA(),INDEX(Daten_Risiken!$A:$ZZ,MATCH($B69&amp;"|Inlandsnachfrage",Daten_Risiken!$A$1:$A$529,0),$BK$6)),NA()),"")</f>
        <v>-5</v>
      </c>
      <c r="AG69" s="50">
        <f>IFERROR(IF(INDEX(Daten_Risiken!$A:$ZZ,MATCH($B69&amp;"|Wirtschaftspolitische Rahmenbedingungen",Daten_Risiken!$A$1:$A$529,0),$BK$4)="","",INDEX(Daten_Risiken!$A:$ZZ,MATCH($B69&amp;"|Wirtschaftspolitische Rahmenbedingungen",Daten_Risiken!$A$1:$A$529,0),$BK$4)),"")</f>
        <v>52</v>
      </c>
      <c r="AH69" s="49">
        <f>IFERROR(AG69-IFERROR(IF(INDEX(Daten_Risiken!$A:$ZZ,MATCH($B69&amp;"|Wirtschaftspolitische Rahmenbedingungen",Daten_Risiken!$A$1:$A$529,0),$BK$5)="",NA(),INDEX(Daten_Risiken!$A:$ZZ,MATCH($B69&amp;"|Wirtschaftspolitische Rahmenbedingungen",Daten_Risiken!$A$1:$A$529,0),$BK$5)),NA()),"")</f>
        <v>5</v>
      </c>
      <c r="AI69" s="49">
        <f>IFERROR(AG69-IFERROR(IF(INDEX(Daten_Risiken!$A:$ZZ,MATCH($B69&amp;"|Wirtschaftspolitische Rahmenbedingungen",Daten_Risiken!$A$1:$A$529,0),$BK$6)="",NA(),INDEX(Daten_Risiken!$A:$ZZ,MATCH($B69&amp;"|Wirtschaftspolitische Rahmenbedingungen",Daten_Risiken!$A$1:$A$529,0),$BK$6)),NA()),"")</f>
        <v>-1</v>
      </c>
      <c r="AJ69" s="50">
        <f>IFERROR(IF(INDEX(Daten_Risiken!$A:$ZZ,MATCH($B69&amp;"|Fachkräftemangel",Daten_Risiken!$A$1:$A$529,0),$BK$4)="","",INDEX(Daten_Risiken!$A:$ZZ,MATCH($B69&amp;"|Fachkräftemangel",Daten_Risiken!$A$1:$A$529,0),$BK$4)),"")</f>
        <v>47</v>
      </c>
      <c r="AK69" s="49">
        <f>IFERROR(AJ69-IFERROR(IF(INDEX(Daten_Risiken!$A:$ZZ,MATCH($B69&amp;"|Fachkräftemangel",Daten_Risiken!$A$1:$A$529,0),$BK$5)="",NA(),INDEX(Daten_Risiken!$A:$ZZ,MATCH($B69&amp;"|Fachkräftemangel",Daten_Risiken!$A$1:$A$529,0),$BK$5)),NA()),"")</f>
        <v>-4</v>
      </c>
      <c r="AL69" s="49">
        <f>IFERROR(AJ69-IFERROR(IF(INDEX(Daten_Risiken!$A:$ZZ,MATCH($B69&amp;"|Fachkräftemangel",Daten_Risiken!$A$1:$A$529,0),$BK$6)="",NA(),INDEX(Daten_Risiken!$A:$ZZ,MATCH($B69&amp;"|Fachkräftemangel",Daten_Risiken!$A$1:$A$529,0),$BK$6)),NA()),"")</f>
        <v>-11</v>
      </c>
      <c r="AM69" s="50" t="str">
        <f>IFERROR(IF(INDEX(Daten_Risiken!$A:$ZZ,MATCH($B69&amp;"|Auslandsnachfrage",Daten_Risiken!$A$1:$A$529,0),$BK$4)="","",INDEX(Daten_Risiken!$A:$ZZ,MATCH($B69&amp;"|Auslandsnachfrage",Daten_Risiken!$A$1:$A$529,0),$BK$4)),"")</f>
        <v/>
      </c>
      <c r="AN69" s="49" t="str">
        <f>IFERROR(AM69-IFERROR(IF(INDEX(Daten_Risiken!$A:$ZZ,MATCH($B69&amp;"|Auslandsnachfrage",Daten_Risiken!$A$1:$A$529,0),$BK$5)="",NA(),INDEX(Daten_Risiken!$A:$ZZ,MATCH($B69&amp;"|Auslandsnachfrage",Daten_Risiken!$A$1:$A$529,0),$BK$5)),NA()),"")</f>
        <v/>
      </c>
      <c r="AO69" s="49" t="str">
        <f>IFERROR(AM69-IFERROR(IF(INDEX(Daten_Risiken!$A:$ZZ,MATCH($B69&amp;"|Auslandsnachfrage",Daten_Risiken!$A$1:$A$529,0),$BK$6)="",NA(),INDEX(Daten_Risiken!$A:$ZZ,MATCH($B69&amp;"|Auslandsnachfrage",Daten_Risiken!$A$1:$A$529,0),$BK$6)),NA()),"")</f>
        <v/>
      </c>
      <c r="AP69" s="50">
        <f>IFERROR(IF(INDEX(Daten_Risiken!$A:$ZZ,MATCH($B69&amp;"|Finanzierung",Daten_Risiken!$A$1:$A$529,0),$BK$4)="","",INDEX(Daten_Risiken!$A:$ZZ,MATCH($B69&amp;"|Finanzierung",Daten_Risiken!$A$1:$A$529,0),$BK$4)),"")</f>
        <v>16</v>
      </c>
      <c r="AQ69" s="49">
        <f>IFERROR(AP69-IFERROR(IF(INDEX(Daten_Risiken!$A:$ZZ,MATCH($B69&amp;"|Finanzierung",Daten_Risiken!$A$1:$A$529,0),$BK$5)="",NA(),INDEX(Daten_Risiken!$A:$ZZ,MATCH($B69&amp;"|Finanzierung",Daten_Risiken!$A$1:$A$529,0),$BK$5)),NA()),"")</f>
        <v>-1</v>
      </c>
      <c r="AR69" s="49">
        <f>IFERROR(AP69-IFERROR(IF(INDEX(Daten_Risiken!$A:$ZZ,MATCH($B69&amp;"|Finanzierung",Daten_Risiken!$A$1:$A$529,0),$BK$6)="",NA(),INDEX(Daten_Risiken!$A:$ZZ,MATCH($B69&amp;"|Finanzierung",Daten_Risiken!$A$1:$A$529,0),$BK$6)),NA()),"")</f>
        <v>1</v>
      </c>
      <c r="AS69" s="50" t="str">
        <f>IFERROR(IF(INDEX(Daten_Risiken!$A:$ZZ,MATCH($B69&amp;"|Wechselkurs",Daten_Risiken!$A$1:$A$529,0),$BK$4)="","",INDEX(Daten_Risiken!$A:$ZZ,MATCH($B69&amp;"|Wechselkurs",Daten_Risiken!$A$1:$A$529,0),$BK$4)),"")</f>
        <v/>
      </c>
      <c r="AT69" s="49" t="str">
        <f>IFERROR(AS69-IFERROR(IF(INDEX(Daten_Risiken!$A:$ZZ,MATCH($B69&amp;"|Wechselkurs",Daten_Risiken!$A$1:$A$529,0),$BK$5)="",NA(),INDEX(Daten_Risiken!$A:$ZZ,MATCH($B69&amp;"|Wechselkurs",Daten_Risiken!$A$1:$A$529,0),$BK$5)),NA()),"")</f>
        <v/>
      </c>
      <c r="AU69" s="49" t="str">
        <f>IFERROR(AS69-IFERROR(IF(INDEX(Daten_Risiken!$A:$ZZ,MATCH($B69&amp;"|Wechselkurs",Daten_Risiken!$A$1:$A$529,0),$BK$6)="",NA(),INDEX(Daten_Risiken!$A:$ZZ,MATCH($B69&amp;"|Wechselkurs",Daten_Risiken!$A$1:$A$529,0),$BK$6)),NA()),"")</f>
        <v/>
      </c>
      <c r="AV69" s="50">
        <f>IFERROR(IF(INDEX(Daten_Motive!$A:$ZZ,MATCH($B69&amp;"|Ersatzbedarf",Daten_Motive!$A$1:$A$331,0),$BK$7)="","",INDEX(Daten_Motive!$A:$ZZ,MATCH($B69&amp;"|Ersatzbedarf",Daten_Motive!$A$1:$A$331,0),$BK$7)),"")</f>
        <v>73</v>
      </c>
      <c r="AW69" s="49">
        <f>IFERROR(AV69-IFERROR(IF(INDEX(Daten_Motive!$A:$ZZ,MATCH($B69&amp;"|Ersatzbedarf",Daten_Motive!$A$1:$A$331,0),$BK$8)="",NA(),INDEX(Daten_Motive!$A:$ZZ,MATCH($B69&amp;"|Ersatzbedarf",Daten_Motive!$A$1:$A$331,0),$BK$8)),NA()),"")</f>
        <v>0</v>
      </c>
      <c r="AX69" s="49">
        <f>IFERROR(AV69-IFERROR(IF(INDEX(Daten_Motive!$A:$ZZ,MATCH($B69&amp;"|Ersatzbedarf",Daten_Motive!$A$1:$A$331,0),$BK$9)="",NA(),INDEX(Daten_Motive!$A:$ZZ,MATCH($B69&amp;"|Ersatzbedarf",Daten_Motive!$A$1:$A$331,0),$BK$9)),NA()),"")</f>
        <v>2</v>
      </c>
      <c r="AY69" s="50">
        <f>IFERROR(IF(INDEX(Daten_Motive!$A:$ZZ,MATCH($B69&amp;"|Rationalisierung",Daten_Motive!$A$1:$A$331,0),$BK$7)="","",INDEX(Daten_Motive!$A:$ZZ,MATCH($B69&amp;"|Rationalisierung",Daten_Motive!$A$1:$A$331,0),$BK$7)),"")</f>
        <v>26</v>
      </c>
      <c r="AZ69" s="49">
        <f>IFERROR(AY69-IFERROR(IF(INDEX(Daten_Motive!$A:$ZZ,MATCH($B69&amp;"|Rationalisierung",Daten_Motive!$A$1:$A$331,0),$BK$8)="",NA(),INDEX(Daten_Motive!$A:$ZZ,MATCH($B69&amp;"|Rationalisierung",Daten_Motive!$A$1:$A$331,0),$BK$8)),NA()),"")</f>
        <v>6</v>
      </c>
      <c r="BA69" s="49">
        <f>IFERROR(AY69-IFERROR(IF(INDEX(Daten_Motive!$A:$ZZ,MATCH($B69&amp;"|Rationalisierung",Daten_Motive!$A$1:$A$331,0),$BK$9)="",NA(),INDEX(Daten_Motive!$A:$ZZ,MATCH($B69&amp;"|Rationalisierung",Daten_Motive!$A$1:$A$331,0),$BK$9)),NA()),"")</f>
        <v>1</v>
      </c>
      <c r="BB69" s="50">
        <f>IFERROR(IF(INDEX(Daten_Motive!$A:$ZZ,MATCH($B69&amp;"|Produktinnovation",Daten_Motive!$A$1:$A$331,0),$BK$7)="","",INDEX(Daten_Motive!$A:$ZZ,MATCH($B69&amp;"|Produktinnovation",Daten_Motive!$A$1:$A$331,0),$BK$7)),"")</f>
        <v>20</v>
      </c>
      <c r="BC69" s="49">
        <f>IFERROR(BB69-IFERROR(IF(INDEX(Daten_Motive!$A:$ZZ,MATCH($B69&amp;"|Produktinnovation",Daten_Motive!$A$1:$A$331,0),$BK$8)="",NA(),INDEX(Daten_Motive!$A:$ZZ,MATCH($B69&amp;"|Produktinnovation",Daten_Motive!$A$1:$A$331,0),$BK$8)),NA()),"")</f>
        <v>2</v>
      </c>
      <c r="BD69" s="49">
        <f>IFERROR(BB69-IFERROR(IF(INDEX(Daten_Motive!$A:$ZZ,MATCH($B69&amp;"|Produktinnovation",Daten_Motive!$A$1:$A$331,0),$BK$9)="",NA(),INDEX(Daten_Motive!$A:$ZZ,MATCH($B69&amp;"|Produktinnovation",Daten_Motive!$A$1:$A$331,0),$BK$9)),NA()),"")</f>
        <v>-5</v>
      </c>
      <c r="BE69" s="50">
        <f>IFERROR(IF(INDEX(Daten_Motive!$A:$ZZ,MATCH($B69&amp;"|Umweltschutz",Daten_Motive!$A$1:$A$331,0),$BK$7)="","",INDEX(Daten_Motive!$A:$ZZ,MATCH($B69&amp;"|Umweltschutz",Daten_Motive!$A$1:$A$331,0),$BK$7)),"")</f>
        <v>26</v>
      </c>
      <c r="BF69" s="49">
        <f>IFERROR(BE69-IFERROR(IF(INDEX(Daten_Motive!$A:$ZZ,MATCH($B69&amp;"|Umweltschutz",Daten_Motive!$A$1:$A$331,0),$BK$8)="",NA(),INDEX(Daten_Motive!$A:$ZZ,MATCH($B69&amp;"|Umweltschutz",Daten_Motive!$A$1:$A$331,0),$BK$8)),NA()),"")</f>
        <v>8</v>
      </c>
      <c r="BG69" s="49">
        <f>IFERROR(BE69-IFERROR(IF(INDEX(Daten_Motive!$A:$ZZ,MATCH($B69&amp;"|Umweltschutz",Daten_Motive!$A$1:$A$331,0),$BK$9)="",NA(),INDEX(Daten_Motive!$A:$ZZ,MATCH($B69&amp;"|Umweltschutz",Daten_Motive!$A$1:$A$331,0),$BK$9)),NA()),"")</f>
        <v>2</v>
      </c>
      <c r="BH69" s="50">
        <f>IFERROR(IF(INDEX(Daten_Motive!$A:$ZZ,MATCH($B69&amp;"|Kapazitätserweiterung",Daten_Motive!$A$1:$A$331,0),$BK$7)="","",INDEX(Daten_Motive!$A:$ZZ,MATCH($B69&amp;"|Kapazitätserweiterung",Daten_Motive!$A$1:$A$331,0),$BK$7)),"")</f>
        <v>20</v>
      </c>
      <c r="BI69" s="49">
        <f>IFERROR(BH69-IFERROR(IF(INDEX(Daten_Motive!$A:$ZZ,MATCH($B69&amp;"|Kapazitätserweiterung",Daten_Motive!$A$1:$A$331,0),$BK$8)="",NA(),INDEX(Daten_Motive!$A:$ZZ,MATCH($B69&amp;"|Kapazitätserweiterung",Daten_Motive!$A$1:$A$331,0),$BK$8)),NA()),"")</f>
        <v>-3</v>
      </c>
      <c r="BJ69" s="49">
        <f>IFERROR(BH69-IFERROR(IF(INDEX(Daten_Motive!$A:$ZZ,MATCH($B69&amp;"|Kapazitätserweiterung",Daten_Motive!$A$1:$A$331,0),$BK$9)="",NA(),INDEX(Daten_Motive!$A:$ZZ,MATCH($B69&amp;"|Kapazitätserweiterung",Daten_Motive!$A$1:$A$331,0),$BK$9)),NA()),"")</f>
        <v>-5</v>
      </c>
    </row>
    <row r="70" spans="1:62" x14ac:dyDescent="0.25">
      <c r="A70" s="42">
        <v>62</v>
      </c>
      <c r="B70" s="52" t="str">
        <f>Listen!A60</f>
        <v>Sonstige wirtschaftliche Dienstleistungen für Unternehmen</v>
      </c>
      <c r="C70" s="44" t="s">
        <v>4553</v>
      </c>
      <c r="D70" s="44" t="str">
        <f>Listen!B60</f>
        <v>Dienstleister</v>
      </c>
      <c r="E70" s="45">
        <f>IFERROR(IF(INDEX(Daten_Anteile!$A:$ZZ,MATCH($B70&amp;"|Lage|"&amp;$C$3,Daten_Anteile!$A$1:$A$2971,0),5)="","",INDEX(Daten_Anteile!$A:$ZZ,MATCH($B70&amp;"|Lage|"&amp;$C$3,Daten_Anteile!$A$1:$A$2971,0),5)),"")</f>
        <v>345</v>
      </c>
      <c r="F70" s="46">
        <f t="shared" si="3"/>
        <v>98</v>
      </c>
      <c r="G70" s="47">
        <f t="shared" si="4"/>
        <v>4.5</v>
      </c>
      <c r="H70" s="47">
        <f t="shared" si="5"/>
        <v>-3</v>
      </c>
      <c r="I70" s="48">
        <f>IFERROR(IF(INDEX(Daten_Salden!$A:$ZZ,MATCH($B70&amp;"|Lage",Daten_Salden!$A$1:$A$331,0),$BK$1)="","",INDEX(Daten_Salden!$A:$ZZ,MATCH($B70&amp;"|Lage",Daten_Salden!$A$1:$A$331,0),$BK$1)),"")</f>
        <v>8</v>
      </c>
      <c r="J70" s="49">
        <f>IFERROR(I70-IFERROR(IF(INDEX(Daten_Salden!$A:$ZZ,MATCH($B70&amp;"|Lage",Daten_Salden!$A$1:$A$331,0),$BK$2)="",NA(),INDEX(Daten_Salden!$A:$ZZ,MATCH($B70&amp;"|Lage",Daten_Salden!$A$1:$A$331,0),$BK$2)),NA()),"")</f>
        <v>4</v>
      </c>
      <c r="K70" s="49">
        <f>IFERROR(I70-IFERROR(IF(INDEX(Daten_Salden!$A:$ZZ,MATCH($B70&amp;"|Lage",Daten_Salden!$A$1:$A$331,0),$BK$3)="",NA(),INDEX(Daten_Salden!$A:$ZZ,MATCH($B70&amp;"|Lage",Daten_Salden!$A$1:$A$331,0),$BK$3)),NA()),"")</f>
        <v>-4</v>
      </c>
      <c r="L70" s="48">
        <f>IFERROR(IF(INDEX(Daten_Salden!$A:$ZZ,MATCH($B70&amp;"|Erwartungen",Daten_Salden!$A$1:$A$331,0),$BK$1)="","",INDEX(Daten_Salden!$A:$ZZ,MATCH($B70&amp;"|Erwartungen",Daten_Salden!$A$1:$A$331,0),$BK$1)),"")</f>
        <v>-11</v>
      </c>
      <c r="M70" s="49">
        <f>IFERROR(L70-IFERROR(IF(INDEX(Daten_Salden!$A:$ZZ,MATCH($B70&amp;"|Erwartungen",Daten_Salden!$A$1:$A$331,0),$BK$2)="",NA(),INDEX(Daten_Salden!$A:$ZZ,MATCH($B70&amp;"|Erwartungen",Daten_Salden!$A$1:$A$331,0),$BK$2)),NA()),"")</f>
        <v>5</v>
      </c>
      <c r="N70" s="49">
        <f>IFERROR(L70-IFERROR(IF(INDEX(Daten_Salden!$A:$ZZ,MATCH($B70&amp;"|Erwartungen",Daten_Salden!$A$1:$A$331,0),$BK$3)="",NA(),INDEX(Daten_Salden!$A:$ZZ,MATCH($B70&amp;"|Erwartungen",Daten_Salden!$A$1:$A$331,0),$BK$3)),NA()),"")</f>
        <v>-2</v>
      </c>
      <c r="O70" s="48" t="str">
        <f>IFERROR(IF(INDEX(Daten_Salden!$A:$ZZ,MATCH($B70&amp;"|Export",Daten_Salden!$A$1:$A$331,0),$BK$1)="","",INDEX(Daten_Salden!$A:$ZZ,MATCH($B70&amp;"|Export",Daten_Salden!$A$1:$A$331,0),$BK$1)),"")</f>
        <v/>
      </c>
      <c r="P70" s="49" t="str">
        <f>IFERROR(O70-IFERROR(IF(INDEX(Daten_Salden!$A:$ZZ,MATCH($B70&amp;"|Export",Daten_Salden!$A$1:$A$331,0),$BK$2)="",NA(),INDEX(Daten_Salden!$A:$ZZ,MATCH($B70&amp;"|Export",Daten_Salden!$A$1:$A$331,0),$BK$2)),NA()),"")</f>
        <v/>
      </c>
      <c r="Q70" s="49" t="str">
        <f>IFERROR(O70-IFERROR(IF(INDEX(Daten_Salden!$A:$ZZ,MATCH($B70&amp;"|Export",Daten_Salden!$A$1:$A$331,0),$BK$3)="",NA(),INDEX(Daten_Salden!$A:$ZZ,MATCH($B70&amp;"|Export",Daten_Salden!$A$1:$A$331,0),$BK$3)),NA()),"")</f>
        <v/>
      </c>
      <c r="R70" s="48">
        <f>IFERROR(IF(INDEX(Daten_Salden!$A:$ZZ,MATCH($B70&amp;"|Investitionen",Daten_Salden!$A$1:$A$331,0),$BK$1)="","",INDEX(Daten_Salden!$A:$ZZ,MATCH($B70&amp;"|Investitionen",Daten_Salden!$A$1:$A$331,0),$BK$1)),"")</f>
        <v>1</v>
      </c>
      <c r="S70" s="49">
        <f>IFERROR(R70-IFERROR(IF(INDEX(Daten_Salden!$A:$ZZ,MATCH($B70&amp;"|Investitionen",Daten_Salden!$A$1:$A$331,0),$BK$2)="",NA(),INDEX(Daten_Salden!$A:$ZZ,MATCH($B70&amp;"|Investitionen",Daten_Salden!$A$1:$A$331,0),$BK$2)),NA()),"")</f>
        <v>8</v>
      </c>
      <c r="T70" s="49">
        <f>IFERROR(R70-IFERROR(IF(INDEX(Daten_Salden!$A:$ZZ,MATCH($B70&amp;"|Investitionen",Daten_Salden!$A$1:$A$331,0),$BK$3)="",NA(),INDEX(Daten_Salden!$A:$ZZ,MATCH($B70&amp;"|Investitionen",Daten_Salden!$A$1:$A$331,0),$BK$3)),NA()),"")</f>
        <v>1</v>
      </c>
      <c r="U70" s="48">
        <f>IFERROR(IF(INDEX(Daten_Salden!$A:$ZZ,MATCH($B70&amp;"|Beschäftigung",Daten_Salden!$A$1:$A$331,0),$BK$1)="","",INDEX(Daten_Salden!$A:$ZZ,MATCH($B70&amp;"|Beschäftigung",Daten_Salden!$A$1:$A$331,0),$BK$1)),"")</f>
        <v>-14</v>
      </c>
      <c r="V70" s="49">
        <f>IFERROR(U70-IFERROR(IF(INDEX(Daten_Salden!$A:$ZZ,MATCH($B70&amp;"|Beschäftigung",Daten_Salden!$A$1:$A$331,0),$BK$2)="",NA(),INDEX(Daten_Salden!$A:$ZZ,MATCH($B70&amp;"|Beschäftigung",Daten_Salden!$A$1:$A$331,0),$BK$2)),NA()),"")</f>
        <v>-4</v>
      </c>
      <c r="W70" s="49">
        <f>IFERROR(U70-IFERROR(IF(INDEX(Daten_Salden!$A:$ZZ,MATCH($B70&amp;"|Beschäftigung",Daten_Salden!$A$1:$A$331,0),$BK$3)="",NA(),INDEX(Daten_Salden!$A:$ZZ,MATCH($B70&amp;"|Beschäftigung",Daten_Salden!$A$1:$A$331,0),$BK$3)),NA()),"")</f>
        <v>-7</v>
      </c>
      <c r="X70" s="50">
        <f>IFERROR(IF(INDEX(Daten_Risiken!$A:$ZZ,MATCH($B70&amp;"|Energie- und Rohstoffpreise",Daten_Risiken!$A$1:$A$529,0),$BK$4)="","",INDEX(Daten_Risiken!$A:$ZZ,MATCH($B70&amp;"|Energie- und Rohstoffpreise",Daten_Risiken!$A$1:$A$529,0),$BK$4)),"")</f>
        <v>50</v>
      </c>
      <c r="Y70" s="49">
        <f>IFERROR(X70-IFERROR(IF(INDEX(Daten_Risiken!$A:$ZZ,MATCH($B70&amp;"|Energie- und Rohstoffpreise",Daten_Risiken!$A$1:$A$529,0),$BK$5)="",NA(),INDEX(Daten_Risiken!$A:$ZZ,MATCH($B70&amp;"|Energie- und Rohstoffpreise",Daten_Risiken!$A$1:$A$529,0),$BK$5)),NA()),"")</f>
        <v>-7</v>
      </c>
      <c r="Z70" s="49">
        <f>IFERROR(X70-IFERROR(IF(INDEX(Daten_Risiken!$A:$ZZ,MATCH($B70&amp;"|Energie- und Rohstoffpreise",Daten_Risiken!$A$1:$A$529,0),$BK$6)="",NA(),INDEX(Daten_Risiken!$A:$ZZ,MATCH($B70&amp;"|Energie- und Rohstoffpreise",Daten_Risiken!$A$1:$A$529,0),$BK$6)),NA()),"")</f>
        <v>16</v>
      </c>
      <c r="AA70" s="50">
        <f>IFERROR(IF(INDEX(Daten_Risiken!$A:$ZZ,MATCH($B70&amp;"|Arbeitskosten",Daten_Risiken!$A$1:$A$529,0),$BK$4)="","",INDEX(Daten_Risiken!$A:$ZZ,MATCH($B70&amp;"|Arbeitskosten",Daten_Risiken!$A$1:$A$529,0),$BK$4)),"")</f>
        <v>53</v>
      </c>
      <c r="AB70" s="49">
        <f>IFERROR(AA70-IFERROR(IF(INDEX(Daten_Risiken!$A:$ZZ,MATCH($B70&amp;"|Arbeitskosten",Daten_Risiken!$A$1:$A$529,0),$BK$5)="",NA(),INDEX(Daten_Risiken!$A:$ZZ,MATCH($B70&amp;"|Arbeitskosten",Daten_Risiken!$A$1:$A$529,0),$BK$5)),NA()),"")</f>
        <v>3</v>
      </c>
      <c r="AC70" s="49">
        <f>IFERROR(AA70-IFERROR(IF(INDEX(Daten_Risiken!$A:$ZZ,MATCH($B70&amp;"|Arbeitskosten",Daten_Risiken!$A$1:$A$529,0),$BK$6)="",NA(),INDEX(Daten_Risiken!$A:$ZZ,MATCH($B70&amp;"|Arbeitskosten",Daten_Risiken!$A$1:$A$529,0),$BK$6)),NA()),"")</f>
        <v>0</v>
      </c>
      <c r="AD70" s="50">
        <f>IFERROR(IF(INDEX(Daten_Risiken!$A:$ZZ,MATCH($B70&amp;"|Inlandsnachfrage",Daten_Risiken!$A$1:$A$529,0),$BK$4)="","",INDEX(Daten_Risiken!$A:$ZZ,MATCH($B70&amp;"|Inlandsnachfrage",Daten_Risiken!$A$1:$A$529,0),$BK$4)),"")</f>
        <v>53</v>
      </c>
      <c r="AE70" s="49">
        <f>IFERROR(AD70-IFERROR(IF(INDEX(Daten_Risiken!$A:$ZZ,MATCH($B70&amp;"|Inlandsnachfrage",Daten_Risiken!$A$1:$A$529,0),$BK$5)="",NA(),INDEX(Daten_Risiken!$A:$ZZ,MATCH($B70&amp;"|Inlandsnachfrage",Daten_Risiken!$A$1:$A$529,0),$BK$5)),NA()),"")</f>
        <v>-3</v>
      </c>
      <c r="AF70" s="49">
        <f>IFERROR(AD70-IFERROR(IF(INDEX(Daten_Risiken!$A:$ZZ,MATCH($B70&amp;"|Inlandsnachfrage",Daten_Risiken!$A$1:$A$529,0),$BK$6)="",NA(),INDEX(Daten_Risiken!$A:$ZZ,MATCH($B70&amp;"|Inlandsnachfrage",Daten_Risiken!$A$1:$A$529,0),$BK$6)),NA()),"")</f>
        <v>-5</v>
      </c>
      <c r="AG70" s="50">
        <f>IFERROR(IF(INDEX(Daten_Risiken!$A:$ZZ,MATCH($B70&amp;"|Wirtschaftspolitische Rahmenbedingungen",Daten_Risiken!$A$1:$A$529,0),$BK$4)="","",INDEX(Daten_Risiken!$A:$ZZ,MATCH($B70&amp;"|Wirtschaftspolitische Rahmenbedingungen",Daten_Risiken!$A$1:$A$529,0),$BK$4)),"")</f>
        <v>57</v>
      </c>
      <c r="AH70" s="49">
        <f>IFERROR(AG70-IFERROR(IF(INDEX(Daten_Risiken!$A:$ZZ,MATCH($B70&amp;"|Wirtschaftspolitische Rahmenbedingungen",Daten_Risiken!$A$1:$A$529,0),$BK$5)="",NA(),INDEX(Daten_Risiken!$A:$ZZ,MATCH($B70&amp;"|Wirtschaftspolitische Rahmenbedingungen",Daten_Risiken!$A$1:$A$529,0),$BK$5)),NA()),"")</f>
        <v>0</v>
      </c>
      <c r="AI70" s="49">
        <f>IFERROR(AG70-IFERROR(IF(INDEX(Daten_Risiken!$A:$ZZ,MATCH($B70&amp;"|Wirtschaftspolitische Rahmenbedingungen",Daten_Risiken!$A$1:$A$529,0),$BK$6)="",NA(),INDEX(Daten_Risiken!$A:$ZZ,MATCH($B70&amp;"|Wirtschaftspolitische Rahmenbedingungen",Daten_Risiken!$A$1:$A$529,0),$BK$6)),NA()),"")</f>
        <v>-1</v>
      </c>
      <c r="AJ70" s="50">
        <f>IFERROR(IF(INDEX(Daten_Risiken!$A:$ZZ,MATCH($B70&amp;"|Fachkräftemangel",Daten_Risiken!$A$1:$A$529,0),$BK$4)="","",INDEX(Daten_Risiken!$A:$ZZ,MATCH($B70&amp;"|Fachkräftemangel",Daten_Risiken!$A$1:$A$529,0),$BK$4)),"")</f>
        <v>31</v>
      </c>
      <c r="AK70" s="49">
        <f>IFERROR(AJ70-IFERROR(IF(INDEX(Daten_Risiken!$A:$ZZ,MATCH($B70&amp;"|Fachkräftemangel",Daten_Risiken!$A$1:$A$529,0),$BK$5)="",NA(),INDEX(Daten_Risiken!$A:$ZZ,MATCH($B70&amp;"|Fachkräftemangel",Daten_Risiken!$A$1:$A$529,0),$BK$5)),NA()),"")</f>
        <v>6</v>
      </c>
      <c r="AL70" s="49">
        <f>IFERROR(AJ70-IFERROR(IF(INDEX(Daten_Risiken!$A:$ZZ,MATCH($B70&amp;"|Fachkräftemangel",Daten_Risiken!$A$1:$A$529,0),$BK$6)="",NA(),INDEX(Daten_Risiken!$A:$ZZ,MATCH($B70&amp;"|Fachkräftemangel",Daten_Risiken!$A$1:$A$529,0),$BK$6)),NA()),"")</f>
        <v>-6</v>
      </c>
      <c r="AM70" s="50" t="str">
        <f>IFERROR(IF(INDEX(Daten_Risiken!$A:$ZZ,MATCH($B70&amp;"|Auslandsnachfrage",Daten_Risiken!$A$1:$A$529,0),$BK$4)="","",INDEX(Daten_Risiken!$A:$ZZ,MATCH($B70&amp;"|Auslandsnachfrage",Daten_Risiken!$A$1:$A$529,0),$BK$4)),"")</f>
        <v/>
      </c>
      <c r="AN70" s="49" t="str">
        <f>IFERROR(AM70-IFERROR(IF(INDEX(Daten_Risiken!$A:$ZZ,MATCH($B70&amp;"|Auslandsnachfrage",Daten_Risiken!$A$1:$A$529,0),$BK$5)="",NA(),INDEX(Daten_Risiken!$A:$ZZ,MATCH($B70&amp;"|Auslandsnachfrage",Daten_Risiken!$A$1:$A$529,0),$BK$5)),NA()),"")</f>
        <v/>
      </c>
      <c r="AO70" s="49" t="str">
        <f>IFERROR(AM70-IFERROR(IF(INDEX(Daten_Risiken!$A:$ZZ,MATCH($B70&amp;"|Auslandsnachfrage",Daten_Risiken!$A$1:$A$529,0),$BK$6)="",NA(),INDEX(Daten_Risiken!$A:$ZZ,MATCH($B70&amp;"|Auslandsnachfrage",Daten_Risiken!$A$1:$A$529,0),$BK$6)),NA()),"")</f>
        <v/>
      </c>
      <c r="AP70" s="50">
        <f>IFERROR(IF(INDEX(Daten_Risiken!$A:$ZZ,MATCH($B70&amp;"|Finanzierung",Daten_Risiken!$A$1:$A$529,0),$BK$4)="","",INDEX(Daten_Risiken!$A:$ZZ,MATCH($B70&amp;"|Finanzierung",Daten_Risiken!$A$1:$A$529,0),$BK$4)),"")</f>
        <v>15</v>
      </c>
      <c r="AQ70" s="49">
        <f>IFERROR(AP70-IFERROR(IF(INDEX(Daten_Risiken!$A:$ZZ,MATCH($B70&amp;"|Finanzierung",Daten_Risiken!$A$1:$A$529,0),$BK$5)="",NA(),INDEX(Daten_Risiken!$A:$ZZ,MATCH($B70&amp;"|Finanzierung",Daten_Risiken!$A$1:$A$529,0),$BK$5)),NA()),"")</f>
        <v>3</v>
      </c>
      <c r="AR70" s="49">
        <f>IFERROR(AP70-IFERROR(IF(INDEX(Daten_Risiken!$A:$ZZ,MATCH($B70&amp;"|Finanzierung",Daten_Risiken!$A$1:$A$529,0),$BK$6)="",NA(),INDEX(Daten_Risiken!$A:$ZZ,MATCH($B70&amp;"|Finanzierung",Daten_Risiken!$A$1:$A$529,0),$BK$6)),NA()),"")</f>
        <v>3</v>
      </c>
      <c r="AS70" s="50" t="str">
        <f>IFERROR(IF(INDEX(Daten_Risiken!$A:$ZZ,MATCH($B70&amp;"|Wechselkurs",Daten_Risiken!$A$1:$A$529,0),$BK$4)="","",INDEX(Daten_Risiken!$A:$ZZ,MATCH($B70&amp;"|Wechselkurs",Daten_Risiken!$A$1:$A$529,0),$BK$4)),"")</f>
        <v/>
      </c>
      <c r="AT70" s="49" t="str">
        <f>IFERROR(AS70-IFERROR(IF(INDEX(Daten_Risiken!$A:$ZZ,MATCH($B70&amp;"|Wechselkurs",Daten_Risiken!$A$1:$A$529,0),$BK$5)="",NA(),INDEX(Daten_Risiken!$A:$ZZ,MATCH($B70&amp;"|Wechselkurs",Daten_Risiken!$A$1:$A$529,0),$BK$5)),NA()),"")</f>
        <v/>
      </c>
      <c r="AU70" s="49" t="str">
        <f>IFERROR(AS70-IFERROR(IF(INDEX(Daten_Risiken!$A:$ZZ,MATCH($B70&amp;"|Wechselkurs",Daten_Risiken!$A$1:$A$529,0),$BK$6)="",NA(),INDEX(Daten_Risiken!$A:$ZZ,MATCH($B70&amp;"|Wechselkurs",Daten_Risiken!$A$1:$A$529,0),$BK$6)),NA()),"")</f>
        <v/>
      </c>
      <c r="AV70" s="50">
        <f>IFERROR(IF(INDEX(Daten_Motive!$A:$ZZ,MATCH($B70&amp;"|Ersatzbedarf",Daten_Motive!$A$1:$A$331,0),$BK$7)="","",INDEX(Daten_Motive!$A:$ZZ,MATCH($B70&amp;"|Ersatzbedarf",Daten_Motive!$A$1:$A$331,0),$BK$7)),"")</f>
        <v>62</v>
      </c>
      <c r="AW70" s="49">
        <f>IFERROR(AV70-IFERROR(IF(INDEX(Daten_Motive!$A:$ZZ,MATCH($B70&amp;"|Ersatzbedarf",Daten_Motive!$A$1:$A$331,0),$BK$8)="",NA(),INDEX(Daten_Motive!$A:$ZZ,MATCH($B70&amp;"|Ersatzbedarf",Daten_Motive!$A$1:$A$331,0),$BK$8)),NA()),"")</f>
        <v>-1</v>
      </c>
      <c r="AX70" s="49">
        <f>IFERROR(AV70-IFERROR(IF(INDEX(Daten_Motive!$A:$ZZ,MATCH($B70&amp;"|Ersatzbedarf",Daten_Motive!$A$1:$A$331,0),$BK$9)="",NA(),INDEX(Daten_Motive!$A:$ZZ,MATCH($B70&amp;"|Ersatzbedarf",Daten_Motive!$A$1:$A$331,0),$BK$9)),NA()),"")</f>
        <v>2</v>
      </c>
      <c r="AY70" s="50">
        <f>IFERROR(IF(INDEX(Daten_Motive!$A:$ZZ,MATCH($B70&amp;"|Rationalisierung",Daten_Motive!$A$1:$A$331,0),$BK$7)="","",INDEX(Daten_Motive!$A:$ZZ,MATCH($B70&amp;"|Rationalisierung",Daten_Motive!$A$1:$A$331,0),$BK$7)),"")</f>
        <v>31</v>
      </c>
      <c r="AZ70" s="49">
        <f>IFERROR(AY70-IFERROR(IF(INDEX(Daten_Motive!$A:$ZZ,MATCH($B70&amp;"|Rationalisierung",Daten_Motive!$A$1:$A$331,0),$BK$8)="",NA(),INDEX(Daten_Motive!$A:$ZZ,MATCH($B70&amp;"|Rationalisierung",Daten_Motive!$A$1:$A$331,0),$BK$8)),NA()),"")</f>
        <v>1</v>
      </c>
      <c r="BA70" s="49">
        <f>IFERROR(AY70-IFERROR(IF(INDEX(Daten_Motive!$A:$ZZ,MATCH($B70&amp;"|Rationalisierung",Daten_Motive!$A$1:$A$331,0),$BK$9)="",NA(),INDEX(Daten_Motive!$A:$ZZ,MATCH($B70&amp;"|Rationalisierung",Daten_Motive!$A$1:$A$331,0),$BK$9)),NA()),"")</f>
        <v>-1</v>
      </c>
      <c r="BB70" s="50">
        <f>IFERROR(IF(INDEX(Daten_Motive!$A:$ZZ,MATCH($B70&amp;"|Produktinnovation",Daten_Motive!$A$1:$A$331,0),$BK$7)="","",INDEX(Daten_Motive!$A:$ZZ,MATCH($B70&amp;"|Produktinnovation",Daten_Motive!$A$1:$A$331,0),$BK$7)),"")</f>
        <v>31</v>
      </c>
      <c r="BC70" s="49">
        <f>IFERROR(BB70-IFERROR(IF(INDEX(Daten_Motive!$A:$ZZ,MATCH($B70&amp;"|Produktinnovation",Daten_Motive!$A$1:$A$331,0),$BK$8)="",NA(),INDEX(Daten_Motive!$A:$ZZ,MATCH($B70&amp;"|Produktinnovation",Daten_Motive!$A$1:$A$331,0),$BK$8)),NA()),"")</f>
        <v>6</v>
      </c>
      <c r="BD70" s="49">
        <f>IFERROR(BB70-IFERROR(IF(INDEX(Daten_Motive!$A:$ZZ,MATCH($B70&amp;"|Produktinnovation",Daten_Motive!$A$1:$A$331,0),$BK$9)="",NA(),INDEX(Daten_Motive!$A:$ZZ,MATCH($B70&amp;"|Produktinnovation",Daten_Motive!$A$1:$A$331,0),$BK$9)),NA()),"")</f>
        <v>2</v>
      </c>
      <c r="BE70" s="50">
        <f>IFERROR(IF(INDEX(Daten_Motive!$A:$ZZ,MATCH($B70&amp;"|Umweltschutz",Daten_Motive!$A$1:$A$331,0),$BK$7)="","",INDEX(Daten_Motive!$A:$ZZ,MATCH($B70&amp;"|Umweltschutz",Daten_Motive!$A$1:$A$331,0),$BK$7)),"")</f>
        <v>9</v>
      </c>
      <c r="BF70" s="49">
        <f>IFERROR(BE70-IFERROR(IF(INDEX(Daten_Motive!$A:$ZZ,MATCH($B70&amp;"|Umweltschutz",Daten_Motive!$A$1:$A$331,0),$BK$8)="",NA(),INDEX(Daten_Motive!$A:$ZZ,MATCH($B70&amp;"|Umweltschutz",Daten_Motive!$A$1:$A$331,0),$BK$8)),NA()),"")</f>
        <v>1</v>
      </c>
      <c r="BG70" s="49">
        <f>IFERROR(BE70-IFERROR(IF(INDEX(Daten_Motive!$A:$ZZ,MATCH($B70&amp;"|Umweltschutz",Daten_Motive!$A$1:$A$331,0),$BK$9)="",NA(),INDEX(Daten_Motive!$A:$ZZ,MATCH($B70&amp;"|Umweltschutz",Daten_Motive!$A$1:$A$331,0),$BK$9)),NA()),"")</f>
        <v>0</v>
      </c>
      <c r="BH70" s="50">
        <f>IFERROR(IF(INDEX(Daten_Motive!$A:$ZZ,MATCH($B70&amp;"|Kapazitätserweiterung",Daten_Motive!$A$1:$A$331,0),$BK$7)="","",INDEX(Daten_Motive!$A:$ZZ,MATCH($B70&amp;"|Kapazitätserweiterung",Daten_Motive!$A$1:$A$331,0),$BK$7)),"")</f>
        <v>16</v>
      </c>
      <c r="BI70" s="49">
        <f>IFERROR(BH70-IFERROR(IF(INDEX(Daten_Motive!$A:$ZZ,MATCH($B70&amp;"|Kapazitätserweiterung",Daten_Motive!$A$1:$A$331,0),$BK$8)="",NA(),INDEX(Daten_Motive!$A:$ZZ,MATCH($B70&amp;"|Kapazitätserweiterung",Daten_Motive!$A$1:$A$331,0),$BK$8)),NA()),"")</f>
        <v>-4</v>
      </c>
      <c r="BJ70" s="49">
        <f>IFERROR(BH70-IFERROR(IF(INDEX(Daten_Motive!$A:$ZZ,MATCH($B70&amp;"|Kapazitätserweiterung",Daten_Motive!$A$1:$A$331,0),$BK$9)="",NA(),INDEX(Daten_Motive!$A:$ZZ,MATCH($B70&amp;"|Kapazitätserweiterung",Daten_Motive!$A$1:$A$331,0),$BK$9)),NA()),"")</f>
        <v>-7</v>
      </c>
    </row>
    <row r="71" spans="1:62" x14ac:dyDescent="0.25">
      <c r="A71" s="42">
        <v>63</v>
      </c>
      <c r="B71" s="52" t="str">
        <f>Listen!A63</f>
        <v>Bildungswirtschaft</v>
      </c>
      <c r="C71" s="44" t="s">
        <v>4556</v>
      </c>
      <c r="D71" s="44" t="str">
        <f>Listen!B63</f>
        <v>Dienstleister</v>
      </c>
      <c r="E71" s="45">
        <f>IFERROR(IF(INDEX(Daten_Anteile!$A:$ZZ,MATCH($B71&amp;"|Lage|"&amp;$C$3,Daten_Anteile!$A$1:$A$2971,0),5)="","",INDEX(Daten_Anteile!$A:$ZZ,MATCH($B71&amp;"|Lage|"&amp;$C$3,Daten_Anteile!$A$1:$A$2971,0),5)),"")</f>
        <v>140</v>
      </c>
      <c r="F71" s="46">
        <f t="shared" si="3"/>
        <v>91.2</v>
      </c>
      <c r="G71" s="47">
        <f t="shared" si="4"/>
        <v>5.5</v>
      </c>
      <c r="H71" s="47">
        <f t="shared" si="5"/>
        <v>-11.2</v>
      </c>
      <c r="I71" s="48">
        <f>IFERROR(IF(INDEX(Daten_Salden!$A:$ZZ,MATCH($B71&amp;"|Lage",Daten_Salden!$A$1:$A$331,0),$BK$1)="","",INDEX(Daten_Salden!$A:$ZZ,MATCH($B71&amp;"|Lage",Daten_Salden!$A$1:$A$331,0),$BK$1)),"")</f>
        <v>8</v>
      </c>
      <c r="J71" s="49">
        <f>IFERROR(I71-IFERROR(IF(INDEX(Daten_Salden!$A:$ZZ,MATCH($B71&amp;"|Lage",Daten_Salden!$A$1:$A$331,0),$BK$2)="",NA(),INDEX(Daten_Salden!$A:$ZZ,MATCH($B71&amp;"|Lage",Daten_Salden!$A$1:$A$331,0),$BK$2)),NA()),"")</f>
        <v>10</v>
      </c>
      <c r="K71" s="49">
        <f>IFERROR(I71-IFERROR(IF(INDEX(Daten_Salden!$A:$ZZ,MATCH($B71&amp;"|Lage",Daten_Salden!$A$1:$A$331,0),$BK$3)="",NA(),INDEX(Daten_Salden!$A:$ZZ,MATCH($B71&amp;"|Lage",Daten_Salden!$A$1:$A$331,0),$BK$3)),NA()),"")</f>
        <v>2</v>
      </c>
      <c r="L71" s="48">
        <f>IFERROR(IF(INDEX(Daten_Salden!$A:$ZZ,MATCH($B71&amp;"|Erwartungen",Daten_Salden!$A$1:$A$331,0),$BK$1)="","",INDEX(Daten_Salden!$A:$ZZ,MATCH($B71&amp;"|Erwartungen",Daten_Salden!$A$1:$A$331,0),$BK$1)),"")</f>
        <v>-23</v>
      </c>
      <c r="M71" s="49">
        <f>IFERROR(L71-IFERROR(IF(INDEX(Daten_Salden!$A:$ZZ,MATCH($B71&amp;"|Erwartungen",Daten_Salden!$A$1:$A$331,0),$BK$2)="",NA(),INDEX(Daten_Salden!$A:$ZZ,MATCH($B71&amp;"|Erwartungen",Daten_Salden!$A$1:$A$331,0),$BK$2)),NA()),"")</f>
        <v>2</v>
      </c>
      <c r="N71" s="49">
        <f>IFERROR(L71-IFERROR(IF(INDEX(Daten_Salden!$A:$ZZ,MATCH($B71&amp;"|Erwartungen",Daten_Salden!$A$1:$A$331,0),$BK$3)="",NA(),INDEX(Daten_Salden!$A:$ZZ,MATCH($B71&amp;"|Erwartungen",Daten_Salden!$A$1:$A$331,0),$BK$3)),NA()),"")</f>
        <v>-22</v>
      </c>
      <c r="O71" s="48" t="str">
        <f>IFERROR(IF(INDEX(Daten_Salden!$A:$ZZ,MATCH($B71&amp;"|Export",Daten_Salden!$A$1:$A$331,0),$BK$1)="","",INDEX(Daten_Salden!$A:$ZZ,MATCH($B71&amp;"|Export",Daten_Salden!$A$1:$A$331,0),$BK$1)),"")</f>
        <v/>
      </c>
      <c r="P71" s="49" t="str">
        <f>IFERROR(O71-IFERROR(IF(INDEX(Daten_Salden!$A:$ZZ,MATCH($B71&amp;"|Export",Daten_Salden!$A$1:$A$331,0),$BK$2)="",NA(),INDEX(Daten_Salden!$A:$ZZ,MATCH($B71&amp;"|Export",Daten_Salden!$A$1:$A$331,0),$BK$2)),NA()),"")</f>
        <v/>
      </c>
      <c r="Q71" s="49" t="str">
        <f>IFERROR(O71-IFERROR(IF(INDEX(Daten_Salden!$A:$ZZ,MATCH($B71&amp;"|Export",Daten_Salden!$A$1:$A$331,0),$BK$3)="",NA(),INDEX(Daten_Salden!$A:$ZZ,MATCH($B71&amp;"|Export",Daten_Salden!$A$1:$A$331,0),$BK$3)),NA()),"")</f>
        <v/>
      </c>
      <c r="R71" s="48">
        <f>IFERROR(IF(INDEX(Daten_Salden!$A:$ZZ,MATCH($B71&amp;"|Investitionen",Daten_Salden!$A$1:$A$331,0),$BK$1)="","",INDEX(Daten_Salden!$A:$ZZ,MATCH($B71&amp;"|Investitionen",Daten_Salden!$A$1:$A$331,0),$BK$1)),"")</f>
        <v>-3</v>
      </c>
      <c r="S71" s="49">
        <f>IFERROR(R71-IFERROR(IF(INDEX(Daten_Salden!$A:$ZZ,MATCH($B71&amp;"|Investitionen",Daten_Salden!$A$1:$A$331,0),$BK$2)="",NA(),INDEX(Daten_Salden!$A:$ZZ,MATCH($B71&amp;"|Investitionen",Daten_Salden!$A$1:$A$331,0),$BK$2)),NA()),"")</f>
        <v>5</v>
      </c>
      <c r="T71" s="49">
        <f>IFERROR(R71-IFERROR(IF(INDEX(Daten_Salden!$A:$ZZ,MATCH($B71&amp;"|Investitionen",Daten_Salden!$A$1:$A$331,0),$BK$3)="",NA(),INDEX(Daten_Salden!$A:$ZZ,MATCH($B71&amp;"|Investitionen",Daten_Salden!$A$1:$A$331,0),$BK$3)),NA()),"")</f>
        <v>-10</v>
      </c>
      <c r="U71" s="48">
        <f>IFERROR(IF(INDEX(Daten_Salden!$A:$ZZ,MATCH($B71&amp;"|Beschäftigung",Daten_Salden!$A$1:$A$331,0),$BK$1)="","",INDEX(Daten_Salden!$A:$ZZ,MATCH($B71&amp;"|Beschäftigung",Daten_Salden!$A$1:$A$331,0),$BK$1)),"")</f>
        <v>-10</v>
      </c>
      <c r="V71" s="49">
        <f>IFERROR(U71-IFERROR(IF(INDEX(Daten_Salden!$A:$ZZ,MATCH($B71&amp;"|Beschäftigung",Daten_Salden!$A$1:$A$331,0),$BK$2)="",NA(),INDEX(Daten_Salden!$A:$ZZ,MATCH($B71&amp;"|Beschäftigung",Daten_Salden!$A$1:$A$331,0),$BK$2)),NA()),"")</f>
        <v>4</v>
      </c>
      <c r="W71" s="49">
        <f>IFERROR(U71-IFERROR(IF(INDEX(Daten_Salden!$A:$ZZ,MATCH($B71&amp;"|Beschäftigung",Daten_Salden!$A$1:$A$331,0),$BK$3)="",NA(),INDEX(Daten_Salden!$A:$ZZ,MATCH($B71&amp;"|Beschäftigung",Daten_Salden!$A$1:$A$331,0),$BK$3)),NA()),"")</f>
        <v>-2</v>
      </c>
      <c r="X71" s="50">
        <f>IFERROR(IF(INDEX(Daten_Risiken!$A:$ZZ,MATCH($B71&amp;"|Energie- und Rohstoffpreise",Daten_Risiken!$A$1:$A$529,0),$BK$4)="","",INDEX(Daten_Risiken!$A:$ZZ,MATCH($B71&amp;"|Energie- und Rohstoffpreise",Daten_Risiken!$A$1:$A$529,0),$BK$4)),"")</f>
        <v>45</v>
      </c>
      <c r="Y71" s="49">
        <f>IFERROR(X71-IFERROR(IF(INDEX(Daten_Risiken!$A:$ZZ,MATCH($B71&amp;"|Energie- und Rohstoffpreise",Daten_Risiken!$A$1:$A$529,0),$BK$5)="",NA(),INDEX(Daten_Risiken!$A:$ZZ,MATCH($B71&amp;"|Energie- und Rohstoffpreise",Daten_Risiken!$A$1:$A$529,0),$BK$5)),NA()),"")</f>
        <v>-7</v>
      </c>
      <c r="Z71" s="49">
        <f>IFERROR(X71-IFERROR(IF(INDEX(Daten_Risiken!$A:$ZZ,MATCH($B71&amp;"|Energie- und Rohstoffpreise",Daten_Risiken!$A$1:$A$529,0),$BK$6)="",NA(),INDEX(Daten_Risiken!$A:$ZZ,MATCH($B71&amp;"|Energie- und Rohstoffpreise",Daten_Risiken!$A$1:$A$529,0),$BK$6)),NA()),"")</f>
        <v>18</v>
      </c>
      <c r="AA71" s="50">
        <f>IFERROR(IF(INDEX(Daten_Risiken!$A:$ZZ,MATCH($B71&amp;"|Arbeitskosten",Daten_Risiken!$A$1:$A$529,0),$BK$4)="","",INDEX(Daten_Risiken!$A:$ZZ,MATCH($B71&amp;"|Arbeitskosten",Daten_Risiken!$A$1:$A$529,0),$BK$4)),"")</f>
        <v>53</v>
      </c>
      <c r="AB71" s="49">
        <f>IFERROR(AA71-IFERROR(IF(INDEX(Daten_Risiken!$A:$ZZ,MATCH($B71&amp;"|Arbeitskosten",Daten_Risiken!$A$1:$A$529,0),$BK$5)="",NA(),INDEX(Daten_Risiken!$A:$ZZ,MATCH($B71&amp;"|Arbeitskosten",Daten_Risiken!$A$1:$A$529,0),$BK$5)),NA()),"")</f>
        <v>-1</v>
      </c>
      <c r="AC71" s="49">
        <f>IFERROR(AA71-IFERROR(IF(INDEX(Daten_Risiken!$A:$ZZ,MATCH($B71&amp;"|Arbeitskosten",Daten_Risiken!$A$1:$A$529,0),$BK$6)="",NA(),INDEX(Daten_Risiken!$A:$ZZ,MATCH($B71&amp;"|Arbeitskosten",Daten_Risiken!$A$1:$A$529,0),$BK$6)),NA()),"")</f>
        <v>4</v>
      </c>
      <c r="AD71" s="50">
        <f>IFERROR(IF(INDEX(Daten_Risiken!$A:$ZZ,MATCH($B71&amp;"|Inlandsnachfrage",Daten_Risiken!$A$1:$A$529,0),$BK$4)="","",INDEX(Daten_Risiken!$A:$ZZ,MATCH($B71&amp;"|Inlandsnachfrage",Daten_Risiken!$A$1:$A$529,0),$BK$4)),"")</f>
        <v>49</v>
      </c>
      <c r="AE71" s="49">
        <f>IFERROR(AD71-IFERROR(IF(INDEX(Daten_Risiken!$A:$ZZ,MATCH($B71&amp;"|Inlandsnachfrage",Daten_Risiken!$A$1:$A$529,0),$BK$5)="",NA(),INDEX(Daten_Risiken!$A:$ZZ,MATCH($B71&amp;"|Inlandsnachfrage",Daten_Risiken!$A$1:$A$529,0),$BK$5)),NA()),"")</f>
        <v>-5</v>
      </c>
      <c r="AF71" s="49">
        <f>IFERROR(AD71-IFERROR(IF(INDEX(Daten_Risiken!$A:$ZZ,MATCH($B71&amp;"|Inlandsnachfrage",Daten_Risiken!$A$1:$A$529,0),$BK$6)="",NA(),INDEX(Daten_Risiken!$A:$ZZ,MATCH($B71&amp;"|Inlandsnachfrage",Daten_Risiken!$A$1:$A$529,0),$BK$6)),NA()),"")</f>
        <v>-4</v>
      </c>
      <c r="AG71" s="50">
        <f>IFERROR(IF(INDEX(Daten_Risiken!$A:$ZZ,MATCH($B71&amp;"|Wirtschaftspolitische Rahmenbedingungen",Daten_Risiken!$A$1:$A$529,0),$BK$4)="","",INDEX(Daten_Risiken!$A:$ZZ,MATCH($B71&amp;"|Wirtschaftspolitische Rahmenbedingungen",Daten_Risiken!$A$1:$A$529,0),$BK$4)),"")</f>
        <v>58</v>
      </c>
      <c r="AH71" s="49">
        <f>IFERROR(AG71-IFERROR(IF(INDEX(Daten_Risiken!$A:$ZZ,MATCH($B71&amp;"|Wirtschaftspolitische Rahmenbedingungen",Daten_Risiken!$A$1:$A$529,0),$BK$5)="",NA(),INDEX(Daten_Risiken!$A:$ZZ,MATCH($B71&amp;"|Wirtschaftspolitische Rahmenbedingungen",Daten_Risiken!$A$1:$A$529,0),$BK$5)),NA()),"")</f>
        <v>1</v>
      </c>
      <c r="AI71" s="49">
        <f>IFERROR(AG71-IFERROR(IF(INDEX(Daten_Risiken!$A:$ZZ,MATCH($B71&amp;"|Wirtschaftspolitische Rahmenbedingungen",Daten_Risiken!$A$1:$A$529,0),$BK$6)="",NA(),INDEX(Daten_Risiken!$A:$ZZ,MATCH($B71&amp;"|Wirtschaftspolitische Rahmenbedingungen",Daten_Risiken!$A$1:$A$529,0),$BK$6)),NA()),"")</f>
        <v>7</v>
      </c>
      <c r="AJ71" s="50">
        <f>IFERROR(IF(INDEX(Daten_Risiken!$A:$ZZ,MATCH($B71&amp;"|Fachkräftemangel",Daten_Risiken!$A$1:$A$529,0),$BK$4)="","",INDEX(Daten_Risiken!$A:$ZZ,MATCH($B71&amp;"|Fachkräftemangel",Daten_Risiken!$A$1:$A$529,0),$BK$4)),"")</f>
        <v>25</v>
      </c>
      <c r="AK71" s="49">
        <f>IFERROR(AJ71-IFERROR(IF(INDEX(Daten_Risiken!$A:$ZZ,MATCH($B71&amp;"|Fachkräftemangel",Daten_Risiken!$A$1:$A$529,0),$BK$5)="",NA(),INDEX(Daten_Risiken!$A:$ZZ,MATCH($B71&amp;"|Fachkräftemangel",Daten_Risiken!$A$1:$A$529,0),$BK$5)),NA()),"")</f>
        <v>-2</v>
      </c>
      <c r="AL71" s="49">
        <f>IFERROR(AJ71-IFERROR(IF(INDEX(Daten_Risiken!$A:$ZZ,MATCH($B71&amp;"|Fachkräftemangel",Daten_Risiken!$A$1:$A$529,0),$BK$6)="",NA(),INDEX(Daten_Risiken!$A:$ZZ,MATCH($B71&amp;"|Fachkräftemangel",Daten_Risiken!$A$1:$A$529,0),$BK$6)),NA()),"")</f>
        <v>-11</v>
      </c>
      <c r="AM71" s="50" t="str">
        <f>IFERROR(IF(INDEX(Daten_Risiken!$A:$ZZ,MATCH($B71&amp;"|Auslandsnachfrage",Daten_Risiken!$A$1:$A$529,0),$BK$4)="","",INDEX(Daten_Risiken!$A:$ZZ,MATCH($B71&amp;"|Auslandsnachfrage",Daten_Risiken!$A$1:$A$529,0),$BK$4)),"")</f>
        <v/>
      </c>
      <c r="AN71" s="49" t="str">
        <f>IFERROR(AM71-IFERROR(IF(INDEX(Daten_Risiken!$A:$ZZ,MATCH($B71&amp;"|Auslandsnachfrage",Daten_Risiken!$A$1:$A$529,0),$BK$5)="",NA(),INDEX(Daten_Risiken!$A:$ZZ,MATCH($B71&amp;"|Auslandsnachfrage",Daten_Risiken!$A$1:$A$529,0),$BK$5)),NA()),"")</f>
        <v/>
      </c>
      <c r="AO71" s="49" t="str">
        <f>IFERROR(AM71-IFERROR(IF(INDEX(Daten_Risiken!$A:$ZZ,MATCH($B71&amp;"|Auslandsnachfrage",Daten_Risiken!$A$1:$A$529,0),$BK$6)="",NA(),INDEX(Daten_Risiken!$A:$ZZ,MATCH($B71&amp;"|Auslandsnachfrage",Daten_Risiken!$A$1:$A$529,0),$BK$6)),NA()),"")</f>
        <v/>
      </c>
      <c r="AP71" s="50">
        <f>IFERROR(IF(INDEX(Daten_Risiken!$A:$ZZ,MATCH($B71&amp;"|Finanzierung",Daten_Risiken!$A$1:$A$529,0),$BK$4)="","",INDEX(Daten_Risiken!$A:$ZZ,MATCH($B71&amp;"|Finanzierung",Daten_Risiken!$A$1:$A$529,0),$BK$4)),"")</f>
        <v>18</v>
      </c>
      <c r="AQ71" s="49">
        <f>IFERROR(AP71-IFERROR(IF(INDEX(Daten_Risiken!$A:$ZZ,MATCH($B71&amp;"|Finanzierung",Daten_Risiken!$A$1:$A$529,0),$BK$5)="",NA(),INDEX(Daten_Risiken!$A:$ZZ,MATCH($B71&amp;"|Finanzierung",Daten_Risiken!$A$1:$A$529,0),$BK$5)),NA()),"")</f>
        <v>2</v>
      </c>
      <c r="AR71" s="49">
        <f>IFERROR(AP71-IFERROR(IF(INDEX(Daten_Risiken!$A:$ZZ,MATCH($B71&amp;"|Finanzierung",Daten_Risiken!$A$1:$A$529,0),$BK$6)="",NA(),INDEX(Daten_Risiken!$A:$ZZ,MATCH($B71&amp;"|Finanzierung",Daten_Risiken!$A$1:$A$529,0),$BK$6)),NA()),"")</f>
        <v>1</v>
      </c>
      <c r="AS71" s="50" t="str">
        <f>IFERROR(IF(INDEX(Daten_Risiken!$A:$ZZ,MATCH($B71&amp;"|Wechselkurs",Daten_Risiken!$A$1:$A$529,0),$BK$4)="","",INDEX(Daten_Risiken!$A:$ZZ,MATCH($B71&amp;"|Wechselkurs",Daten_Risiken!$A$1:$A$529,0),$BK$4)),"")</f>
        <v/>
      </c>
      <c r="AT71" s="49" t="str">
        <f>IFERROR(AS71-IFERROR(IF(INDEX(Daten_Risiken!$A:$ZZ,MATCH($B71&amp;"|Wechselkurs",Daten_Risiken!$A$1:$A$529,0),$BK$5)="",NA(),INDEX(Daten_Risiken!$A:$ZZ,MATCH($B71&amp;"|Wechselkurs",Daten_Risiken!$A$1:$A$529,0),$BK$5)),NA()),"")</f>
        <v/>
      </c>
      <c r="AU71" s="49" t="str">
        <f>IFERROR(AS71-IFERROR(IF(INDEX(Daten_Risiken!$A:$ZZ,MATCH($B71&amp;"|Wechselkurs",Daten_Risiken!$A$1:$A$529,0),$BK$6)="",NA(),INDEX(Daten_Risiken!$A:$ZZ,MATCH($B71&amp;"|Wechselkurs",Daten_Risiken!$A$1:$A$529,0),$BK$6)),NA()),"")</f>
        <v/>
      </c>
      <c r="AV71" s="50">
        <f>IFERROR(IF(INDEX(Daten_Motive!$A:$ZZ,MATCH($B71&amp;"|Ersatzbedarf",Daten_Motive!$A$1:$A$331,0),$BK$7)="","",INDEX(Daten_Motive!$A:$ZZ,MATCH($B71&amp;"|Ersatzbedarf",Daten_Motive!$A$1:$A$331,0),$BK$7)),"")</f>
        <v>65</v>
      </c>
      <c r="AW71" s="49">
        <f>IFERROR(AV71-IFERROR(IF(INDEX(Daten_Motive!$A:$ZZ,MATCH($B71&amp;"|Ersatzbedarf",Daten_Motive!$A$1:$A$331,0),$BK$8)="",NA(),INDEX(Daten_Motive!$A:$ZZ,MATCH($B71&amp;"|Ersatzbedarf",Daten_Motive!$A$1:$A$331,0),$BK$8)),NA()),"")</f>
        <v>4</v>
      </c>
      <c r="AX71" s="49">
        <f>IFERROR(AV71-IFERROR(IF(INDEX(Daten_Motive!$A:$ZZ,MATCH($B71&amp;"|Ersatzbedarf",Daten_Motive!$A$1:$A$331,0),$BK$9)="",NA(),INDEX(Daten_Motive!$A:$ZZ,MATCH($B71&amp;"|Ersatzbedarf",Daten_Motive!$A$1:$A$331,0),$BK$9)),NA()),"")</f>
        <v>7</v>
      </c>
      <c r="AY71" s="50">
        <f>IFERROR(IF(INDEX(Daten_Motive!$A:$ZZ,MATCH($B71&amp;"|Rationalisierung",Daten_Motive!$A$1:$A$331,0),$BK$7)="","",INDEX(Daten_Motive!$A:$ZZ,MATCH($B71&amp;"|Rationalisierung",Daten_Motive!$A$1:$A$331,0),$BK$7)),"")</f>
        <v>23</v>
      </c>
      <c r="AZ71" s="49">
        <f>IFERROR(AY71-IFERROR(IF(INDEX(Daten_Motive!$A:$ZZ,MATCH($B71&amp;"|Rationalisierung",Daten_Motive!$A$1:$A$331,0),$BK$8)="",NA(),INDEX(Daten_Motive!$A:$ZZ,MATCH($B71&amp;"|Rationalisierung",Daten_Motive!$A$1:$A$331,0),$BK$8)),NA()),"")</f>
        <v>8</v>
      </c>
      <c r="BA71" s="49">
        <f>IFERROR(AY71-IFERROR(IF(INDEX(Daten_Motive!$A:$ZZ,MATCH($B71&amp;"|Rationalisierung",Daten_Motive!$A$1:$A$331,0),$BK$9)="",NA(),INDEX(Daten_Motive!$A:$ZZ,MATCH($B71&amp;"|Rationalisierung",Daten_Motive!$A$1:$A$331,0),$BK$9)),NA()),"")</f>
        <v>1</v>
      </c>
      <c r="BB71" s="50">
        <f>IFERROR(IF(INDEX(Daten_Motive!$A:$ZZ,MATCH($B71&amp;"|Produktinnovation",Daten_Motive!$A$1:$A$331,0),$BK$7)="","",INDEX(Daten_Motive!$A:$ZZ,MATCH($B71&amp;"|Produktinnovation",Daten_Motive!$A$1:$A$331,0),$BK$7)),"")</f>
        <v>33</v>
      </c>
      <c r="BC71" s="49">
        <f>IFERROR(BB71-IFERROR(IF(INDEX(Daten_Motive!$A:$ZZ,MATCH($B71&amp;"|Produktinnovation",Daten_Motive!$A$1:$A$331,0),$BK$8)="",NA(),INDEX(Daten_Motive!$A:$ZZ,MATCH($B71&amp;"|Produktinnovation",Daten_Motive!$A$1:$A$331,0),$BK$8)),NA()),"")</f>
        <v>5</v>
      </c>
      <c r="BD71" s="49">
        <f>IFERROR(BB71-IFERROR(IF(INDEX(Daten_Motive!$A:$ZZ,MATCH($B71&amp;"|Produktinnovation",Daten_Motive!$A$1:$A$331,0),$BK$9)="",NA(),INDEX(Daten_Motive!$A:$ZZ,MATCH($B71&amp;"|Produktinnovation",Daten_Motive!$A$1:$A$331,0),$BK$9)),NA()),"")</f>
        <v>-6</v>
      </c>
      <c r="BE71" s="50">
        <f>IFERROR(IF(INDEX(Daten_Motive!$A:$ZZ,MATCH($B71&amp;"|Umweltschutz",Daten_Motive!$A$1:$A$331,0),$BK$7)="","",INDEX(Daten_Motive!$A:$ZZ,MATCH($B71&amp;"|Umweltschutz",Daten_Motive!$A$1:$A$331,0),$BK$7)),"")</f>
        <v>13</v>
      </c>
      <c r="BF71" s="49">
        <f>IFERROR(BE71-IFERROR(IF(INDEX(Daten_Motive!$A:$ZZ,MATCH($B71&amp;"|Umweltschutz",Daten_Motive!$A$1:$A$331,0),$BK$8)="",NA(),INDEX(Daten_Motive!$A:$ZZ,MATCH($B71&amp;"|Umweltschutz",Daten_Motive!$A$1:$A$331,0),$BK$8)),NA()),"")</f>
        <v>5</v>
      </c>
      <c r="BG71" s="49">
        <f>IFERROR(BE71-IFERROR(IF(INDEX(Daten_Motive!$A:$ZZ,MATCH($B71&amp;"|Umweltschutz",Daten_Motive!$A$1:$A$331,0),$BK$9)="",NA(),INDEX(Daten_Motive!$A:$ZZ,MATCH($B71&amp;"|Umweltschutz",Daten_Motive!$A$1:$A$331,0),$BK$9)),NA()),"")</f>
        <v>3</v>
      </c>
      <c r="BH71" s="50">
        <f>IFERROR(IF(INDEX(Daten_Motive!$A:$ZZ,MATCH($B71&amp;"|Kapazitätserweiterung",Daten_Motive!$A$1:$A$331,0),$BK$7)="","",INDEX(Daten_Motive!$A:$ZZ,MATCH($B71&amp;"|Kapazitätserweiterung",Daten_Motive!$A$1:$A$331,0),$BK$7)),"")</f>
        <v>16</v>
      </c>
      <c r="BI71" s="49">
        <f>IFERROR(BH71-IFERROR(IF(INDEX(Daten_Motive!$A:$ZZ,MATCH($B71&amp;"|Kapazitätserweiterung",Daten_Motive!$A$1:$A$331,0),$BK$8)="",NA(),INDEX(Daten_Motive!$A:$ZZ,MATCH($B71&amp;"|Kapazitätserweiterung",Daten_Motive!$A$1:$A$331,0),$BK$8)),NA()),"")</f>
        <v>-11</v>
      </c>
      <c r="BJ71" s="49">
        <f>IFERROR(BH71-IFERROR(IF(INDEX(Daten_Motive!$A:$ZZ,MATCH($B71&amp;"|Kapazitätserweiterung",Daten_Motive!$A$1:$A$331,0),$BK$9)="",NA(),INDEX(Daten_Motive!$A:$ZZ,MATCH($B71&amp;"|Kapazitätserweiterung",Daten_Motive!$A$1:$A$331,0),$BK$9)),NA()),"")</f>
        <v>-6</v>
      </c>
    </row>
    <row r="72" spans="1:62" x14ac:dyDescent="0.25">
      <c r="A72" s="42">
        <v>64</v>
      </c>
      <c r="B72" s="52" t="str">
        <f>Listen!A64</f>
        <v>Gesundheits- und soziale Dienste</v>
      </c>
      <c r="C72" s="44" t="s">
        <v>4557</v>
      </c>
      <c r="D72" s="44" t="str">
        <f>Listen!B64</f>
        <v>Dienstleister</v>
      </c>
      <c r="E72" s="45">
        <f>IFERROR(IF(INDEX(Daten_Anteile!$A:$ZZ,MATCH($B72&amp;"|Lage|"&amp;$C$3,Daten_Anteile!$A$1:$A$2971,0),5)="","",INDEX(Daten_Anteile!$A:$ZZ,MATCH($B72&amp;"|Lage|"&amp;$C$3,Daten_Anteile!$A$1:$A$2971,0),5)),"")</f>
        <v>296</v>
      </c>
      <c r="F72" s="46">
        <f t="shared" si="3"/>
        <v>88.4</v>
      </c>
      <c r="G72" s="47">
        <f t="shared" si="4"/>
        <v>-8.4</v>
      </c>
      <c r="H72" s="47">
        <f t="shared" si="5"/>
        <v>-18.8</v>
      </c>
      <c r="I72" s="48">
        <f>IFERROR(IF(INDEX(Daten_Salden!$A:$ZZ,MATCH($B72&amp;"|Lage",Daten_Salden!$A$1:$A$331,0),$BK$1)="","",INDEX(Daten_Salden!$A:$ZZ,MATCH($B72&amp;"|Lage",Daten_Salden!$A$1:$A$331,0),$BK$1)),"")</f>
        <v>7</v>
      </c>
      <c r="J72" s="49">
        <f>IFERROR(I72-IFERROR(IF(INDEX(Daten_Salden!$A:$ZZ,MATCH($B72&amp;"|Lage",Daten_Salden!$A$1:$A$331,0),$BK$2)="",NA(),INDEX(Daten_Salden!$A:$ZZ,MATCH($B72&amp;"|Lage",Daten_Salden!$A$1:$A$331,0),$BK$2)),NA()),"")</f>
        <v>-6</v>
      </c>
      <c r="K72" s="49">
        <f>IFERROR(I72-IFERROR(IF(INDEX(Daten_Salden!$A:$ZZ,MATCH($B72&amp;"|Lage",Daten_Salden!$A$1:$A$331,0),$BK$3)="",NA(),INDEX(Daten_Salden!$A:$ZZ,MATCH($B72&amp;"|Lage",Daten_Salden!$A$1:$A$331,0),$BK$3)),NA()),"")</f>
        <v>-9</v>
      </c>
      <c r="L72" s="48">
        <f>IFERROR(IF(INDEX(Daten_Salden!$A:$ZZ,MATCH($B72&amp;"|Erwartungen",Daten_Salden!$A$1:$A$331,0),$BK$1)="","",INDEX(Daten_Salden!$A:$ZZ,MATCH($B72&amp;"|Erwartungen",Daten_Salden!$A$1:$A$331,0),$BK$1)),"")</f>
        <v>-27</v>
      </c>
      <c r="M72" s="49">
        <f>IFERROR(L72-IFERROR(IF(INDEX(Daten_Salden!$A:$ZZ,MATCH($B72&amp;"|Erwartungen",Daten_Salden!$A$1:$A$331,0),$BK$2)="",NA(),INDEX(Daten_Salden!$A:$ZZ,MATCH($B72&amp;"|Erwartungen",Daten_Salden!$A$1:$A$331,0),$BK$2)),NA()),"")</f>
        <v>-10</v>
      </c>
      <c r="N72" s="49">
        <f>IFERROR(L72-IFERROR(IF(INDEX(Daten_Salden!$A:$ZZ,MATCH($B72&amp;"|Erwartungen",Daten_Salden!$A$1:$A$331,0),$BK$3)="",NA(),INDEX(Daten_Salden!$A:$ZZ,MATCH($B72&amp;"|Erwartungen",Daten_Salden!$A$1:$A$331,0),$BK$3)),NA()),"")</f>
        <v>-26</v>
      </c>
      <c r="O72" s="48" t="str">
        <f>IFERROR(IF(INDEX(Daten_Salden!$A:$ZZ,MATCH($B72&amp;"|Export",Daten_Salden!$A$1:$A$331,0),$BK$1)="","",INDEX(Daten_Salden!$A:$ZZ,MATCH($B72&amp;"|Export",Daten_Salden!$A$1:$A$331,0),$BK$1)),"")</f>
        <v/>
      </c>
      <c r="P72" s="49" t="str">
        <f>IFERROR(O72-IFERROR(IF(INDEX(Daten_Salden!$A:$ZZ,MATCH($B72&amp;"|Export",Daten_Salden!$A$1:$A$331,0),$BK$2)="",NA(),INDEX(Daten_Salden!$A:$ZZ,MATCH($B72&amp;"|Export",Daten_Salden!$A$1:$A$331,0),$BK$2)),NA()),"")</f>
        <v/>
      </c>
      <c r="Q72" s="49" t="str">
        <f>IFERROR(O72-IFERROR(IF(INDEX(Daten_Salden!$A:$ZZ,MATCH($B72&amp;"|Export",Daten_Salden!$A$1:$A$331,0),$BK$3)="",NA(),INDEX(Daten_Salden!$A:$ZZ,MATCH($B72&amp;"|Export",Daten_Salden!$A$1:$A$331,0),$BK$3)),NA()),"")</f>
        <v/>
      </c>
      <c r="R72" s="48">
        <f>IFERROR(IF(INDEX(Daten_Salden!$A:$ZZ,MATCH($B72&amp;"|Investitionen",Daten_Salden!$A$1:$A$331,0),$BK$1)="","",INDEX(Daten_Salden!$A:$ZZ,MATCH($B72&amp;"|Investitionen",Daten_Salden!$A$1:$A$331,0),$BK$1)),"")</f>
        <v>12</v>
      </c>
      <c r="S72" s="49">
        <f>IFERROR(R72-IFERROR(IF(INDEX(Daten_Salden!$A:$ZZ,MATCH($B72&amp;"|Investitionen",Daten_Salden!$A$1:$A$331,0),$BK$2)="",NA(),INDEX(Daten_Salden!$A:$ZZ,MATCH($B72&amp;"|Investitionen",Daten_Salden!$A$1:$A$331,0),$BK$2)),NA()),"")</f>
        <v>-6</v>
      </c>
      <c r="T72" s="49">
        <f>IFERROR(R72-IFERROR(IF(INDEX(Daten_Salden!$A:$ZZ,MATCH($B72&amp;"|Investitionen",Daten_Salden!$A$1:$A$331,0),$BK$3)="",NA(),INDEX(Daten_Salden!$A:$ZZ,MATCH($B72&amp;"|Investitionen",Daten_Salden!$A$1:$A$331,0),$BK$3)),NA()),"")</f>
        <v>-9</v>
      </c>
      <c r="U72" s="48">
        <f>IFERROR(IF(INDEX(Daten_Salden!$A:$ZZ,MATCH($B72&amp;"|Beschäftigung",Daten_Salden!$A$1:$A$331,0),$BK$1)="","",INDEX(Daten_Salden!$A:$ZZ,MATCH($B72&amp;"|Beschäftigung",Daten_Salden!$A$1:$A$331,0),$BK$1)),"")</f>
        <v>-8</v>
      </c>
      <c r="V72" s="49">
        <f>IFERROR(U72-IFERROR(IF(INDEX(Daten_Salden!$A:$ZZ,MATCH($B72&amp;"|Beschäftigung",Daten_Salden!$A$1:$A$331,0),$BK$2)="",NA(),INDEX(Daten_Salden!$A:$ZZ,MATCH($B72&amp;"|Beschäftigung",Daten_Salden!$A$1:$A$331,0),$BK$2)),NA()),"")</f>
        <v>-14</v>
      </c>
      <c r="W72" s="49">
        <f>IFERROR(U72-IFERROR(IF(INDEX(Daten_Salden!$A:$ZZ,MATCH($B72&amp;"|Beschäftigung",Daten_Salden!$A$1:$A$331,0),$BK$3)="",NA(),INDEX(Daten_Salden!$A:$ZZ,MATCH($B72&amp;"|Beschäftigung",Daten_Salden!$A$1:$A$331,0),$BK$3)),NA()),"")</f>
        <v>-16</v>
      </c>
      <c r="X72" s="50">
        <f>IFERROR(IF(INDEX(Daten_Risiken!$A:$ZZ,MATCH($B72&amp;"|Energie- und Rohstoffpreise",Daten_Risiken!$A$1:$A$529,0),$BK$4)="","",INDEX(Daten_Risiken!$A:$ZZ,MATCH($B72&amp;"|Energie- und Rohstoffpreise",Daten_Risiken!$A$1:$A$529,0),$BK$4)),"")</f>
        <v>49</v>
      </c>
      <c r="Y72" s="49">
        <f>IFERROR(X72-IFERROR(IF(INDEX(Daten_Risiken!$A:$ZZ,MATCH($B72&amp;"|Energie- und Rohstoffpreise",Daten_Risiken!$A$1:$A$529,0),$BK$5)="",NA(),INDEX(Daten_Risiken!$A:$ZZ,MATCH($B72&amp;"|Energie- und Rohstoffpreise",Daten_Risiken!$A$1:$A$529,0),$BK$5)),NA()),"")</f>
        <v>-10</v>
      </c>
      <c r="Z72" s="49">
        <f>IFERROR(X72-IFERROR(IF(INDEX(Daten_Risiken!$A:$ZZ,MATCH($B72&amp;"|Energie- und Rohstoffpreise",Daten_Risiken!$A$1:$A$529,0),$BK$6)="",NA(),INDEX(Daten_Risiken!$A:$ZZ,MATCH($B72&amp;"|Energie- und Rohstoffpreise",Daten_Risiken!$A$1:$A$529,0),$BK$6)),NA()),"")</f>
        <v>18</v>
      </c>
      <c r="AA72" s="50">
        <f>IFERROR(IF(INDEX(Daten_Risiken!$A:$ZZ,MATCH($B72&amp;"|Arbeitskosten",Daten_Risiken!$A$1:$A$529,0),$BK$4)="","",INDEX(Daten_Risiken!$A:$ZZ,MATCH($B72&amp;"|Arbeitskosten",Daten_Risiken!$A$1:$A$529,0),$BK$4)),"")</f>
        <v>60</v>
      </c>
      <c r="AB72" s="49">
        <f>IFERROR(AA72-IFERROR(IF(INDEX(Daten_Risiken!$A:$ZZ,MATCH($B72&amp;"|Arbeitskosten",Daten_Risiken!$A$1:$A$529,0),$BK$5)="",NA(),INDEX(Daten_Risiken!$A:$ZZ,MATCH($B72&amp;"|Arbeitskosten",Daten_Risiken!$A$1:$A$529,0),$BK$5)),NA()),"")</f>
        <v>-1</v>
      </c>
      <c r="AC72" s="49">
        <f>IFERROR(AA72-IFERROR(IF(INDEX(Daten_Risiken!$A:$ZZ,MATCH($B72&amp;"|Arbeitskosten",Daten_Risiken!$A$1:$A$529,0),$BK$6)="",NA(),INDEX(Daten_Risiken!$A:$ZZ,MATCH($B72&amp;"|Arbeitskosten",Daten_Risiken!$A$1:$A$529,0),$BK$6)),NA()),"")</f>
        <v>9</v>
      </c>
      <c r="AD72" s="50">
        <f>IFERROR(IF(INDEX(Daten_Risiken!$A:$ZZ,MATCH($B72&amp;"|Inlandsnachfrage",Daten_Risiken!$A$1:$A$529,0),$BK$4)="","",INDEX(Daten_Risiken!$A:$ZZ,MATCH($B72&amp;"|Inlandsnachfrage",Daten_Risiken!$A$1:$A$529,0),$BK$4)),"")</f>
        <v>21</v>
      </c>
      <c r="AE72" s="49">
        <f>IFERROR(AD72-IFERROR(IF(INDEX(Daten_Risiken!$A:$ZZ,MATCH($B72&amp;"|Inlandsnachfrage",Daten_Risiken!$A$1:$A$529,0),$BK$5)="",NA(),INDEX(Daten_Risiken!$A:$ZZ,MATCH($B72&amp;"|Inlandsnachfrage",Daten_Risiken!$A$1:$A$529,0),$BK$5)),NA()),"")</f>
        <v>6</v>
      </c>
      <c r="AF72" s="49">
        <f>IFERROR(AD72-IFERROR(IF(INDEX(Daten_Risiken!$A:$ZZ,MATCH($B72&amp;"|Inlandsnachfrage",Daten_Risiken!$A$1:$A$529,0),$BK$6)="",NA(),INDEX(Daten_Risiken!$A:$ZZ,MATCH($B72&amp;"|Inlandsnachfrage",Daten_Risiken!$A$1:$A$529,0),$BK$6)),NA()),"")</f>
        <v>5</v>
      </c>
      <c r="AG72" s="50">
        <f>IFERROR(IF(INDEX(Daten_Risiken!$A:$ZZ,MATCH($B72&amp;"|Wirtschaftspolitische Rahmenbedingungen",Daten_Risiken!$A$1:$A$529,0),$BK$4)="","",INDEX(Daten_Risiken!$A:$ZZ,MATCH($B72&amp;"|Wirtschaftspolitische Rahmenbedingungen",Daten_Risiken!$A$1:$A$529,0),$BK$4)),"")</f>
        <v>57</v>
      </c>
      <c r="AH72" s="49">
        <f>IFERROR(AG72-IFERROR(IF(INDEX(Daten_Risiken!$A:$ZZ,MATCH($B72&amp;"|Wirtschaftspolitische Rahmenbedingungen",Daten_Risiken!$A$1:$A$529,0),$BK$5)="",NA(),INDEX(Daten_Risiken!$A:$ZZ,MATCH($B72&amp;"|Wirtschaftspolitische Rahmenbedingungen",Daten_Risiken!$A$1:$A$529,0),$BK$5)),NA()),"")</f>
        <v>5</v>
      </c>
      <c r="AI72" s="49">
        <f>IFERROR(AG72-IFERROR(IF(INDEX(Daten_Risiken!$A:$ZZ,MATCH($B72&amp;"|Wirtschaftspolitische Rahmenbedingungen",Daten_Risiken!$A$1:$A$529,0),$BK$6)="",NA(),INDEX(Daten_Risiken!$A:$ZZ,MATCH($B72&amp;"|Wirtschaftspolitische Rahmenbedingungen",Daten_Risiken!$A$1:$A$529,0),$BK$6)),NA()),"")</f>
        <v>9</v>
      </c>
      <c r="AJ72" s="50">
        <f>IFERROR(IF(INDEX(Daten_Risiken!$A:$ZZ,MATCH($B72&amp;"|Fachkräftemangel",Daten_Risiken!$A$1:$A$529,0),$BK$4)="","",INDEX(Daten_Risiken!$A:$ZZ,MATCH($B72&amp;"|Fachkräftemangel",Daten_Risiken!$A$1:$A$529,0),$BK$4)),"")</f>
        <v>54</v>
      </c>
      <c r="AK72" s="49">
        <f>IFERROR(AJ72-IFERROR(IF(INDEX(Daten_Risiken!$A:$ZZ,MATCH($B72&amp;"|Fachkräftemangel",Daten_Risiken!$A$1:$A$529,0),$BK$5)="",NA(),INDEX(Daten_Risiken!$A:$ZZ,MATCH($B72&amp;"|Fachkräftemangel",Daten_Risiken!$A$1:$A$529,0),$BK$5)),NA()),"")</f>
        <v>-8</v>
      </c>
      <c r="AL72" s="49">
        <f>IFERROR(AJ72-IFERROR(IF(INDEX(Daten_Risiken!$A:$ZZ,MATCH($B72&amp;"|Fachkräftemangel",Daten_Risiken!$A$1:$A$529,0),$BK$6)="",NA(),INDEX(Daten_Risiken!$A:$ZZ,MATCH($B72&amp;"|Fachkräftemangel",Daten_Risiken!$A$1:$A$529,0),$BK$6)),NA()),"")</f>
        <v>-14</v>
      </c>
      <c r="AM72" s="50" t="str">
        <f>IFERROR(IF(INDEX(Daten_Risiken!$A:$ZZ,MATCH($B72&amp;"|Auslandsnachfrage",Daten_Risiken!$A$1:$A$529,0),$BK$4)="","",INDEX(Daten_Risiken!$A:$ZZ,MATCH($B72&amp;"|Auslandsnachfrage",Daten_Risiken!$A$1:$A$529,0),$BK$4)),"")</f>
        <v/>
      </c>
      <c r="AN72" s="49" t="str">
        <f>IFERROR(AM72-IFERROR(IF(INDEX(Daten_Risiken!$A:$ZZ,MATCH($B72&amp;"|Auslandsnachfrage",Daten_Risiken!$A$1:$A$529,0),$BK$5)="",NA(),INDEX(Daten_Risiken!$A:$ZZ,MATCH($B72&amp;"|Auslandsnachfrage",Daten_Risiken!$A$1:$A$529,0),$BK$5)),NA()),"")</f>
        <v/>
      </c>
      <c r="AO72" s="49" t="str">
        <f>IFERROR(AM72-IFERROR(IF(INDEX(Daten_Risiken!$A:$ZZ,MATCH($B72&amp;"|Auslandsnachfrage",Daten_Risiken!$A$1:$A$529,0),$BK$6)="",NA(),INDEX(Daten_Risiken!$A:$ZZ,MATCH($B72&amp;"|Auslandsnachfrage",Daten_Risiken!$A$1:$A$529,0),$BK$6)),NA()),"")</f>
        <v/>
      </c>
      <c r="AP72" s="50">
        <f>IFERROR(IF(INDEX(Daten_Risiken!$A:$ZZ,MATCH($B72&amp;"|Finanzierung",Daten_Risiken!$A$1:$A$529,0),$BK$4)="","",INDEX(Daten_Risiken!$A:$ZZ,MATCH($B72&amp;"|Finanzierung",Daten_Risiken!$A$1:$A$529,0),$BK$4)),"")</f>
        <v>32</v>
      </c>
      <c r="AQ72" s="49">
        <f>IFERROR(AP72-IFERROR(IF(INDEX(Daten_Risiken!$A:$ZZ,MATCH($B72&amp;"|Finanzierung",Daten_Risiken!$A$1:$A$529,0),$BK$5)="",NA(),INDEX(Daten_Risiken!$A:$ZZ,MATCH($B72&amp;"|Finanzierung",Daten_Risiken!$A$1:$A$529,0),$BK$5)),NA()),"")</f>
        <v>9</v>
      </c>
      <c r="AR72" s="49">
        <f>IFERROR(AP72-IFERROR(IF(INDEX(Daten_Risiken!$A:$ZZ,MATCH($B72&amp;"|Finanzierung",Daten_Risiken!$A$1:$A$529,0),$BK$6)="",NA(),INDEX(Daten_Risiken!$A:$ZZ,MATCH($B72&amp;"|Finanzierung",Daten_Risiken!$A$1:$A$529,0),$BK$6)),NA()),"")</f>
        <v>9</v>
      </c>
      <c r="AS72" s="50" t="str">
        <f>IFERROR(IF(INDEX(Daten_Risiken!$A:$ZZ,MATCH($B72&amp;"|Wechselkurs",Daten_Risiken!$A$1:$A$529,0),$BK$4)="","",INDEX(Daten_Risiken!$A:$ZZ,MATCH($B72&amp;"|Wechselkurs",Daten_Risiken!$A$1:$A$529,0),$BK$4)),"")</f>
        <v/>
      </c>
      <c r="AT72" s="49" t="str">
        <f>IFERROR(AS72-IFERROR(IF(INDEX(Daten_Risiken!$A:$ZZ,MATCH($B72&amp;"|Wechselkurs",Daten_Risiken!$A$1:$A$529,0),$BK$5)="",NA(),INDEX(Daten_Risiken!$A:$ZZ,MATCH($B72&amp;"|Wechselkurs",Daten_Risiken!$A$1:$A$529,0),$BK$5)),NA()),"")</f>
        <v/>
      </c>
      <c r="AU72" s="49" t="str">
        <f>IFERROR(AS72-IFERROR(IF(INDEX(Daten_Risiken!$A:$ZZ,MATCH($B72&amp;"|Wechselkurs",Daten_Risiken!$A$1:$A$529,0),$BK$6)="",NA(),INDEX(Daten_Risiken!$A:$ZZ,MATCH($B72&amp;"|Wechselkurs",Daten_Risiken!$A$1:$A$529,0),$BK$6)),NA()),"")</f>
        <v/>
      </c>
      <c r="AV72" s="50">
        <f>IFERROR(IF(INDEX(Daten_Motive!$A:$ZZ,MATCH($B72&amp;"|Ersatzbedarf",Daten_Motive!$A$1:$A$331,0),$BK$7)="","",INDEX(Daten_Motive!$A:$ZZ,MATCH($B72&amp;"|Ersatzbedarf",Daten_Motive!$A$1:$A$331,0),$BK$7)),"")</f>
        <v>67</v>
      </c>
      <c r="AW72" s="49">
        <f>IFERROR(AV72-IFERROR(IF(INDEX(Daten_Motive!$A:$ZZ,MATCH($B72&amp;"|Ersatzbedarf",Daten_Motive!$A$1:$A$331,0),$BK$8)="",NA(),INDEX(Daten_Motive!$A:$ZZ,MATCH($B72&amp;"|Ersatzbedarf",Daten_Motive!$A$1:$A$331,0),$BK$8)),NA()),"")</f>
        <v>-11</v>
      </c>
      <c r="AX72" s="49">
        <f>IFERROR(AV72-IFERROR(IF(INDEX(Daten_Motive!$A:$ZZ,MATCH($B72&amp;"|Ersatzbedarf",Daten_Motive!$A$1:$A$331,0),$BK$9)="",NA(),INDEX(Daten_Motive!$A:$ZZ,MATCH($B72&amp;"|Ersatzbedarf",Daten_Motive!$A$1:$A$331,0),$BK$9)),NA()),"")</f>
        <v>-2</v>
      </c>
      <c r="AY72" s="50">
        <f>IFERROR(IF(INDEX(Daten_Motive!$A:$ZZ,MATCH($B72&amp;"|Rationalisierung",Daten_Motive!$A$1:$A$331,0),$BK$7)="","",INDEX(Daten_Motive!$A:$ZZ,MATCH($B72&amp;"|Rationalisierung",Daten_Motive!$A$1:$A$331,0),$BK$7)),"")</f>
        <v>22</v>
      </c>
      <c r="AZ72" s="49">
        <f>IFERROR(AY72-IFERROR(IF(INDEX(Daten_Motive!$A:$ZZ,MATCH($B72&amp;"|Rationalisierung",Daten_Motive!$A$1:$A$331,0),$BK$8)="",NA(),INDEX(Daten_Motive!$A:$ZZ,MATCH($B72&amp;"|Rationalisierung",Daten_Motive!$A$1:$A$331,0),$BK$8)),NA()),"")</f>
        <v>3</v>
      </c>
      <c r="BA72" s="49">
        <f>IFERROR(AY72-IFERROR(IF(INDEX(Daten_Motive!$A:$ZZ,MATCH($B72&amp;"|Rationalisierung",Daten_Motive!$A$1:$A$331,0),$BK$9)="",NA(),INDEX(Daten_Motive!$A:$ZZ,MATCH($B72&amp;"|Rationalisierung",Daten_Motive!$A$1:$A$331,0),$BK$9)),NA()),"")</f>
        <v>1</v>
      </c>
      <c r="BB72" s="50">
        <f>IFERROR(IF(INDEX(Daten_Motive!$A:$ZZ,MATCH($B72&amp;"|Produktinnovation",Daten_Motive!$A$1:$A$331,0),$BK$7)="","",INDEX(Daten_Motive!$A:$ZZ,MATCH($B72&amp;"|Produktinnovation",Daten_Motive!$A$1:$A$331,0),$BK$7)),"")</f>
        <v>24</v>
      </c>
      <c r="BC72" s="49">
        <f>IFERROR(BB72-IFERROR(IF(INDEX(Daten_Motive!$A:$ZZ,MATCH($B72&amp;"|Produktinnovation",Daten_Motive!$A$1:$A$331,0),$BK$8)="",NA(),INDEX(Daten_Motive!$A:$ZZ,MATCH($B72&amp;"|Produktinnovation",Daten_Motive!$A$1:$A$331,0),$BK$8)),NA()),"")</f>
        <v>-2</v>
      </c>
      <c r="BD72" s="49">
        <f>IFERROR(BB72-IFERROR(IF(INDEX(Daten_Motive!$A:$ZZ,MATCH($B72&amp;"|Produktinnovation",Daten_Motive!$A$1:$A$331,0),$BK$9)="",NA(),INDEX(Daten_Motive!$A:$ZZ,MATCH($B72&amp;"|Produktinnovation",Daten_Motive!$A$1:$A$331,0),$BK$9)),NA()),"")</f>
        <v>-3</v>
      </c>
      <c r="BE72" s="50">
        <f>IFERROR(IF(INDEX(Daten_Motive!$A:$ZZ,MATCH($B72&amp;"|Umweltschutz",Daten_Motive!$A$1:$A$331,0),$BK$7)="","",INDEX(Daten_Motive!$A:$ZZ,MATCH($B72&amp;"|Umweltschutz",Daten_Motive!$A$1:$A$331,0),$BK$7)),"")</f>
        <v>18</v>
      </c>
      <c r="BF72" s="49">
        <f>IFERROR(BE72-IFERROR(IF(INDEX(Daten_Motive!$A:$ZZ,MATCH($B72&amp;"|Umweltschutz",Daten_Motive!$A$1:$A$331,0),$BK$8)="",NA(),INDEX(Daten_Motive!$A:$ZZ,MATCH($B72&amp;"|Umweltschutz",Daten_Motive!$A$1:$A$331,0),$BK$8)),NA()),"")</f>
        <v>-3</v>
      </c>
      <c r="BG72" s="49">
        <f>IFERROR(BE72-IFERROR(IF(INDEX(Daten_Motive!$A:$ZZ,MATCH($B72&amp;"|Umweltschutz",Daten_Motive!$A$1:$A$331,0),$BK$9)="",NA(),INDEX(Daten_Motive!$A:$ZZ,MATCH($B72&amp;"|Umweltschutz",Daten_Motive!$A$1:$A$331,0),$BK$9)),NA()),"")</f>
        <v>1</v>
      </c>
      <c r="BH72" s="50">
        <f>IFERROR(IF(INDEX(Daten_Motive!$A:$ZZ,MATCH($B72&amp;"|Kapazitätserweiterung",Daten_Motive!$A$1:$A$331,0),$BK$7)="","",INDEX(Daten_Motive!$A:$ZZ,MATCH($B72&amp;"|Kapazitätserweiterung",Daten_Motive!$A$1:$A$331,0),$BK$7)),"")</f>
        <v>25</v>
      </c>
      <c r="BI72" s="49">
        <f>IFERROR(BH72-IFERROR(IF(INDEX(Daten_Motive!$A:$ZZ,MATCH($B72&amp;"|Kapazitätserweiterung",Daten_Motive!$A$1:$A$331,0),$BK$8)="",NA(),INDEX(Daten_Motive!$A:$ZZ,MATCH($B72&amp;"|Kapazitätserweiterung",Daten_Motive!$A$1:$A$331,0),$BK$8)),NA()),"")</f>
        <v>4</v>
      </c>
      <c r="BJ72" s="49">
        <f>IFERROR(BH72-IFERROR(IF(INDEX(Daten_Motive!$A:$ZZ,MATCH($B72&amp;"|Kapazitätserweiterung",Daten_Motive!$A$1:$A$331,0),$BK$9)="",NA(),INDEX(Daten_Motive!$A:$ZZ,MATCH($B72&amp;"|Kapazitätserweiterung",Daten_Motive!$A$1:$A$331,0),$BK$9)),NA()),"")</f>
        <v>-4</v>
      </c>
    </row>
    <row r="73" spans="1:62" x14ac:dyDescent="0.25">
      <c r="A73" s="42">
        <v>65</v>
      </c>
      <c r="B73" s="51" t="str">
        <f>Listen!A65</f>
        <v>Kunst, Unterhaltung, Erholung (alt: Freizeitwirtschaft)</v>
      </c>
      <c r="C73" s="44" t="s">
        <v>4558</v>
      </c>
      <c r="D73" s="44" t="str">
        <f>Listen!B65</f>
        <v>Dienstleister</v>
      </c>
      <c r="E73" s="45">
        <f>IFERROR(IF(INDEX(Daten_Anteile!$A:$ZZ,MATCH($B73&amp;"|Lage|"&amp;$C$3,Daten_Anteile!$A$1:$A$2971,0),5)="","",INDEX(Daten_Anteile!$A:$ZZ,MATCH($B73&amp;"|Lage|"&amp;$C$3,Daten_Anteile!$A$1:$A$2971,0),5)),"")</f>
        <v>246</v>
      </c>
      <c r="F73" s="46">
        <f t="shared" si="3"/>
        <v>90.3</v>
      </c>
      <c r="G73" s="47">
        <f t="shared" ref="G73:G74" si="6">IF(AND(ISNUMBER(F73),ISNUMBER(J73),ISNUMBER(M73)),ROUND(F73-SQRT((100+I73-J73)*(100+L73-M73)),1),"")</f>
        <v>0.5</v>
      </c>
      <c r="H73" s="47">
        <f t="shared" ref="H73:H74" si="7">IF(AND(ISNUMBER(F73),ISNUMBER(K73),ISNUMBER(N73)),ROUND(F73-SQRT((100+I73-K73)*(100+L73-N73)),1),"")</f>
        <v>-4.2</v>
      </c>
      <c r="I73" s="48">
        <f>IFERROR(IF(INDEX(Daten_Salden!$A:$ZZ,MATCH($B73&amp;"|Lage",Daten_Salden!$A$1:$A$331,0),$BK$1)="","",INDEX(Daten_Salden!$A:$ZZ,MATCH($B73&amp;"|Lage",Daten_Salden!$A$1:$A$331,0),$BK$1)),"")</f>
        <v>-3</v>
      </c>
      <c r="J73" s="49">
        <f>IFERROR(I73-IFERROR(IF(INDEX(Daten_Salden!$A:$ZZ,MATCH($B73&amp;"|Lage",Daten_Salden!$A$1:$A$331,0),$BK$2)="",NA(),INDEX(Daten_Salden!$A:$ZZ,MATCH($B73&amp;"|Lage",Daten_Salden!$A$1:$A$331,0),$BK$2)),NA()),"")</f>
        <v>1</v>
      </c>
      <c r="K73" s="49">
        <f>IFERROR(I73-IFERROR(IF(INDEX(Daten_Salden!$A:$ZZ,MATCH($B73&amp;"|Lage",Daten_Salden!$A$1:$A$331,0),$BK$3)="",NA(),INDEX(Daten_Salden!$A:$ZZ,MATCH($B73&amp;"|Lage",Daten_Salden!$A$1:$A$331,0),$BK$3)),NA()),"")</f>
        <v>0</v>
      </c>
      <c r="L73" s="48">
        <f>IFERROR(IF(INDEX(Daten_Salden!$A:$ZZ,MATCH($B73&amp;"|Erwartungen",Daten_Salden!$A$1:$A$331,0),$BK$1)="","",INDEX(Daten_Salden!$A:$ZZ,MATCH($B73&amp;"|Erwartungen",Daten_Salden!$A$1:$A$331,0),$BK$1)),"")</f>
        <v>-16</v>
      </c>
      <c r="M73" s="49">
        <f>IFERROR(L73-IFERROR(IF(INDEX(Daten_Salden!$A:$ZZ,MATCH($B73&amp;"|Erwartungen",Daten_Salden!$A$1:$A$331,0),$BK$2)="",NA(),INDEX(Daten_Salden!$A:$ZZ,MATCH($B73&amp;"|Erwartungen",Daten_Salden!$A$1:$A$331,0),$BK$2)),NA()),"")</f>
        <v>0</v>
      </c>
      <c r="N73" s="49">
        <f>IFERROR(L73-IFERROR(IF(INDEX(Daten_Salden!$A:$ZZ,MATCH($B73&amp;"|Erwartungen",Daten_Salden!$A$1:$A$331,0),$BK$3)="",NA(),INDEX(Daten_Salden!$A:$ZZ,MATCH($B73&amp;"|Erwartungen",Daten_Salden!$A$1:$A$331,0),$BK$3)),NA()),"")</f>
        <v>-8</v>
      </c>
      <c r="O73" s="48" t="str">
        <f>IFERROR(IF(INDEX(Daten_Salden!$A:$ZZ,MATCH($B73&amp;"|Export",Daten_Salden!$A$1:$A$331,0),$BK$1)="","",INDEX(Daten_Salden!$A:$ZZ,MATCH($B73&amp;"|Export",Daten_Salden!$A$1:$A$331,0),$BK$1)),"")</f>
        <v/>
      </c>
      <c r="P73" s="49" t="str">
        <f>IFERROR(O73-IFERROR(IF(INDEX(Daten_Salden!$A:$ZZ,MATCH($B73&amp;"|Export",Daten_Salden!$A$1:$A$331,0),$BK$2)="",NA(),INDEX(Daten_Salden!$A:$ZZ,MATCH($B73&amp;"|Export",Daten_Salden!$A$1:$A$331,0),$BK$2)),NA()),"")</f>
        <v/>
      </c>
      <c r="Q73" s="49" t="str">
        <f>IFERROR(O73-IFERROR(IF(INDEX(Daten_Salden!$A:$ZZ,MATCH($B73&amp;"|Export",Daten_Salden!$A$1:$A$331,0),$BK$3)="",NA(),INDEX(Daten_Salden!$A:$ZZ,MATCH($B73&amp;"|Export",Daten_Salden!$A$1:$A$331,0),$BK$3)),NA()),"")</f>
        <v/>
      </c>
      <c r="R73" s="48">
        <f>IFERROR(IF(INDEX(Daten_Salden!$A:$ZZ,MATCH($B73&amp;"|Investitionen",Daten_Salden!$A$1:$A$331,0),$BK$1)="","",INDEX(Daten_Salden!$A:$ZZ,MATCH($B73&amp;"|Investitionen",Daten_Salden!$A$1:$A$331,0),$BK$1)),"")</f>
        <v>-2</v>
      </c>
      <c r="S73" s="49">
        <f>IFERROR(R73-IFERROR(IF(INDEX(Daten_Salden!$A:$ZZ,MATCH($B73&amp;"|Investitionen",Daten_Salden!$A$1:$A$331,0),$BK$2)="",NA(),INDEX(Daten_Salden!$A:$ZZ,MATCH($B73&amp;"|Investitionen",Daten_Salden!$A$1:$A$331,0),$BK$2)),NA()),"")</f>
        <v>7</v>
      </c>
      <c r="T73" s="49">
        <f>IFERROR(R73-IFERROR(IF(INDEX(Daten_Salden!$A:$ZZ,MATCH($B73&amp;"|Investitionen",Daten_Salden!$A$1:$A$331,0),$BK$3)="",NA(),INDEX(Daten_Salden!$A:$ZZ,MATCH($B73&amp;"|Investitionen",Daten_Salden!$A$1:$A$331,0),$BK$3)),NA()),"")</f>
        <v>1</v>
      </c>
      <c r="U73" s="48">
        <f>IFERROR(IF(INDEX(Daten_Salden!$A:$ZZ,MATCH($B73&amp;"|Beschäftigung",Daten_Salden!$A$1:$A$331,0),$BK$1)="","",INDEX(Daten_Salden!$A:$ZZ,MATCH($B73&amp;"|Beschäftigung",Daten_Salden!$A$1:$A$331,0),$BK$1)),"")</f>
        <v>-18</v>
      </c>
      <c r="V73" s="49">
        <f>IFERROR(U73-IFERROR(IF(INDEX(Daten_Salden!$A:$ZZ,MATCH($B73&amp;"|Beschäftigung",Daten_Salden!$A$1:$A$331,0),$BK$2)="",NA(),INDEX(Daten_Salden!$A:$ZZ,MATCH($B73&amp;"|Beschäftigung",Daten_Salden!$A$1:$A$331,0),$BK$2)),NA()),"")</f>
        <v>-5</v>
      </c>
      <c r="W73" s="49">
        <f>IFERROR(U73-IFERROR(IF(INDEX(Daten_Salden!$A:$ZZ,MATCH($B73&amp;"|Beschäftigung",Daten_Salden!$A$1:$A$331,0),$BK$3)="",NA(),INDEX(Daten_Salden!$A:$ZZ,MATCH($B73&amp;"|Beschäftigung",Daten_Salden!$A$1:$A$331,0),$BK$3)),NA()),"")</f>
        <v>-11</v>
      </c>
      <c r="X73" s="50">
        <f>IFERROR(IF(INDEX(Daten_Risiken!$A:$ZZ,MATCH($B73&amp;"|Energie- und Rohstoffpreise",Daten_Risiken!$A$1:$A$529,0),$BK$4)="","",INDEX(Daten_Risiken!$A:$ZZ,MATCH($B73&amp;"|Energie- und Rohstoffpreise",Daten_Risiken!$A$1:$A$529,0),$BK$4)),"")</f>
        <v>62</v>
      </c>
      <c r="Y73" s="49">
        <f>IFERROR(X73-IFERROR(IF(INDEX(Daten_Risiken!$A:$ZZ,MATCH($B73&amp;"|Energie- und Rohstoffpreise",Daten_Risiken!$A$1:$A$529,0),$BK$5)="",NA(),INDEX(Daten_Risiken!$A:$ZZ,MATCH($B73&amp;"|Energie- und Rohstoffpreise",Daten_Risiken!$A$1:$A$529,0),$BK$5)),NA()),"")</f>
        <v>-1</v>
      </c>
      <c r="Z73" s="49">
        <f>IFERROR(X73-IFERROR(IF(INDEX(Daten_Risiken!$A:$ZZ,MATCH($B73&amp;"|Energie- und Rohstoffpreise",Daten_Risiken!$A$1:$A$529,0),$BK$6)="",NA(),INDEX(Daten_Risiken!$A:$ZZ,MATCH($B73&amp;"|Energie- und Rohstoffpreise",Daten_Risiken!$A$1:$A$529,0),$BK$6)),NA()),"")</f>
        <v>18</v>
      </c>
      <c r="AA73" s="50">
        <f>IFERROR(IF(INDEX(Daten_Risiken!$A:$ZZ,MATCH($B73&amp;"|Arbeitskosten",Daten_Risiken!$A$1:$A$529,0),$BK$4)="","",INDEX(Daten_Risiken!$A:$ZZ,MATCH($B73&amp;"|Arbeitskosten",Daten_Risiken!$A$1:$A$529,0),$BK$4)),"")</f>
        <v>65</v>
      </c>
      <c r="AB73" s="49">
        <f>IFERROR(AA73-IFERROR(IF(INDEX(Daten_Risiken!$A:$ZZ,MATCH($B73&amp;"|Arbeitskosten",Daten_Risiken!$A$1:$A$529,0),$BK$5)="",NA(),INDEX(Daten_Risiken!$A:$ZZ,MATCH($B73&amp;"|Arbeitskosten",Daten_Risiken!$A$1:$A$529,0),$BK$5)),NA()),"")</f>
        <v>4</v>
      </c>
      <c r="AC73" s="49">
        <f>IFERROR(AA73-IFERROR(IF(INDEX(Daten_Risiken!$A:$ZZ,MATCH($B73&amp;"|Arbeitskosten",Daten_Risiken!$A$1:$A$529,0),$BK$6)="",NA(),INDEX(Daten_Risiken!$A:$ZZ,MATCH($B73&amp;"|Arbeitskosten",Daten_Risiken!$A$1:$A$529,0),$BK$6)),NA()),"")</f>
        <v>6</v>
      </c>
      <c r="AD73" s="50">
        <f>IFERROR(IF(INDEX(Daten_Risiken!$A:$ZZ,MATCH($B73&amp;"|Inlandsnachfrage",Daten_Risiken!$A$1:$A$529,0),$BK$4)="","",INDEX(Daten_Risiken!$A:$ZZ,MATCH($B73&amp;"|Inlandsnachfrage",Daten_Risiken!$A$1:$A$529,0),$BK$4)),"")</f>
        <v>58</v>
      </c>
      <c r="AE73" s="49">
        <f>IFERROR(AD73-IFERROR(IF(INDEX(Daten_Risiken!$A:$ZZ,MATCH($B73&amp;"|Inlandsnachfrage",Daten_Risiken!$A$1:$A$529,0),$BK$5)="",NA(),INDEX(Daten_Risiken!$A:$ZZ,MATCH($B73&amp;"|Inlandsnachfrage",Daten_Risiken!$A$1:$A$529,0),$BK$5)),NA()),"")</f>
        <v>-2</v>
      </c>
      <c r="AF73" s="49">
        <f>IFERROR(AD73-IFERROR(IF(INDEX(Daten_Risiken!$A:$ZZ,MATCH($B73&amp;"|Inlandsnachfrage",Daten_Risiken!$A$1:$A$529,0),$BK$6)="",NA(),INDEX(Daten_Risiken!$A:$ZZ,MATCH($B73&amp;"|Inlandsnachfrage",Daten_Risiken!$A$1:$A$529,0),$BK$6)),NA()),"")</f>
        <v>-3</v>
      </c>
      <c r="AG73" s="50">
        <f>IFERROR(IF(INDEX(Daten_Risiken!$A:$ZZ,MATCH($B73&amp;"|Wirtschaftspolitische Rahmenbedingungen",Daten_Risiken!$A$1:$A$529,0),$BK$4)="","",INDEX(Daten_Risiken!$A:$ZZ,MATCH($B73&amp;"|Wirtschaftspolitische Rahmenbedingungen",Daten_Risiken!$A$1:$A$529,0),$BK$4)),"")</f>
        <v>46</v>
      </c>
      <c r="AH73" s="49">
        <f>IFERROR(AG73-IFERROR(IF(INDEX(Daten_Risiken!$A:$ZZ,MATCH($B73&amp;"|Wirtschaftspolitische Rahmenbedingungen",Daten_Risiken!$A$1:$A$529,0),$BK$5)="",NA(),INDEX(Daten_Risiken!$A:$ZZ,MATCH($B73&amp;"|Wirtschaftspolitische Rahmenbedingungen",Daten_Risiken!$A$1:$A$529,0),$BK$5)),NA()),"")</f>
        <v>-9</v>
      </c>
      <c r="AI73" s="49">
        <f>IFERROR(AG73-IFERROR(IF(INDEX(Daten_Risiken!$A:$ZZ,MATCH($B73&amp;"|Wirtschaftspolitische Rahmenbedingungen",Daten_Risiken!$A$1:$A$529,0),$BK$6)="",NA(),INDEX(Daten_Risiken!$A:$ZZ,MATCH($B73&amp;"|Wirtschaftspolitische Rahmenbedingungen",Daten_Risiken!$A$1:$A$529,0),$BK$6)),NA()),"")</f>
        <v>-1</v>
      </c>
      <c r="AJ73" s="50">
        <f>IFERROR(IF(INDEX(Daten_Risiken!$A:$ZZ,MATCH($B73&amp;"|Fachkräftemangel",Daten_Risiken!$A$1:$A$529,0),$BK$4)="","",INDEX(Daten_Risiken!$A:$ZZ,MATCH($B73&amp;"|Fachkräftemangel",Daten_Risiken!$A$1:$A$529,0),$BK$4)),"")</f>
        <v>24</v>
      </c>
      <c r="AK73" s="49">
        <f>IFERROR(AJ73-IFERROR(IF(INDEX(Daten_Risiken!$A:$ZZ,MATCH($B73&amp;"|Fachkräftemangel",Daten_Risiken!$A$1:$A$529,0),$BK$5)="",NA(),INDEX(Daten_Risiken!$A:$ZZ,MATCH($B73&amp;"|Fachkräftemangel",Daten_Risiken!$A$1:$A$529,0),$BK$5)),NA()),"")</f>
        <v>-4</v>
      </c>
      <c r="AL73" s="49">
        <f>IFERROR(AJ73-IFERROR(IF(INDEX(Daten_Risiken!$A:$ZZ,MATCH($B73&amp;"|Fachkräftemangel",Daten_Risiken!$A$1:$A$529,0),$BK$6)="",NA(),INDEX(Daten_Risiken!$A:$ZZ,MATCH($B73&amp;"|Fachkräftemangel",Daten_Risiken!$A$1:$A$529,0),$BK$6)),NA()),"")</f>
        <v>-6</v>
      </c>
      <c r="AM73" s="50" t="str">
        <f>IFERROR(IF(INDEX(Daten_Risiken!$A:$ZZ,MATCH($B73&amp;"|Auslandsnachfrage",Daten_Risiken!$A$1:$A$529,0),$BK$4)="","",INDEX(Daten_Risiken!$A:$ZZ,MATCH($B73&amp;"|Auslandsnachfrage",Daten_Risiken!$A$1:$A$529,0),$BK$4)),"")</f>
        <v/>
      </c>
      <c r="AN73" s="49" t="str">
        <f>IFERROR(AM73-IFERROR(IF(INDEX(Daten_Risiken!$A:$ZZ,MATCH($B73&amp;"|Auslandsnachfrage",Daten_Risiken!$A$1:$A$529,0),$BK$5)="",NA(),INDEX(Daten_Risiken!$A:$ZZ,MATCH($B73&amp;"|Auslandsnachfrage",Daten_Risiken!$A$1:$A$529,0),$BK$5)),NA()),"")</f>
        <v/>
      </c>
      <c r="AO73" s="49" t="str">
        <f>IFERROR(AM73-IFERROR(IF(INDEX(Daten_Risiken!$A:$ZZ,MATCH($B73&amp;"|Auslandsnachfrage",Daten_Risiken!$A$1:$A$529,0),$BK$6)="",NA(),INDEX(Daten_Risiken!$A:$ZZ,MATCH($B73&amp;"|Auslandsnachfrage",Daten_Risiken!$A$1:$A$529,0),$BK$6)),NA()),"")</f>
        <v/>
      </c>
      <c r="AP73" s="50">
        <f>IFERROR(IF(INDEX(Daten_Risiken!$A:$ZZ,MATCH($B73&amp;"|Finanzierung",Daten_Risiken!$A$1:$A$529,0),$BK$4)="","",INDEX(Daten_Risiken!$A:$ZZ,MATCH($B73&amp;"|Finanzierung",Daten_Risiken!$A$1:$A$529,0),$BK$4)),"")</f>
        <v>14</v>
      </c>
      <c r="AQ73" s="49">
        <f>IFERROR(AP73-IFERROR(IF(INDEX(Daten_Risiken!$A:$ZZ,MATCH($B73&amp;"|Finanzierung",Daten_Risiken!$A$1:$A$529,0),$BK$5)="",NA(),INDEX(Daten_Risiken!$A:$ZZ,MATCH($B73&amp;"|Finanzierung",Daten_Risiken!$A$1:$A$529,0),$BK$5)),NA()),"")</f>
        <v>3</v>
      </c>
      <c r="AR73" s="49">
        <f>IFERROR(AP73-IFERROR(IF(INDEX(Daten_Risiken!$A:$ZZ,MATCH($B73&amp;"|Finanzierung",Daten_Risiken!$A$1:$A$529,0),$BK$6)="",NA(),INDEX(Daten_Risiken!$A:$ZZ,MATCH($B73&amp;"|Finanzierung",Daten_Risiken!$A$1:$A$529,0),$BK$6)),NA()),"")</f>
        <v>4</v>
      </c>
      <c r="AS73" s="50" t="str">
        <f>IFERROR(IF(INDEX(Daten_Risiken!$A:$ZZ,MATCH($B73&amp;"|Wechselkurs",Daten_Risiken!$A$1:$A$529,0),$BK$4)="","",INDEX(Daten_Risiken!$A:$ZZ,MATCH($B73&amp;"|Wechselkurs",Daten_Risiken!$A$1:$A$529,0),$BK$4)),"")</f>
        <v/>
      </c>
      <c r="AT73" s="49" t="str">
        <f>IFERROR(AS73-IFERROR(IF(INDEX(Daten_Risiken!$A:$ZZ,MATCH($B73&amp;"|Wechselkurs",Daten_Risiken!$A$1:$A$529,0),$BK$5)="",NA(),INDEX(Daten_Risiken!$A:$ZZ,MATCH($B73&amp;"|Wechselkurs",Daten_Risiken!$A$1:$A$529,0),$BK$5)),NA()),"")</f>
        <v/>
      </c>
      <c r="AU73" s="49" t="str">
        <f>IFERROR(AS73-IFERROR(IF(INDEX(Daten_Risiken!$A:$ZZ,MATCH($B73&amp;"|Wechselkurs",Daten_Risiken!$A$1:$A$529,0),$BK$6)="",NA(),INDEX(Daten_Risiken!$A:$ZZ,MATCH($B73&amp;"|Wechselkurs",Daten_Risiken!$A$1:$A$529,0),$BK$6)),NA()),"")</f>
        <v/>
      </c>
      <c r="AV73" s="50">
        <f>IFERROR(IF(INDEX(Daten_Motive!$A:$ZZ,MATCH($B73&amp;"|Ersatzbedarf",Daten_Motive!$A$1:$A$331,0),$BK$7)="","",INDEX(Daten_Motive!$A:$ZZ,MATCH($B73&amp;"|Ersatzbedarf",Daten_Motive!$A$1:$A$331,0),$BK$7)),"")</f>
        <v>63</v>
      </c>
      <c r="AW73" s="49">
        <f>IFERROR(AV73-IFERROR(IF(INDEX(Daten_Motive!$A:$ZZ,MATCH($B73&amp;"|Ersatzbedarf",Daten_Motive!$A$1:$A$331,0),$BK$8)="",NA(),INDEX(Daten_Motive!$A:$ZZ,MATCH($B73&amp;"|Ersatzbedarf",Daten_Motive!$A$1:$A$331,0),$BK$8)),NA()),"")</f>
        <v>-4</v>
      </c>
      <c r="AX73" s="49">
        <f>IFERROR(AV73-IFERROR(IF(INDEX(Daten_Motive!$A:$ZZ,MATCH($B73&amp;"|Ersatzbedarf",Daten_Motive!$A$1:$A$331,0),$BK$9)="",NA(),INDEX(Daten_Motive!$A:$ZZ,MATCH($B73&amp;"|Ersatzbedarf",Daten_Motive!$A$1:$A$331,0),$BK$9)),NA()),"")</f>
        <v>-4</v>
      </c>
      <c r="AY73" s="50">
        <f>IFERROR(IF(INDEX(Daten_Motive!$A:$ZZ,MATCH($B73&amp;"|Rationalisierung",Daten_Motive!$A$1:$A$331,0),$BK$7)="","",INDEX(Daten_Motive!$A:$ZZ,MATCH($B73&amp;"|Rationalisierung",Daten_Motive!$A$1:$A$331,0),$BK$7)),"")</f>
        <v>20</v>
      </c>
      <c r="AZ73" s="49">
        <f>IFERROR(AY73-IFERROR(IF(INDEX(Daten_Motive!$A:$ZZ,MATCH($B73&amp;"|Rationalisierung",Daten_Motive!$A$1:$A$331,0),$BK$8)="",NA(),INDEX(Daten_Motive!$A:$ZZ,MATCH($B73&amp;"|Rationalisierung",Daten_Motive!$A$1:$A$331,0),$BK$8)),NA()),"")</f>
        <v>-9</v>
      </c>
      <c r="BA73" s="49">
        <f>IFERROR(AY73-IFERROR(IF(INDEX(Daten_Motive!$A:$ZZ,MATCH($B73&amp;"|Rationalisierung",Daten_Motive!$A$1:$A$331,0),$BK$9)="",NA(),INDEX(Daten_Motive!$A:$ZZ,MATCH($B73&amp;"|Rationalisierung",Daten_Motive!$A$1:$A$331,0),$BK$9)),NA()),"")</f>
        <v>4</v>
      </c>
      <c r="BB73" s="50">
        <f>IFERROR(IF(INDEX(Daten_Motive!$A:$ZZ,MATCH($B73&amp;"|Produktinnovation",Daten_Motive!$A$1:$A$331,0),$BK$7)="","",INDEX(Daten_Motive!$A:$ZZ,MATCH($B73&amp;"|Produktinnovation",Daten_Motive!$A$1:$A$331,0),$BK$7)),"")</f>
        <v>37</v>
      </c>
      <c r="BC73" s="49">
        <f>IFERROR(BB73-IFERROR(IF(INDEX(Daten_Motive!$A:$ZZ,MATCH($B73&amp;"|Produktinnovation",Daten_Motive!$A$1:$A$331,0),$BK$8)="",NA(),INDEX(Daten_Motive!$A:$ZZ,MATCH($B73&amp;"|Produktinnovation",Daten_Motive!$A$1:$A$331,0),$BK$8)),NA()),"")</f>
        <v>-1</v>
      </c>
      <c r="BD73" s="49">
        <f>IFERROR(BB73-IFERROR(IF(INDEX(Daten_Motive!$A:$ZZ,MATCH($B73&amp;"|Produktinnovation",Daten_Motive!$A$1:$A$331,0),$BK$9)="",NA(),INDEX(Daten_Motive!$A:$ZZ,MATCH($B73&amp;"|Produktinnovation",Daten_Motive!$A$1:$A$331,0),$BK$9)),NA()),"")</f>
        <v>-7</v>
      </c>
      <c r="BE73" s="50">
        <f>IFERROR(IF(INDEX(Daten_Motive!$A:$ZZ,MATCH($B73&amp;"|Umweltschutz",Daten_Motive!$A$1:$A$331,0),$BK$7)="","",INDEX(Daten_Motive!$A:$ZZ,MATCH($B73&amp;"|Umweltschutz",Daten_Motive!$A$1:$A$331,0),$BK$7)),"")</f>
        <v>16</v>
      </c>
      <c r="BF73" s="49">
        <f>IFERROR(BE73-IFERROR(IF(INDEX(Daten_Motive!$A:$ZZ,MATCH($B73&amp;"|Umweltschutz",Daten_Motive!$A$1:$A$331,0),$BK$8)="",NA(),INDEX(Daten_Motive!$A:$ZZ,MATCH($B73&amp;"|Umweltschutz",Daten_Motive!$A$1:$A$331,0),$BK$8)),NA()),"")</f>
        <v>2</v>
      </c>
      <c r="BG73" s="49">
        <f>IFERROR(BE73-IFERROR(IF(INDEX(Daten_Motive!$A:$ZZ,MATCH($B73&amp;"|Umweltschutz",Daten_Motive!$A$1:$A$331,0),$BK$9)="",NA(),INDEX(Daten_Motive!$A:$ZZ,MATCH($B73&amp;"|Umweltschutz",Daten_Motive!$A$1:$A$331,0),$BK$9)),NA()),"")</f>
        <v>1</v>
      </c>
      <c r="BH73" s="50">
        <f>IFERROR(IF(INDEX(Daten_Motive!$A:$ZZ,MATCH($B73&amp;"|Kapazitätserweiterung",Daten_Motive!$A$1:$A$331,0),$BK$7)="","",INDEX(Daten_Motive!$A:$ZZ,MATCH($B73&amp;"|Kapazitätserweiterung",Daten_Motive!$A$1:$A$331,0),$BK$7)),"")</f>
        <v>26</v>
      </c>
      <c r="BI73" s="49">
        <f>IFERROR(BH73-IFERROR(IF(INDEX(Daten_Motive!$A:$ZZ,MATCH($B73&amp;"|Kapazitätserweiterung",Daten_Motive!$A$1:$A$331,0),$BK$8)="",NA(),INDEX(Daten_Motive!$A:$ZZ,MATCH($B73&amp;"|Kapazitätserweiterung",Daten_Motive!$A$1:$A$331,0),$BK$8)),NA()),"")</f>
        <v>7</v>
      </c>
      <c r="BJ73" s="49">
        <f>IFERROR(BH73-IFERROR(IF(INDEX(Daten_Motive!$A:$ZZ,MATCH($B73&amp;"|Kapazitätserweiterung",Daten_Motive!$A$1:$A$331,0),$BK$9)="",NA(),INDEX(Daten_Motive!$A:$ZZ,MATCH($B73&amp;"|Kapazitätserweiterung",Daten_Motive!$A$1:$A$331,0),$BK$9)),NA()),"")</f>
        <v>0</v>
      </c>
    </row>
    <row r="74" spans="1:62" x14ac:dyDescent="0.25">
      <c r="A74" s="42">
        <v>66</v>
      </c>
      <c r="B74" s="52" t="str">
        <f>Listen!A66</f>
        <v>Sonstige personenbezogene Dienstleistungen</v>
      </c>
      <c r="C74" s="44" t="s">
        <v>4559</v>
      </c>
      <c r="D74" s="44" t="str">
        <f>Listen!B66</f>
        <v>Dienstleister</v>
      </c>
      <c r="E74" s="45">
        <f>IFERROR(IF(INDEX(Daten_Anteile!$A:$ZZ,MATCH($B74&amp;"|Lage|"&amp;$C$3,Daten_Anteile!$A$1:$A$2971,0),5)="","",INDEX(Daten_Anteile!$A:$ZZ,MATCH($B74&amp;"|Lage|"&amp;$C$3,Daten_Anteile!$A$1:$A$2971,0),5)),"")</f>
        <v>148</v>
      </c>
      <c r="F74" s="46">
        <f t="shared" si="3"/>
        <v>101.4</v>
      </c>
      <c r="G74" s="47">
        <f t="shared" si="6"/>
        <v>9.3000000000000007</v>
      </c>
      <c r="H74" s="47">
        <f t="shared" si="7"/>
        <v>-1</v>
      </c>
      <c r="I74" s="48">
        <f>IFERROR(IF(INDEX(Daten_Salden!$A:$ZZ,MATCH($B74&amp;"|Lage",Daten_Salden!$A$1:$A$331,0),$BK$1)="","",INDEX(Daten_Salden!$A:$ZZ,MATCH($B74&amp;"|Lage",Daten_Salden!$A$1:$A$331,0),$BK$1)),"")</f>
        <v>13</v>
      </c>
      <c r="J74" s="49">
        <f>IFERROR(I74-IFERROR(IF(INDEX(Daten_Salden!$A:$ZZ,MATCH($B74&amp;"|Lage",Daten_Salden!$A$1:$A$331,0),$BK$2)="",NA(),INDEX(Daten_Salden!$A:$ZZ,MATCH($B74&amp;"|Lage",Daten_Salden!$A$1:$A$331,0),$BK$2)),NA()),"")</f>
        <v>12</v>
      </c>
      <c r="K74" s="49">
        <f>IFERROR(I74-IFERROR(IF(INDEX(Daten_Salden!$A:$ZZ,MATCH($B74&amp;"|Lage",Daten_Salden!$A$1:$A$331,0),$BK$3)="",NA(),INDEX(Daten_Salden!$A:$ZZ,MATCH($B74&amp;"|Lage",Daten_Salden!$A$1:$A$331,0),$BK$3)),NA()),"")</f>
        <v>-1</v>
      </c>
      <c r="L74" s="48">
        <f>IFERROR(IF(INDEX(Daten_Salden!$A:$ZZ,MATCH($B74&amp;"|Erwartungen",Daten_Salden!$A$1:$A$331,0),$BK$1)="","",INDEX(Daten_Salden!$A:$ZZ,MATCH($B74&amp;"|Erwartungen",Daten_Salden!$A$1:$A$331,0),$BK$1)),"")</f>
        <v>-9</v>
      </c>
      <c r="M74" s="49">
        <f>IFERROR(L74-IFERROR(IF(INDEX(Daten_Salden!$A:$ZZ,MATCH($B74&amp;"|Erwartungen",Daten_Salden!$A$1:$A$331,0),$BK$2)="",NA(),INDEX(Daten_Salden!$A:$ZZ,MATCH($B74&amp;"|Erwartungen",Daten_Salden!$A$1:$A$331,0),$BK$2)),NA()),"")</f>
        <v>7</v>
      </c>
      <c r="N74" s="49">
        <f>IFERROR(L74-IFERROR(IF(INDEX(Daten_Salden!$A:$ZZ,MATCH($B74&amp;"|Erwartungen",Daten_Salden!$A$1:$A$331,0),$BK$3)="",NA(),INDEX(Daten_Salden!$A:$ZZ,MATCH($B74&amp;"|Erwartungen",Daten_Salden!$A$1:$A$331,0),$BK$3)),NA()),"")</f>
        <v>-1</v>
      </c>
      <c r="O74" s="48" t="str">
        <f>IFERROR(IF(INDEX(Daten_Salden!$A:$ZZ,MATCH($B74&amp;"|Export",Daten_Salden!$A$1:$A$331,0),$BK$1)="","",INDEX(Daten_Salden!$A:$ZZ,MATCH($B74&amp;"|Export",Daten_Salden!$A$1:$A$331,0),$BK$1)),"")</f>
        <v/>
      </c>
      <c r="P74" s="49" t="str">
        <f>IFERROR(O74-IFERROR(IF(INDEX(Daten_Salden!$A:$ZZ,MATCH($B74&amp;"|Export",Daten_Salden!$A$1:$A$331,0),$BK$2)="",NA(),INDEX(Daten_Salden!$A:$ZZ,MATCH($B74&amp;"|Export",Daten_Salden!$A$1:$A$331,0),$BK$2)),NA()),"")</f>
        <v/>
      </c>
      <c r="Q74" s="49" t="str">
        <f>IFERROR(O74-IFERROR(IF(INDEX(Daten_Salden!$A:$ZZ,MATCH($B74&amp;"|Export",Daten_Salden!$A$1:$A$331,0),$BK$3)="",NA(),INDEX(Daten_Salden!$A:$ZZ,MATCH($B74&amp;"|Export",Daten_Salden!$A$1:$A$331,0),$BK$3)),NA()),"")</f>
        <v/>
      </c>
      <c r="R74" s="48">
        <f>IFERROR(IF(INDEX(Daten_Salden!$A:$ZZ,MATCH($B74&amp;"|Investitionen",Daten_Salden!$A$1:$A$331,0),$BK$1)="","",INDEX(Daten_Salden!$A:$ZZ,MATCH($B74&amp;"|Investitionen",Daten_Salden!$A$1:$A$331,0),$BK$1)),"")</f>
        <v>-2</v>
      </c>
      <c r="S74" s="49">
        <f>IFERROR(R74-IFERROR(IF(INDEX(Daten_Salden!$A:$ZZ,MATCH($B74&amp;"|Investitionen",Daten_Salden!$A$1:$A$331,0),$BK$2)="",NA(),INDEX(Daten_Salden!$A:$ZZ,MATCH($B74&amp;"|Investitionen",Daten_Salden!$A$1:$A$331,0),$BK$2)),NA()),"")</f>
        <v>2</v>
      </c>
      <c r="T74" s="49">
        <f>IFERROR(R74-IFERROR(IF(INDEX(Daten_Salden!$A:$ZZ,MATCH($B74&amp;"|Investitionen",Daten_Salden!$A$1:$A$331,0),$BK$3)="",NA(),INDEX(Daten_Salden!$A:$ZZ,MATCH($B74&amp;"|Investitionen",Daten_Salden!$A$1:$A$331,0),$BK$3)),NA()),"")</f>
        <v>-2</v>
      </c>
      <c r="U74" s="48">
        <f>IFERROR(IF(INDEX(Daten_Salden!$A:$ZZ,MATCH($B74&amp;"|Beschäftigung",Daten_Salden!$A$1:$A$331,0),$BK$1)="","",INDEX(Daten_Salden!$A:$ZZ,MATCH($B74&amp;"|Beschäftigung",Daten_Salden!$A$1:$A$331,0),$BK$1)),"")</f>
        <v>-17</v>
      </c>
      <c r="V74" s="49">
        <f>IFERROR(U74-IFERROR(IF(INDEX(Daten_Salden!$A:$ZZ,MATCH($B74&amp;"|Beschäftigung",Daten_Salden!$A$1:$A$331,0),$BK$2)="",NA(),INDEX(Daten_Salden!$A:$ZZ,MATCH($B74&amp;"|Beschäftigung",Daten_Salden!$A$1:$A$331,0),$BK$2)),NA()),"")</f>
        <v>2</v>
      </c>
      <c r="W74" s="49">
        <f>IFERROR(U74-IFERROR(IF(INDEX(Daten_Salden!$A:$ZZ,MATCH($B74&amp;"|Beschäftigung",Daten_Salden!$A$1:$A$331,0),$BK$3)="",NA(),INDEX(Daten_Salden!$A:$ZZ,MATCH($B74&amp;"|Beschäftigung",Daten_Salden!$A$1:$A$331,0),$BK$3)),NA()),"")</f>
        <v>-3</v>
      </c>
      <c r="X74" s="50">
        <f>IFERROR(IF(INDEX(Daten_Risiken!$A:$ZZ,MATCH($B74&amp;"|Energie- und Rohstoffpreise",Daten_Risiken!$A$1:$A$529,0),$BK$4)="","",INDEX(Daten_Risiken!$A:$ZZ,MATCH($B74&amp;"|Energie- und Rohstoffpreise",Daten_Risiken!$A$1:$A$529,0),$BK$4)),"")</f>
        <v>67</v>
      </c>
      <c r="Y74" s="49">
        <f>IFERROR(X74-IFERROR(IF(INDEX(Daten_Risiken!$A:$ZZ,MATCH($B74&amp;"|Energie- und Rohstoffpreise",Daten_Risiken!$A$1:$A$529,0),$BK$5)="",NA(),INDEX(Daten_Risiken!$A:$ZZ,MATCH($B74&amp;"|Energie- und Rohstoffpreise",Daten_Risiken!$A$1:$A$529,0),$BK$5)),NA()),"")</f>
        <v>0</v>
      </c>
      <c r="Z74" s="49">
        <f>IFERROR(X74-IFERROR(IF(INDEX(Daten_Risiken!$A:$ZZ,MATCH($B74&amp;"|Energie- und Rohstoffpreise",Daten_Risiken!$A$1:$A$529,0),$BK$6)="",NA(),INDEX(Daten_Risiken!$A:$ZZ,MATCH($B74&amp;"|Energie- und Rohstoffpreise",Daten_Risiken!$A$1:$A$529,0),$BK$6)),NA()),"")</f>
        <v>16</v>
      </c>
      <c r="AA74" s="50">
        <f>IFERROR(IF(INDEX(Daten_Risiken!$A:$ZZ,MATCH($B74&amp;"|Arbeitskosten",Daten_Risiken!$A$1:$A$529,0),$BK$4)="","",INDEX(Daten_Risiken!$A:$ZZ,MATCH($B74&amp;"|Arbeitskosten",Daten_Risiken!$A$1:$A$529,0),$BK$4)),"")</f>
        <v>58</v>
      </c>
      <c r="AB74" s="49">
        <f>IFERROR(AA74-IFERROR(IF(INDEX(Daten_Risiken!$A:$ZZ,MATCH($B74&amp;"|Arbeitskosten",Daten_Risiken!$A$1:$A$529,0),$BK$5)="",NA(),INDEX(Daten_Risiken!$A:$ZZ,MATCH($B74&amp;"|Arbeitskosten",Daten_Risiken!$A$1:$A$529,0),$BK$5)),NA()),"")</f>
        <v>-2</v>
      </c>
      <c r="AC74" s="49">
        <f>IFERROR(AA74-IFERROR(IF(INDEX(Daten_Risiken!$A:$ZZ,MATCH($B74&amp;"|Arbeitskosten",Daten_Risiken!$A$1:$A$529,0),$BK$6)="",NA(),INDEX(Daten_Risiken!$A:$ZZ,MATCH($B74&amp;"|Arbeitskosten",Daten_Risiken!$A$1:$A$529,0),$BK$6)),NA()),"")</f>
        <v>5</v>
      </c>
      <c r="AD74" s="50">
        <f>IFERROR(IF(INDEX(Daten_Risiken!$A:$ZZ,MATCH($B74&amp;"|Inlandsnachfrage",Daten_Risiken!$A$1:$A$529,0),$BK$4)="","",INDEX(Daten_Risiken!$A:$ZZ,MATCH($B74&amp;"|Inlandsnachfrage",Daten_Risiken!$A$1:$A$529,0),$BK$4)),"")</f>
        <v>54</v>
      </c>
      <c r="AE74" s="49">
        <f>IFERROR(AD74-IFERROR(IF(INDEX(Daten_Risiken!$A:$ZZ,MATCH($B74&amp;"|Inlandsnachfrage",Daten_Risiken!$A$1:$A$529,0),$BK$5)="",NA(),INDEX(Daten_Risiken!$A:$ZZ,MATCH($B74&amp;"|Inlandsnachfrage",Daten_Risiken!$A$1:$A$529,0),$BK$5)),NA()),"")</f>
        <v>9</v>
      </c>
      <c r="AF74" s="49">
        <f>IFERROR(AD74-IFERROR(IF(INDEX(Daten_Risiken!$A:$ZZ,MATCH($B74&amp;"|Inlandsnachfrage",Daten_Risiken!$A$1:$A$529,0),$BK$6)="",NA(),INDEX(Daten_Risiken!$A:$ZZ,MATCH($B74&amp;"|Inlandsnachfrage",Daten_Risiken!$A$1:$A$529,0),$BK$6)),NA()),"")</f>
        <v>9</v>
      </c>
      <c r="AG74" s="50">
        <f>IFERROR(IF(INDEX(Daten_Risiken!$A:$ZZ,MATCH($B74&amp;"|Wirtschaftspolitische Rahmenbedingungen",Daten_Risiken!$A$1:$A$529,0),$BK$4)="","",INDEX(Daten_Risiken!$A:$ZZ,MATCH($B74&amp;"|Wirtschaftspolitische Rahmenbedingungen",Daten_Risiken!$A$1:$A$529,0),$BK$4)),"")</f>
        <v>58</v>
      </c>
      <c r="AH74" s="49">
        <f>IFERROR(AG74-IFERROR(IF(INDEX(Daten_Risiken!$A:$ZZ,MATCH($B74&amp;"|Wirtschaftspolitische Rahmenbedingungen",Daten_Risiken!$A$1:$A$529,0),$BK$5)="",NA(),INDEX(Daten_Risiken!$A:$ZZ,MATCH($B74&amp;"|Wirtschaftspolitische Rahmenbedingungen",Daten_Risiken!$A$1:$A$529,0),$BK$5)),NA()),"")</f>
        <v>10</v>
      </c>
      <c r="AI74" s="49">
        <f>IFERROR(AG74-IFERROR(IF(INDEX(Daten_Risiken!$A:$ZZ,MATCH($B74&amp;"|Wirtschaftspolitische Rahmenbedingungen",Daten_Risiken!$A$1:$A$529,0),$BK$6)="",NA(),INDEX(Daten_Risiken!$A:$ZZ,MATCH($B74&amp;"|Wirtschaftspolitische Rahmenbedingungen",Daten_Risiken!$A$1:$A$529,0),$BK$6)),NA()),"")</f>
        <v>10</v>
      </c>
      <c r="AJ74" s="50">
        <f>IFERROR(IF(INDEX(Daten_Risiken!$A:$ZZ,MATCH($B74&amp;"|Fachkräftemangel",Daten_Risiken!$A$1:$A$529,0),$BK$4)="","",INDEX(Daten_Risiken!$A:$ZZ,MATCH($B74&amp;"|Fachkräftemangel",Daten_Risiken!$A$1:$A$529,0),$BK$4)),"")</f>
        <v>35</v>
      </c>
      <c r="AK74" s="49">
        <f>IFERROR(AJ74-IFERROR(IF(INDEX(Daten_Risiken!$A:$ZZ,MATCH($B74&amp;"|Fachkräftemangel",Daten_Risiken!$A$1:$A$529,0),$BK$5)="",NA(),INDEX(Daten_Risiken!$A:$ZZ,MATCH($B74&amp;"|Fachkräftemangel",Daten_Risiken!$A$1:$A$529,0),$BK$5)),NA()),"")</f>
        <v>6</v>
      </c>
      <c r="AL74" s="49">
        <f>IFERROR(AJ74-IFERROR(IF(INDEX(Daten_Risiken!$A:$ZZ,MATCH($B74&amp;"|Fachkräftemangel",Daten_Risiken!$A$1:$A$529,0),$BK$6)="",NA(),INDEX(Daten_Risiken!$A:$ZZ,MATCH($B74&amp;"|Fachkräftemangel",Daten_Risiken!$A$1:$A$529,0),$BK$6)),NA()),"")</f>
        <v>-11</v>
      </c>
      <c r="AM74" s="50" t="str">
        <f>IFERROR(IF(INDEX(Daten_Risiken!$A:$ZZ,MATCH($B74&amp;"|Auslandsnachfrage",Daten_Risiken!$A$1:$A$529,0),$BK$4)="","",INDEX(Daten_Risiken!$A:$ZZ,MATCH($B74&amp;"|Auslandsnachfrage",Daten_Risiken!$A$1:$A$529,0),$BK$4)),"")</f>
        <v/>
      </c>
      <c r="AN74" s="49" t="str">
        <f>IFERROR(AM74-IFERROR(IF(INDEX(Daten_Risiken!$A:$ZZ,MATCH($B74&amp;"|Auslandsnachfrage",Daten_Risiken!$A$1:$A$529,0),$BK$5)="",NA(),INDEX(Daten_Risiken!$A:$ZZ,MATCH($B74&amp;"|Auslandsnachfrage",Daten_Risiken!$A$1:$A$529,0),$BK$5)),NA()),"")</f>
        <v/>
      </c>
      <c r="AO74" s="49" t="str">
        <f>IFERROR(AM74-IFERROR(IF(INDEX(Daten_Risiken!$A:$ZZ,MATCH($B74&amp;"|Auslandsnachfrage",Daten_Risiken!$A$1:$A$529,0),$BK$6)="",NA(),INDEX(Daten_Risiken!$A:$ZZ,MATCH($B74&amp;"|Auslandsnachfrage",Daten_Risiken!$A$1:$A$529,0),$BK$6)),NA()),"")</f>
        <v/>
      </c>
      <c r="AP74" s="50">
        <f>IFERROR(IF(INDEX(Daten_Risiken!$A:$ZZ,MATCH($B74&amp;"|Finanzierung",Daten_Risiken!$A$1:$A$529,0),$BK$4)="","",INDEX(Daten_Risiken!$A:$ZZ,MATCH($B74&amp;"|Finanzierung",Daten_Risiken!$A$1:$A$529,0),$BK$4)),"")</f>
        <v>14</v>
      </c>
      <c r="AQ74" s="49">
        <f>IFERROR(AP74-IFERROR(IF(INDEX(Daten_Risiken!$A:$ZZ,MATCH($B74&amp;"|Finanzierung",Daten_Risiken!$A$1:$A$529,0),$BK$5)="",NA(),INDEX(Daten_Risiken!$A:$ZZ,MATCH($B74&amp;"|Finanzierung",Daten_Risiken!$A$1:$A$529,0),$BK$5)),NA()),"")</f>
        <v>2</v>
      </c>
      <c r="AR74" s="49">
        <f>IFERROR(AP74-IFERROR(IF(INDEX(Daten_Risiken!$A:$ZZ,MATCH($B74&amp;"|Finanzierung",Daten_Risiken!$A$1:$A$529,0),$BK$6)="",NA(),INDEX(Daten_Risiken!$A:$ZZ,MATCH($B74&amp;"|Finanzierung",Daten_Risiken!$A$1:$A$529,0),$BK$6)),NA()),"")</f>
        <v>4</v>
      </c>
      <c r="AS74" s="50" t="str">
        <f>IFERROR(IF(INDEX(Daten_Risiken!$A:$ZZ,MATCH($B74&amp;"|Wechselkurs",Daten_Risiken!$A$1:$A$529,0),$BK$4)="","",INDEX(Daten_Risiken!$A:$ZZ,MATCH($B74&amp;"|Wechselkurs",Daten_Risiken!$A$1:$A$529,0),$BK$4)),"")</f>
        <v/>
      </c>
      <c r="AT74" s="49" t="str">
        <f>IFERROR(AS74-IFERROR(IF(INDEX(Daten_Risiken!$A:$ZZ,MATCH($B74&amp;"|Wechselkurs",Daten_Risiken!$A$1:$A$529,0),$BK$5)="",NA(),INDEX(Daten_Risiken!$A:$ZZ,MATCH($B74&amp;"|Wechselkurs",Daten_Risiken!$A$1:$A$529,0),$BK$5)),NA()),"")</f>
        <v/>
      </c>
      <c r="AU74" s="49" t="str">
        <f>IFERROR(AS74-IFERROR(IF(INDEX(Daten_Risiken!$A:$ZZ,MATCH($B74&amp;"|Wechselkurs",Daten_Risiken!$A$1:$A$529,0),$BK$6)="",NA(),INDEX(Daten_Risiken!$A:$ZZ,MATCH($B74&amp;"|Wechselkurs",Daten_Risiken!$A$1:$A$529,0),$BK$6)),NA()),"")</f>
        <v/>
      </c>
      <c r="AV74" s="50">
        <f>IFERROR(IF(INDEX(Daten_Motive!$A:$ZZ,MATCH($B74&amp;"|Ersatzbedarf",Daten_Motive!$A$1:$A$331,0),$BK$7)="","",INDEX(Daten_Motive!$A:$ZZ,MATCH($B74&amp;"|Ersatzbedarf",Daten_Motive!$A$1:$A$331,0),$BK$7)),"")</f>
        <v>65</v>
      </c>
      <c r="AW74" s="49">
        <f>IFERROR(AV74-IFERROR(IF(INDEX(Daten_Motive!$A:$ZZ,MATCH($B74&amp;"|Ersatzbedarf",Daten_Motive!$A$1:$A$331,0),$BK$8)="",NA(),INDEX(Daten_Motive!$A:$ZZ,MATCH($B74&amp;"|Ersatzbedarf",Daten_Motive!$A$1:$A$331,0),$BK$8)),NA()),"")</f>
        <v>1</v>
      </c>
      <c r="AX74" s="49">
        <f>IFERROR(AV74-IFERROR(IF(INDEX(Daten_Motive!$A:$ZZ,MATCH($B74&amp;"|Ersatzbedarf",Daten_Motive!$A$1:$A$331,0),$BK$9)="",NA(),INDEX(Daten_Motive!$A:$ZZ,MATCH($B74&amp;"|Ersatzbedarf",Daten_Motive!$A$1:$A$331,0),$BK$9)),NA()),"")</f>
        <v>-2</v>
      </c>
      <c r="AY74" s="50">
        <f>IFERROR(IF(INDEX(Daten_Motive!$A:$ZZ,MATCH($B74&amp;"|Rationalisierung",Daten_Motive!$A$1:$A$331,0),$BK$7)="","",INDEX(Daten_Motive!$A:$ZZ,MATCH($B74&amp;"|Rationalisierung",Daten_Motive!$A$1:$A$331,0),$BK$7)),"")</f>
        <v>30</v>
      </c>
      <c r="AZ74" s="49">
        <f>IFERROR(AY74-IFERROR(IF(INDEX(Daten_Motive!$A:$ZZ,MATCH($B74&amp;"|Rationalisierung",Daten_Motive!$A$1:$A$331,0),$BK$8)="",NA(),INDEX(Daten_Motive!$A:$ZZ,MATCH($B74&amp;"|Rationalisierung",Daten_Motive!$A$1:$A$331,0),$BK$8)),NA()),"")</f>
        <v>1</v>
      </c>
      <c r="BA74" s="49">
        <f>IFERROR(AY74-IFERROR(IF(INDEX(Daten_Motive!$A:$ZZ,MATCH($B74&amp;"|Rationalisierung",Daten_Motive!$A$1:$A$331,0),$BK$9)="",NA(),INDEX(Daten_Motive!$A:$ZZ,MATCH($B74&amp;"|Rationalisierung",Daten_Motive!$A$1:$A$331,0),$BK$9)),NA()),"")</f>
        <v>4</v>
      </c>
      <c r="BB74" s="50">
        <f>IFERROR(IF(INDEX(Daten_Motive!$A:$ZZ,MATCH($B74&amp;"|Produktinnovation",Daten_Motive!$A$1:$A$331,0),$BK$7)="","",INDEX(Daten_Motive!$A:$ZZ,MATCH($B74&amp;"|Produktinnovation",Daten_Motive!$A$1:$A$331,0),$BK$7)),"")</f>
        <v>22</v>
      </c>
      <c r="BC74" s="49">
        <f>IFERROR(BB74-IFERROR(IF(INDEX(Daten_Motive!$A:$ZZ,MATCH($B74&amp;"|Produktinnovation",Daten_Motive!$A$1:$A$331,0),$BK$8)="",NA(),INDEX(Daten_Motive!$A:$ZZ,MATCH($B74&amp;"|Produktinnovation",Daten_Motive!$A$1:$A$331,0),$BK$8)),NA()),"")</f>
        <v>-2</v>
      </c>
      <c r="BD74" s="49">
        <f>IFERROR(BB74-IFERROR(IF(INDEX(Daten_Motive!$A:$ZZ,MATCH($B74&amp;"|Produktinnovation",Daten_Motive!$A$1:$A$331,0),$BK$9)="",NA(),INDEX(Daten_Motive!$A:$ZZ,MATCH($B74&amp;"|Produktinnovation",Daten_Motive!$A$1:$A$331,0),$BK$9)),NA()),"")</f>
        <v>-2</v>
      </c>
      <c r="BE74" s="50">
        <f>IFERROR(IF(INDEX(Daten_Motive!$A:$ZZ,MATCH($B74&amp;"|Umweltschutz",Daten_Motive!$A$1:$A$331,0),$BK$7)="","",INDEX(Daten_Motive!$A:$ZZ,MATCH($B74&amp;"|Umweltschutz",Daten_Motive!$A$1:$A$331,0),$BK$7)),"")</f>
        <v>22</v>
      </c>
      <c r="BF74" s="49">
        <f>IFERROR(BE74-IFERROR(IF(INDEX(Daten_Motive!$A:$ZZ,MATCH($B74&amp;"|Umweltschutz",Daten_Motive!$A$1:$A$331,0),$BK$8)="",NA(),INDEX(Daten_Motive!$A:$ZZ,MATCH($B74&amp;"|Umweltschutz",Daten_Motive!$A$1:$A$331,0),$BK$8)),NA()),"")</f>
        <v>2</v>
      </c>
      <c r="BG74" s="49">
        <f>IFERROR(BE74-IFERROR(IF(INDEX(Daten_Motive!$A:$ZZ,MATCH($B74&amp;"|Umweltschutz",Daten_Motive!$A$1:$A$331,0),$BK$9)="",NA(),INDEX(Daten_Motive!$A:$ZZ,MATCH($B74&amp;"|Umweltschutz",Daten_Motive!$A$1:$A$331,0),$BK$9)),NA()),"")</f>
        <v>6</v>
      </c>
      <c r="BH74" s="50">
        <f>IFERROR(IF(INDEX(Daten_Motive!$A:$ZZ,MATCH($B74&amp;"|Kapazitätserweiterung",Daten_Motive!$A$1:$A$331,0),$BK$7)="","",INDEX(Daten_Motive!$A:$ZZ,MATCH($B74&amp;"|Kapazitätserweiterung",Daten_Motive!$A$1:$A$331,0),$BK$7)),"")</f>
        <v>26</v>
      </c>
      <c r="BI74" s="49">
        <f>IFERROR(BH74-IFERROR(IF(INDEX(Daten_Motive!$A:$ZZ,MATCH($B74&amp;"|Kapazitätserweiterung",Daten_Motive!$A$1:$A$331,0),$BK$8)="",NA(),INDEX(Daten_Motive!$A:$ZZ,MATCH($B74&amp;"|Kapazitätserweiterung",Daten_Motive!$A$1:$A$331,0),$BK$8)),NA()),"")</f>
        <v>9</v>
      </c>
      <c r="BJ74" s="49">
        <f>IFERROR(BH74-IFERROR(IF(INDEX(Daten_Motive!$A:$ZZ,MATCH($B74&amp;"|Kapazitätserweiterung",Daten_Motive!$A$1:$A$331,0),$BK$9)="",NA(),INDEX(Daten_Motive!$A:$ZZ,MATCH($B74&amp;"|Kapazitätserweiterung",Daten_Motive!$A$1:$A$331,0),$BK$9)),NA()),"")</f>
        <v>0</v>
      </c>
    </row>
  </sheetData>
  <autoFilter ref="A8:BJ74" xr:uid="{00000000-0009-0000-0000-000002000000}"/>
  <conditionalFormatting sqref="A9:BJ74">
    <cfRule type="expression" dxfId="38" priority="58">
      <formula>AND(ISNUMBER($E9),$E9&lt;30)</formula>
    </cfRule>
  </conditionalFormatting>
  <conditionalFormatting sqref="F9:F74">
    <cfRule type="colorScale" priority="6">
      <colorScale>
        <cfvo type="num" val="70"/>
        <cfvo type="num" val="100"/>
        <cfvo type="num" val="130"/>
        <color rgb="FFF9D9CF"/>
        <color rgb="FFFFFFFF"/>
        <color rgb="FFCDEBDA"/>
      </colorScale>
    </cfRule>
  </conditionalFormatting>
  <conditionalFormatting sqref="G9:H74">
    <cfRule type="cellIs" dxfId="37" priority="20" operator="greaterThan">
      <formula>0</formula>
    </cfRule>
    <cfRule type="cellIs" dxfId="36" priority="21" operator="lessThan">
      <formula>0</formula>
    </cfRule>
  </conditionalFormatting>
  <conditionalFormatting sqref="I9:I74">
    <cfRule type="colorScale" priority="1">
      <colorScale>
        <cfvo type="num" val="-40"/>
        <cfvo type="num" val="0"/>
        <cfvo type="num" val="40"/>
        <color rgb="FFF9D9CF"/>
        <color rgb="FFFFFFFF"/>
        <color rgb="FFCDEBDA"/>
      </colorScale>
    </cfRule>
  </conditionalFormatting>
  <conditionalFormatting sqref="J9:K74">
    <cfRule type="cellIs" dxfId="35" priority="23" operator="lessThan">
      <formula>0</formula>
    </cfRule>
    <cfRule type="cellIs" dxfId="34" priority="22" operator="greaterThan">
      <formula>0</formula>
    </cfRule>
  </conditionalFormatting>
  <conditionalFormatting sqref="L9:L74">
    <cfRule type="colorScale" priority="2">
      <colorScale>
        <cfvo type="num" val="-40"/>
        <cfvo type="num" val="0"/>
        <cfvo type="num" val="40"/>
        <color rgb="FFF9D9CF"/>
        <color rgb="FFFFFFFF"/>
        <color rgb="FFCDEBDA"/>
      </colorScale>
    </cfRule>
  </conditionalFormatting>
  <conditionalFormatting sqref="M9:N74">
    <cfRule type="cellIs" dxfId="33" priority="24" operator="greaterThan">
      <formula>0</formula>
    </cfRule>
    <cfRule type="cellIs" dxfId="32" priority="25" operator="lessThan">
      <formula>0</formula>
    </cfRule>
  </conditionalFormatting>
  <conditionalFormatting sqref="O9:O74">
    <cfRule type="colorScale" priority="3">
      <colorScale>
        <cfvo type="num" val="-40"/>
        <cfvo type="num" val="0"/>
        <cfvo type="num" val="40"/>
        <color rgb="FFF9D9CF"/>
        <color rgb="FFFFFFFF"/>
        <color rgb="FFCDEBDA"/>
      </colorScale>
    </cfRule>
  </conditionalFormatting>
  <conditionalFormatting sqref="P9:Q74">
    <cfRule type="cellIs" dxfId="31" priority="26" operator="greaterThan">
      <formula>0</formula>
    </cfRule>
    <cfRule type="cellIs" dxfId="30" priority="27" operator="lessThan">
      <formula>0</formula>
    </cfRule>
  </conditionalFormatting>
  <conditionalFormatting sqref="R9:R74">
    <cfRule type="colorScale" priority="4">
      <colorScale>
        <cfvo type="num" val="-40"/>
        <cfvo type="num" val="0"/>
        <cfvo type="num" val="40"/>
        <color rgb="FFF9D9CF"/>
        <color rgb="FFFFFFFF"/>
        <color rgb="FFCDEBDA"/>
      </colorScale>
    </cfRule>
  </conditionalFormatting>
  <conditionalFormatting sqref="S9:T74">
    <cfRule type="cellIs" dxfId="29" priority="28" operator="greaterThan">
      <formula>0</formula>
    </cfRule>
    <cfRule type="cellIs" dxfId="28" priority="29" operator="lessThan">
      <formula>0</formula>
    </cfRule>
  </conditionalFormatting>
  <conditionalFormatting sqref="U9:U74">
    <cfRule type="colorScale" priority="5">
      <colorScale>
        <cfvo type="num" val="-40"/>
        <cfvo type="num" val="0"/>
        <cfvo type="num" val="40"/>
        <color rgb="FFF9D9CF"/>
        <color rgb="FFFFFFFF"/>
        <color rgb="FFCDEBDA"/>
      </colorScale>
    </cfRule>
  </conditionalFormatting>
  <conditionalFormatting sqref="V9:W74">
    <cfRule type="cellIs" dxfId="27" priority="30" operator="greaterThan">
      <formula>0</formula>
    </cfRule>
    <cfRule type="cellIs" dxfId="26" priority="31" operator="lessThan">
      <formula>0</formula>
    </cfRule>
  </conditionalFormatting>
  <conditionalFormatting sqref="X9:X74">
    <cfRule type="colorScale" priority="7">
      <colorScale>
        <cfvo type="num" val="0"/>
        <cfvo type="num" val="50"/>
        <cfvo type="num" val="100"/>
        <color rgb="FFFFFFFF"/>
        <color rgb="FFD2ECF9"/>
        <color rgb="FFAEDBF3"/>
      </colorScale>
    </cfRule>
  </conditionalFormatting>
  <conditionalFormatting sqref="Y9:Z74">
    <cfRule type="cellIs" dxfId="25" priority="33" operator="lessThan">
      <formula>0</formula>
    </cfRule>
    <cfRule type="cellIs" dxfId="24" priority="32" operator="greaterThan">
      <formula>0</formula>
    </cfRule>
  </conditionalFormatting>
  <conditionalFormatting sqref="AA9:AA74">
    <cfRule type="colorScale" priority="8">
      <colorScale>
        <cfvo type="num" val="0"/>
        <cfvo type="num" val="50"/>
        <cfvo type="num" val="100"/>
        <color rgb="FFFFFFFF"/>
        <color rgb="FFD2ECF9"/>
        <color rgb="FFAEDBF3"/>
      </colorScale>
    </cfRule>
  </conditionalFormatting>
  <conditionalFormatting sqref="AB9:AC74">
    <cfRule type="cellIs" dxfId="23" priority="34" operator="greaterThan">
      <formula>0</formula>
    </cfRule>
    <cfRule type="cellIs" dxfId="22" priority="35" operator="lessThan">
      <formula>0</formula>
    </cfRule>
  </conditionalFormatting>
  <conditionalFormatting sqref="AD9:AD74">
    <cfRule type="colorScale" priority="9">
      <colorScale>
        <cfvo type="num" val="0"/>
        <cfvo type="num" val="50"/>
        <cfvo type="num" val="100"/>
        <color rgb="FFFFFFFF"/>
        <color rgb="FFD2ECF9"/>
        <color rgb="FFAEDBF3"/>
      </colorScale>
    </cfRule>
  </conditionalFormatting>
  <conditionalFormatting sqref="AE9:AF74">
    <cfRule type="cellIs" dxfId="21" priority="36" operator="greaterThan">
      <formula>0</formula>
    </cfRule>
    <cfRule type="cellIs" dxfId="20" priority="37" operator="lessThan">
      <formula>0</formula>
    </cfRule>
  </conditionalFormatting>
  <conditionalFormatting sqref="AG9:AG74">
    <cfRule type="colorScale" priority="10">
      <colorScale>
        <cfvo type="num" val="0"/>
        <cfvo type="num" val="50"/>
        <cfvo type="num" val="100"/>
        <color rgb="FFFFFFFF"/>
        <color rgb="FFD2ECF9"/>
        <color rgb="FFAEDBF3"/>
      </colorScale>
    </cfRule>
  </conditionalFormatting>
  <conditionalFormatting sqref="AH9:AI74">
    <cfRule type="cellIs" dxfId="19" priority="39" operator="lessThan">
      <formula>0</formula>
    </cfRule>
    <cfRule type="cellIs" dxfId="18" priority="38" operator="greaterThan">
      <formula>0</formula>
    </cfRule>
  </conditionalFormatting>
  <conditionalFormatting sqref="AJ9:AJ74">
    <cfRule type="colorScale" priority="11">
      <colorScale>
        <cfvo type="num" val="0"/>
        <cfvo type="num" val="50"/>
        <cfvo type="num" val="100"/>
        <color rgb="FFFFFFFF"/>
        <color rgb="FFD2ECF9"/>
        <color rgb="FFAEDBF3"/>
      </colorScale>
    </cfRule>
  </conditionalFormatting>
  <conditionalFormatting sqref="AK9:AL74">
    <cfRule type="cellIs" dxfId="17" priority="41" operator="lessThan">
      <formula>0</formula>
    </cfRule>
    <cfRule type="cellIs" dxfId="16" priority="40" operator="greaterThan">
      <formula>0</formula>
    </cfRule>
  </conditionalFormatting>
  <conditionalFormatting sqref="AM9:AM74">
    <cfRule type="colorScale" priority="12">
      <colorScale>
        <cfvo type="num" val="0"/>
        <cfvo type="num" val="50"/>
        <cfvo type="num" val="100"/>
        <color rgb="FFFFFFFF"/>
        <color rgb="FFD2ECF9"/>
        <color rgb="FFAEDBF3"/>
      </colorScale>
    </cfRule>
  </conditionalFormatting>
  <conditionalFormatting sqref="AN9:AO74">
    <cfRule type="cellIs" dxfId="15" priority="42" operator="greaterThan">
      <formula>0</formula>
    </cfRule>
    <cfRule type="cellIs" dxfId="14" priority="43" operator="lessThan">
      <formula>0</formula>
    </cfRule>
  </conditionalFormatting>
  <conditionalFormatting sqref="AP9:AP74">
    <cfRule type="colorScale" priority="13">
      <colorScale>
        <cfvo type="num" val="0"/>
        <cfvo type="num" val="50"/>
        <cfvo type="num" val="100"/>
        <color rgb="FFFFFFFF"/>
        <color rgb="FFD2ECF9"/>
        <color rgb="FFAEDBF3"/>
      </colorScale>
    </cfRule>
  </conditionalFormatting>
  <conditionalFormatting sqref="AQ9:AR74">
    <cfRule type="cellIs" dxfId="13" priority="45" operator="lessThan">
      <formula>0</formula>
    </cfRule>
    <cfRule type="cellIs" dxfId="12" priority="44" operator="greaterThan">
      <formula>0</formula>
    </cfRule>
  </conditionalFormatting>
  <conditionalFormatting sqref="AS9:AS74">
    <cfRule type="colorScale" priority="14">
      <colorScale>
        <cfvo type="num" val="0"/>
        <cfvo type="num" val="50"/>
        <cfvo type="num" val="100"/>
        <color rgb="FFFFFFFF"/>
        <color rgb="FFD2ECF9"/>
        <color rgb="FFAEDBF3"/>
      </colorScale>
    </cfRule>
  </conditionalFormatting>
  <conditionalFormatting sqref="AT9:AU74">
    <cfRule type="cellIs" dxfId="11" priority="46" operator="greaterThan">
      <formula>0</formula>
    </cfRule>
    <cfRule type="cellIs" dxfId="10" priority="47" operator="lessThan">
      <formula>0</formula>
    </cfRule>
  </conditionalFormatting>
  <conditionalFormatting sqref="AV9:AV74">
    <cfRule type="colorScale" priority="15">
      <colorScale>
        <cfvo type="num" val="0"/>
        <cfvo type="num" val="50"/>
        <cfvo type="num" val="100"/>
        <color rgb="FFFFFFFF"/>
        <color rgb="FFD2ECF9"/>
        <color rgb="FFAEDBF3"/>
      </colorScale>
    </cfRule>
  </conditionalFormatting>
  <conditionalFormatting sqref="AW9:AX74">
    <cfRule type="cellIs" dxfId="9" priority="48" operator="greaterThan">
      <formula>0</formula>
    </cfRule>
    <cfRule type="cellIs" dxfId="8" priority="49" operator="lessThan">
      <formula>0</formula>
    </cfRule>
  </conditionalFormatting>
  <conditionalFormatting sqref="AY9:AY74">
    <cfRule type="colorScale" priority="16">
      <colorScale>
        <cfvo type="num" val="0"/>
        <cfvo type="num" val="50"/>
        <cfvo type="num" val="100"/>
        <color rgb="FFFFFFFF"/>
        <color rgb="FFD2ECF9"/>
        <color rgb="FFAEDBF3"/>
      </colorScale>
    </cfRule>
  </conditionalFormatting>
  <conditionalFormatting sqref="AZ9:BA74">
    <cfRule type="cellIs" dxfId="7" priority="50" operator="greaterThan">
      <formula>0</formula>
    </cfRule>
    <cfRule type="cellIs" dxfId="6" priority="51" operator="lessThan">
      <formula>0</formula>
    </cfRule>
  </conditionalFormatting>
  <conditionalFormatting sqref="BB9:BB74">
    <cfRule type="colorScale" priority="17">
      <colorScale>
        <cfvo type="num" val="0"/>
        <cfvo type="num" val="50"/>
        <cfvo type="num" val="100"/>
        <color rgb="FFFFFFFF"/>
        <color rgb="FFD2ECF9"/>
        <color rgb="FFAEDBF3"/>
      </colorScale>
    </cfRule>
  </conditionalFormatting>
  <conditionalFormatting sqref="BC9:BD74">
    <cfRule type="cellIs" dxfId="5" priority="52" operator="greaterThan">
      <formula>0</formula>
    </cfRule>
    <cfRule type="cellIs" dxfId="4" priority="53" operator="lessThan">
      <formula>0</formula>
    </cfRule>
  </conditionalFormatting>
  <conditionalFormatting sqref="BE9:BE74">
    <cfRule type="colorScale" priority="18">
      <colorScale>
        <cfvo type="num" val="0"/>
        <cfvo type="num" val="50"/>
        <cfvo type="num" val="100"/>
        <color rgb="FFFFFFFF"/>
        <color rgb="FFD2ECF9"/>
        <color rgb="FFAEDBF3"/>
      </colorScale>
    </cfRule>
  </conditionalFormatting>
  <conditionalFormatting sqref="BF9:BG74">
    <cfRule type="cellIs" dxfId="3" priority="54" operator="greaterThan">
      <formula>0</formula>
    </cfRule>
    <cfRule type="cellIs" dxfId="2" priority="55" operator="lessThan">
      <formula>0</formula>
    </cfRule>
  </conditionalFormatting>
  <conditionalFormatting sqref="BH9:BH74">
    <cfRule type="colorScale" priority="19">
      <colorScale>
        <cfvo type="num" val="0"/>
        <cfvo type="num" val="50"/>
        <cfvo type="num" val="100"/>
        <color rgb="FFFFFFFF"/>
        <color rgb="FFD2ECF9"/>
        <color rgb="FFAEDBF3"/>
      </colorScale>
    </cfRule>
  </conditionalFormatting>
  <conditionalFormatting sqref="BI9:BJ74">
    <cfRule type="cellIs" dxfId="1" priority="56" operator="greaterThan">
      <formula>0</formula>
    </cfRule>
    <cfRule type="cellIs" dxfId="0" priority="57" operator="lessThan">
      <formula>0</formula>
    </cfRule>
  </conditionalFormatting>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disablePrompts="1" count="1">
        <x14:dataValidation type="list" xr:uid="{00000000-0002-0000-0400-000000000000}">
          <x14:formula1>
            <xm:f>Listen!$I$2:$I$71</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1B3B4"/>
  </sheetPr>
  <dimension ref="A1:BV331"/>
  <sheetViews>
    <sheetView workbookViewId="0">
      <pane xSplit="3" ySplit="1" topLeftCell="D2" activePane="bottomRight" state="frozen"/>
      <selection pane="topRight"/>
      <selection pane="bottomLeft"/>
      <selection pane="bottomRight" activeCell="B2" sqref="B2"/>
    </sheetView>
  </sheetViews>
  <sheetFormatPr baseColWidth="10" defaultColWidth="9.140625" defaultRowHeight="15" x14ac:dyDescent="0.25"/>
  <cols>
    <col min="1" max="1" width="10" hidden="1" customWidth="1"/>
    <col min="2" max="2" width="40" customWidth="1"/>
    <col min="3" max="3" width="14" customWidth="1"/>
    <col min="4" max="4" width="10" customWidth="1"/>
    <col min="64" max="64" width="9.140625" customWidth="1"/>
  </cols>
  <sheetData>
    <row r="1" spans="1:74" ht="51.75" customHeight="1" x14ac:dyDescent="0.25">
      <c r="A1" s="53" t="s">
        <v>171</v>
      </c>
      <c r="B1" s="53" t="s">
        <v>69</v>
      </c>
      <c r="C1" s="53" t="s">
        <v>172</v>
      </c>
      <c r="D1" s="53" t="s">
        <v>56</v>
      </c>
      <c r="E1" s="53" t="s">
        <v>173</v>
      </c>
      <c r="F1" s="53" t="s">
        <v>174</v>
      </c>
      <c r="G1" s="53" t="s">
        <v>175</v>
      </c>
      <c r="H1" s="53" t="s">
        <v>176</v>
      </c>
      <c r="I1" s="53" t="s">
        <v>177</v>
      </c>
      <c r="J1" s="53" t="s">
        <v>178</v>
      </c>
      <c r="K1" s="53" t="s">
        <v>179</v>
      </c>
      <c r="L1" s="53" t="s">
        <v>180</v>
      </c>
      <c r="M1" s="53" t="s">
        <v>181</v>
      </c>
      <c r="N1" s="53" t="s">
        <v>182</v>
      </c>
      <c r="O1" s="53" t="s">
        <v>43</v>
      </c>
      <c r="P1" s="53" t="s">
        <v>183</v>
      </c>
      <c r="Q1" s="53" t="s">
        <v>184</v>
      </c>
      <c r="R1" s="53" t="s">
        <v>185</v>
      </c>
      <c r="S1" s="53" t="s">
        <v>186</v>
      </c>
      <c r="T1" s="53" t="s">
        <v>187</v>
      </c>
      <c r="U1" s="53" t="s">
        <v>188</v>
      </c>
      <c r="V1" s="53" t="s">
        <v>189</v>
      </c>
      <c r="W1" s="53" t="s">
        <v>190</v>
      </c>
      <c r="X1" s="53" t="s">
        <v>191</v>
      </c>
      <c r="Y1" s="53" t="s">
        <v>192</v>
      </c>
      <c r="Z1" s="53" t="s">
        <v>193</v>
      </c>
      <c r="AA1" s="53" t="s">
        <v>194</v>
      </c>
      <c r="AB1" s="53" t="s">
        <v>195</v>
      </c>
      <c r="AC1" s="53" t="s">
        <v>196</v>
      </c>
      <c r="AD1" s="53" t="s">
        <v>197</v>
      </c>
      <c r="AE1" s="53" t="s">
        <v>198</v>
      </c>
      <c r="AF1" s="53" t="s">
        <v>199</v>
      </c>
      <c r="AG1" s="53" t="s">
        <v>200</v>
      </c>
      <c r="AH1" s="53" t="s">
        <v>201</v>
      </c>
      <c r="AI1" s="53" t="s">
        <v>202</v>
      </c>
      <c r="AJ1" s="53" t="s">
        <v>203</v>
      </c>
      <c r="AK1" s="53" t="s">
        <v>204</v>
      </c>
      <c r="AL1" s="53" t="s">
        <v>205</v>
      </c>
      <c r="AM1" s="53" t="s">
        <v>206</v>
      </c>
      <c r="AN1" s="53" t="s">
        <v>207</v>
      </c>
      <c r="AO1" s="53" t="s">
        <v>208</v>
      </c>
      <c r="AP1" s="53" t="s">
        <v>209</v>
      </c>
      <c r="AQ1" s="53" t="s">
        <v>210</v>
      </c>
      <c r="AR1" s="53" t="s">
        <v>211</v>
      </c>
      <c r="AS1" s="53" t="s">
        <v>212</v>
      </c>
      <c r="AT1" s="53" t="s">
        <v>213</v>
      </c>
      <c r="AU1" s="53" t="s">
        <v>214</v>
      </c>
      <c r="AV1" s="53" t="s">
        <v>215</v>
      </c>
      <c r="AW1" s="53" t="s">
        <v>216</v>
      </c>
      <c r="AX1" s="53" t="s">
        <v>217</v>
      </c>
      <c r="AY1" s="53" t="s">
        <v>218</v>
      </c>
      <c r="AZ1" s="53" t="s">
        <v>219</v>
      </c>
      <c r="BA1" s="53" t="s">
        <v>220</v>
      </c>
      <c r="BB1" s="53" t="s">
        <v>221</v>
      </c>
      <c r="BC1" s="53" t="s">
        <v>104</v>
      </c>
      <c r="BD1" s="53" t="s">
        <v>222</v>
      </c>
      <c r="BE1" s="53" t="s">
        <v>223</v>
      </c>
      <c r="BF1" s="53" t="s">
        <v>224</v>
      </c>
      <c r="BG1" s="53" t="s">
        <v>225</v>
      </c>
      <c r="BH1" s="53" t="s">
        <v>226</v>
      </c>
      <c r="BI1" s="53" t="s">
        <v>227</v>
      </c>
      <c r="BJ1" s="53" t="s">
        <v>228</v>
      </c>
      <c r="BK1" s="53" t="s">
        <v>229</v>
      </c>
      <c r="BL1" s="53" t="s">
        <v>230</v>
      </c>
      <c r="BM1" s="53" t="s">
        <v>231</v>
      </c>
      <c r="BN1" s="53" t="s">
        <v>232</v>
      </c>
      <c r="BO1" s="53" t="s">
        <v>233</v>
      </c>
      <c r="BP1" s="53" t="s">
        <v>234</v>
      </c>
      <c r="BQ1" s="53" t="s">
        <v>235</v>
      </c>
      <c r="BR1" s="53" t="s">
        <v>236</v>
      </c>
      <c r="BS1" s="53" t="s">
        <v>237</v>
      </c>
      <c r="BT1" s="53" t="s">
        <v>238</v>
      </c>
      <c r="BU1" s="53" t="s">
        <v>239</v>
      </c>
      <c r="BV1" s="53" t="s">
        <v>47</v>
      </c>
    </row>
    <row r="2" spans="1:74" x14ac:dyDescent="0.25">
      <c r="A2" t="s">
        <v>336</v>
      </c>
      <c r="B2" t="s">
        <v>45</v>
      </c>
      <c r="C2" t="s">
        <v>31</v>
      </c>
      <c r="D2">
        <v>18.585999999999999</v>
      </c>
      <c r="E2">
        <v>-15</v>
      </c>
      <c r="F2">
        <v>-6</v>
      </c>
      <c r="G2">
        <v>-6</v>
      </c>
      <c r="H2">
        <v>-3</v>
      </c>
      <c r="I2">
        <v>4</v>
      </c>
      <c r="J2">
        <v>-6</v>
      </c>
      <c r="K2">
        <v>1</v>
      </c>
      <c r="L2">
        <v>13</v>
      </c>
      <c r="M2">
        <v>19</v>
      </c>
      <c r="N2">
        <v>24</v>
      </c>
      <c r="O2">
        <v>35</v>
      </c>
      <c r="P2">
        <v>36</v>
      </c>
      <c r="Q2">
        <v>31</v>
      </c>
      <c r="R2">
        <v>30</v>
      </c>
      <c r="S2">
        <v>25</v>
      </c>
      <c r="T2">
        <v>17</v>
      </c>
      <c r="U2">
        <v>2</v>
      </c>
      <c r="V2">
        <v>-17</v>
      </c>
      <c r="W2">
        <v>-10</v>
      </c>
      <c r="X2">
        <v>0</v>
      </c>
      <c r="Y2">
        <v>10</v>
      </c>
      <c r="Z2">
        <v>26</v>
      </c>
      <c r="AA2">
        <v>34</v>
      </c>
      <c r="AB2">
        <v>37</v>
      </c>
      <c r="AC2">
        <v>37</v>
      </c>
      <c r="AD2">
        <v>37</v>
      </c>
      <c r="AE2">
        <v>32</v>
      </c>
      <c r="AF2">
        <v>27</v>
      </c>
      <c r="AG2">
        <v>27</v>
      </c>
      <c r="AH2">
        <v>17</v>
      </c>
      <c r="AI2">
        <v>27</v>
      </c>
      <c r="AJ2">
        <v>32</v>
      </c>
      <c r="AK2">
        <v>33</v>
      </c>
      <c r="AL2">
        <v>31</v>
      </c>
      <c r="AM2">
        <v>32</v>
      </c>
      <c r="AN2">
        <v>32</v>
      </c>
      <c r="AO2">
        <v>35</v>
      </c>
      <c r="AP2">
        <v>38</v>
      </c>
      <c r="AQ2">
        <v>34</v>
      </c>
      <c r="AR2">
        <v>36</v>
      </c>
      <c r="AS2">
        <v>38</v>
      </c>
      <c r="AT2">
        <v>40</v>
      </c>
      <c r="AU2">
        <v>45</v>
      </c>
      <c r="AV2">
        <v>48</v>
      </c>
      <c r="AW2">
        <v>45</v>
      </c>
      <c r="AX2">
        <v>45</v>
      </c>
      <c r="AY2">
        <v>43</v>
      </c>
      <c r="AZ2">
        <v>36</v>
      </c>
      <c r="BA2">
        <v>30</v>
      </c>
      <c r="BB2">
        <v>30</v>
      </c>
      <c r="BC2">
        <v>-26</v>
      </c>
      <c r="BD2">
        <v>-1</v>
      </c>
      <c r="BE2">
        <v>-3</v>
      </c>
      <c r="BF2">
        <v>2</v>
      </c>
      <c r="BG2">
        <v>29</v>
      </c>
      <c r="BH2">
        <v>18</v>
      </c>
      <c r="BI2">
        <v>19</v>
      </c>
      <c r="BJ2">
        <v>13</v>
      </c>
      <c r="BK2">
        <v>19</v>
      </c>
      <c r="BL2">
        <v>19</v>
      </c>
      <c r="BM2">
        <v>9</v>
      </c>
      <c r="BN2">
        <v>7</v>
      </c>
      <c r="BO2">
        <v>5</v>
      </c>
      <c r="BP2">
        <v>1</v>
      </c>
      <c r="BQ2">
        <v>1</v>
      </c>
      <c r="BR2">
        <v>0</v>
      </c>
      <c r="BS2">
        <v>0</v>
      </c>
      <c r="BT2">
        <v>1</v>
      </c>
      <c r="BU2">
        <v>-3</v>
      </c>
      <c r="BV2">
        <v>3</v>
      </c>
    </row>
    <row r="3" spans="1:74" x14ac:dyDescent="0.25">
      <c r="A3" t="s">
        <v>337</v>
      </c>
      <c r="B3" t="s">
        <v>110</v>
      </c>
      <c r="C3" t="s">
        <v>31</v>
      </c>
      <c r="D3">
        <v>18.571000000000002</v>
      </c>
      <c r="E3">
        <v>-13</v>
      </c>
      <c r="F3">
        <v>-2</v>
      </c>
      <c r="G3">
        <v>-1</v>
      </c>
      <c r="H3">
        <v>7</v>
      </c>
      <c r="I3">
        <v>10</v>
      </c>
      <c r="J3">
        <v>-2</v>
      </c>
      <c r="K3">
        <v>6</v>
      </c>
      <c r="L3">
        <v>18</v>
      </c>
      <c r="M3">
        <v>28</v>
      </c>
      <c r="N3">
        <v>35</v>
      </c>
      <c r="O3">
        <v>47</v>
      </c>
      <c r="P3">
        <v>49</v>
      </c>
      <c r="Q3">
        <v>44</v>
      </c>
      <c r="R3">
        <v>42</v>
      </c>
      <c r="S3">
        <v>39</v>
      </c>
      <c r="T3">
        <v>23</v>
      </c>
      <c r="U3">
        <v>-9</v>
      </c>
      <c r="V3">
        <v>-40</v>
      </c>
      <c r="W3">
        <v>-30</v>
      </c>
      <c r="X3">
        <v>-16</v>
      </c>
      <c r="Y3">
        <v>6</v>
      </c>
      <c r="Z3">
        <v>27</v>
      </c>
      <c r="AA3">
        <v>37</v>
      </c>
      <c r="AB3">
        <v>46</v>
      </c>
      <c r="AC3">
        <v>43</v>
      </c>
      <c r="AD3">
        <v>41</v>
      </c>
      <c r="AE3">
        <v>36</v>
      </c>
      <c r="AF3">
        <v>25</v>
      </c>
      <c r="AG3">
        <v>22</v>
      </c>
      <c r="AH3">
        <v>15</v>
      </c>
      <c r="AI3">
        <v>23</v>
      </c>
      <c r="AJ3">
        <v>31</v>
      </c>
      <c r="AK3">
        <v>35</v>
      </c>
      <c r="AL3">
        <v>28</v>
      </c>
      <c r="AM3">
        <v>30</v>
      </c>
      <c r="AN3">
        <v>32</v>
      </c>
      <c r="AO3">
        <v>30</v>
      </c>
      <c r="AP3">
        <v>34</v>
      </c>
      <c r="AQ3">
        <v>31</v>
      </c>
      <c r="AR3">
        <v>32</v>
      </c>
      <c r="AS3">
        <v>36</v>
      </c>
      <c r="AT3">
        <v>44</v>
      </c>
      <c r="AU3">
        <v>48</v>
      </c>
      <c r="AV3">
        <v>54</v>
      </c>
      <c r="AW3">
        <v>52</v>
      </c>
      <c r="AX3">
        <v>47</v>
      </c>
      <c r="AY3">
        <v>43</v>
      </c>
      <c r="AZ3">
        <v>34</v>
      </c>
      <c r="BA3">
        <v>16</v>
      </c>
      <c r="BB3">
        <v>16</v>
      </c>
      <c r="BC3">
        <v>-23</v>
      </c>
      <c r="BD3">
        <v>-10</v>
      </c>
      <c r="BE3">
        <v>6</v>
      </c>
      <c r="BF3">
        <v>25</v>
      </c>
      <c r="BG3">
        <v>35</v>
      </c>
      <c r="BH3">
        <v>35</v>
      </c>
      <c r="BI3">
        <v>29</v>
      </c>
      <c r="BJ3">
        <v>14</v>
      </c>
      <c r="BK3">
        <v>21</v>
      </c>
      <c r="BL3">
        <v>19</v>
      </c>
      <c r="BM3">
        <v>0</v>
      </c>
      <c r="BN3">
        <v>-1</v>
      </c>
      <c r="BO3">
        <v>-5</v>
      </c>
      <c r="BP3">
        <v>-16</v>
      </c>
      <c r="BQ3">
        <v>-14</v>
      </c>
      <c r="BR3">
        <v>-11</v>
      </c>
      <c r="BS3">
        <v>-15</v>
      </c>
      <c r="BT3">
        <v>-10</v>
      </c>
      <c r="BU3">
        <v>-7</v>
      </c>
      <c r="BV3">
        <v>-1</v>
      </c>
    </row>
    <row r="4" spans="1:74" x14ac:dyDescent="0.25">
      <c r="A4" t="s">
        <v>338</v>
      </c>
      <c r="B4" t="s">
        <v>111</v>
      </c>
      <c r="C4" t="s">
        <v>31</v>
      </c>
      <c r="D4">
        <v>14.086</v>
      </c>
      <c r="E4">
        <v>-37</v>
      </c>
      <c r="F4">
        <v>-34</v>
      </c>
      <c r="G4">
        <v>-25</v>
      </c>
      <c r="H4">
        <v>-32</v>
      </c>
      <c r="I4">
        <v>-33</v>
      </c>
      <c r="J4">
        <v>-16</v>
      </c>
      <c r="K4">
        <v>-24</v>
      </c>
      <c r="L4">
        <v>-11</v>
      </c>
      <c r="M4">
        <v>17</v>
      </c>
      <c r="N4">
        <v>12</v>
      </c>
      <c r="O4">
        <v>27</v>
      </c>
      <c r="P4">
        <v>41</v>
      </c>
      <c r="Q4">
        <v>11</v>
      </c>
      <c r="R4">
        <v>22</v>
      </c>
      <c r="S4">
        <v>29</v>
      </c>
      <c r="T4">
        <v>8</v>
      </c>
      <c r="U4">
        <v>-19</v>
      </c>
      <c r="V4">
        <v>-23</v>
      </c>
      <c r="W4">
        <v>-13</v>
      </c>
      <c r="X4">
        <v>-9</v>
      </c>
      <c r="Y4">
        <v>0</v>
      </c>
      <c r="Z4">
        <v>23</v>
      </c>
      <c r="AA4">
        <v>8</v>
      </c>
      <c r="AB4">
        <v>28</v>
      </c>
      <c r="AC4">
        <v>37</v>
      </c>
      <c r="AD4">
        <v>36</v>
      </c>
      <c r="AE4">
        <v>33</v>
      </c>
      <c r="AF4">
        <v>26</v>
      </c>
      <c r="AG4">
        <v>20</v>
      </c>
      <c r="AH4">
        <v>1</v>
      </c>
      <c r="AI4">
        <v>20</v>
      </c>
      <c r="AJ4">
        <v>25</v>
      </c>
      <c r="AK4">
        <v>23</v>
      </c>
      <c r="AL4">
        <v>17</v>
      </c>
      <c r="AM4">
        <v>17</v>
      </c>
      <c r="AN4">
        <v>15</v>
      </c>
      <c r="AO4">
        <v>24</v>
      </c>
      <c r="AP4">
        <v>22</v>
      </c>
      <c r="AQ4">
        <v>21</v>
      </c>
      <c r="AR4">
        <v>34</v>
      </c>
      <c r="AS4">
        <v>36</v>
      </c>
      <c r="AT4">
        <v>32</v>
      </c>
      <c r="AU4">
        <v>49</v>
      </c>
      <c r="AV4">
        <v>54</v>
      </c>
      <c r="AW4">
        <v>51</v>
      </c>
      <c r="AX4">
        <v>51</v>
      </c>
      <c r="AY4">
        <v>56</v>
      </c>
      <c r="AZ4">
        <v>51</v>
      </c>
      <c r="BA4">
        <v>36</v>
      </c>
      <c r="BB4">
        <v>44</v>
      </c>
      <c r="BC4">
        <v>28</v>
      </c>
      <c r="BD4">
        <v>32</v>
      </c>
      <c r="BE4">
        <v>29</v>
      </c>
      <c r="BF4">
        <v>49</v>
      </c>
      <c r="BG4">
        <v>57</v>
      </c>
      <c r="BH4">
        <v>48</v>
      </c>
      <c r="BI4">
        <v>39</v>
      </c>
      <c r="BJ4">
        <v>20</v>
      </c>
      <c r="BK4">
        <v>14</v>
      </c>
      <c r="BL4">
        <v>20</v>
      </c>
      <c r="BM4">
        <v>-12</v>
      </c>
      <c r="BN4">
        <v>-13</v>
      </c>
      <c r="BO4">
        <v>-8</v>
      </c>
      <c r="BP4">
        <v>-15</v>
      </c>
      <c r="BQ4">
        <v>-20</v>
      </c>
      <c r="BR4">
        <v>-2</v>
      </c>
      <c r="BS4">
        <v>-15</v>
      </c>
      <c r="BT4">
        <v>-15</v>
      </c>
      <c r="BU4">
        <v>-12</v>
      </c>
      <c r="BV4">
        <v>-19</v>
      </c>
    </row>
    <row r="5" spans="1:74" x14ac:dyDescent="0.25">
      <c r="A5" t="s">
        <v>339</v>
      </c>
      <c r="B5" t="s">
        <v>112</v>
      </c>
      <c r="C5" t="s">
        <v>31</v>
      </c>
      <c r="D5">
        <v>16</v>
      </c>
      <c r="E5">
        <v>-12</v>
      </c>
      <c r="F5">
        <v>4</v>
      </c>
      <c r="G5">
        <v>6</v>
      </c>
      <c r="H5">
        <v>-2</v>
      </c>
      <c r="I5">
        <v>3</v>
      </c>
      <c r="J5">
        <v>-7</v>
      </c>
      <c r="K5">
        <v>1</v>
      </c>
      <c r="L5">
        <v>5</v>
      </c>
      <c r="M5">
        <v>11</v>
      </c>
      <c r="N5">
        <v>10</v>
      </c>
      <c r="O5">
        <v>25</v>
      </c>
      <c r="P5">
        <v>26</v>
      </c>
      <c r="Q5">
        <v>30</v>
      </c>
      <c r="R5">
        <v>29</v>
      </c>
      <c r="S5">
        <v>18</v>
      </c>
      <c r="T5">
        <v>12</v>
      </c>
      <c r="U5">
        <v>13</v>
      </c>
      <c r="V5">
        <v>10</v>
      </c>
      <c r="W5">
        <v>10</v>
      </c>
      <c r="X5">
        <v>16</v>
      </c>
      <c r="Y5">
        <v>20</v>
      </c>
      <c r="Z5">
        <v>23</v>
      </c>
      <c r="AA5">
        <v>34</v>
      </c>
      <c r="AB5">
        <v>24</v>
      </c>
      <c r="AC5">
        <v>25</v>
      </c>
      <c r="AD5">
        <v>27</v>
      </c>
      <c r="AE5">
        <v>27</v>
      </c>
      <c r="AF5">
        <v>25</v>
      </c>
      <c r="AG5">
        <v>26</v>
      </c>
      <c r="AH5">
        <v>21</v>
      </c>
      <c r="AI5">
        <v>27</v>
      </c>
      <c r="AJ5">
        <v>38</v>
      </c>
      <c r="AK5">
        <v>33</v>
      </c>
      <c r="AL5">
        <v>28</v>
      </c>
      <c r="AM5">
        <v>31</v>
      </c>
      <c r="AN5">
        <v>31</v>
      </c>
      <c r="AO5">
        <v>26</v>
      </c>
      <c r="AP5">
        <v>38</v>
      </c>
      <c r="AQ5">
        <v>26</v>
      </c>
      <c r="AR5">
        <v>33</v>
      </c>
      <c r="AS5">
        <v>35</v>
      </c>
      <c r="AT5">
        <v>28</v>
      </c>
      <c r="AU5">
        <v>28</v>
      </c>
      <c r="AV5">
        <v>36</v>
      </c>
      <c r="AW5">
        <v>33</v>
      </c>
      <c r="AX5">
        <v>28</v>
      </c>
      <c r="AY5">
        <v>28</v>
      </c>
      <c r="AZ5">
        <v>23</v>
      </c>
      <c r="BA5">
        <v>14</v>
      </c>
      <c r="BB5">
        <v>28</v>
      </c>
      <c r="BC5">
        <v>-4</v>
      </c>
      <c r="BD5">
        <v>8</v>
      </c>
      <c r="BE5">
        <v>12</v>
      </c>
      <c r="BF5">
        <v>3</v>
      </c>
      <c r="BG5">
        <v>12</v>
      </c>
      <c r="BH5">
        <v>8</v>
      </c>
      <c r="BI5">
        <v>-4</v>
      </c>
      <c r="BJ5">
        <v>-12</v>
      </c>
      <c r="BK5">
        <v>1</v>
      </c>
      <c r="BL5">
        <v>-8</v>
      </c>
      <c r="BM5">
        <v>2</v>
      </c>
      <c r="BN5">
        <v>15</v>
      </c>
      <c r="BO5">
        <v>9</v>
      </c>
      <c r="BP5">
        <v>5</v>
      </c>
      <c r="BQ5">
        <v>14</v>
      </c>
      <c r="BR5">
        <v>12</v>
      </c>
      <c r="BS5">
        <v>0</v>
      </c>
      <c r="BT5">
        <v>-1</v>
      </c>
      <c r="BU5">
        <v>-4</v>
      </c>
      <c r="BV5">
        <v>0</v>
      </c>
    </row>
    <row r="6" spans="1:74" x14ac:dyDescent="0.25">
      <c r="A6" t="s">
        <v>340</v>
      </c>
      <c r="B6" t="s">
        <v>113</v>
      </c>
      <c r="C6" t="s">
        <v>31</v>
      </c>
      <c r="D6">
        <v>8.5860000000000003</v>
      </c>
      <c r="E6">
        <v>25</v>
      </c>
      <c r="F6">
        <v>14</v>
      </c>
      <c r="G6">
        <v>1</v>
      </c>
      <c r="H6">
        <v>-11</v>
      </c>
      <c r="I6">
        <v>-12</v>
      </c>
      <c r="J6">
        <v>-29</v>
      </c>
      <c r="K6">
        <v>-12</v>
      </c>
      <c r="L6">
        <v>-16</v>
      </c>
      <c r="M6">
        <v>-2</v>
      </c>
      <c r="N6">
        <v>15</v>
      </c>
      <c r="O6">
        <v>9</v>
      </c>
      <c r="P6">
        <v>33</v>
      </c>
      <c r="Q6">
        <v>2</v>
      </c>
      <c r="R6">
        <v>-7</v>
      </c>
      <c r="S6">
        <v>2</v>
      </c>
      <c r="T6">
        <v>-9</v>
      </c>
      <c r="U6">
        <v>-3</v>
      </c>
      <c r="V6">
        <v>-13</v>
      </c>
      <c r="W6">
        <v>2</v>
      </c>
      <c r="X6">
        <v>8</v>
      </c>
      <c r="Y6">
        <v>5</v>
      </c>
      <c r="Z6">
        <v>4</v>
      </c>
      <c r="AA6">
        <v>12</v>
      </c>
      <c r="AB6">
        <v>15</v>
      </c>
      <c r="AC6">
        <v>21</v>
      </c>
      <c r="AD6">
        <v>32</v>
      </c>
      <c r="AE6">
        <v>23</v>
      </c>
      <c r="AF6">
        <v>30</v>
      </c>
      <c r="AG6">
        <v>24</v>
      </c>
      <c r="AH6">
        <v>15</v>
      </c>
      <c r="AI6">
        <v>17</v>
      </c>
      <c r="AJ6">
        <v>27</v>
      </c>
      <c r="AK6">
        <v>41</v>
      </c>
      <c r="AL6">
        <v>31</v>
      </c>
      <c r="AM6">
        <v>31</v>
      </c>
      <c r="AN6">
        <v>28</v>
      </c>
      <c r="AO6">
        <v>47</v>
      </c>
      <c r="AP6">
        <v>43</v>
      </c>
      <c r="AQ6">
        <v>36</v>
      </c>
      <c r="AR6">
        <v>35</v>
      </c>
      <c r="AS6">
        <v>31</v>
      </c>
      <c r="AT6">
        <v>24</v>
      </c>
      <c r="AU6">
        <v>36</v>
      </c>
      <c r="AV6">
        <v>37</v>
      </c>
      <c r="AW6">
        <v>28</v>
      </c>
      <c r="AX6">
        <v>49</v>
      </c>
      <c r="AY6">
        <v>43</v>
      </c>
      <c r="AZ6">
        <v>37</v>
      </c>
      <c r="BA6">
        <v>36</v>
      </c>
      <c r="BB6">
        <v>32</v>
      </c>
      <c r="BC6">
        <v>-42</v>
      </c>
      <c r="BD6">
        <v>-14</v>
      </c>
      <c r="BE6">
        <v>-40</v>
      </c>
      <c r="BF6">
        <v>-44</v>
      </c>
      <c r="BG6">
        <v>0</v>
      </c>
      <c r="BH6">
        <v>-25</v>
      </c>
      <c r="BI6">
        <v>-11</v>
      </c>
      <c r="BJ6">
        <v>7</v>
      </c>
      <c r="BK6">
        <v>7</v>
      </c>
      <c r="BL6">
        <v>-8</v>
      </c>
      <c r="BM6">
        <v>-2</v>
      </c>
      <c r="BN6">
        <v>-9</v>
      </c>
      <c r="BO6">
        <v>3</v>
      </c>
      <c r="BP6">
        <v>-7</v>
      </c>
      <c r="BQ6">
        <v>-13</v>
      </c>
      <c r="BR6">
        <v>-19</v>
      </c>
      <c r="BS6">
        <v>-13</v>
      </c>
      <c r="BT6">
        <v>-10</v>
      </c>
      <c r="BU6">
        <v>-19</v>
      </c>
      <c r="BV6">
        <v>-7</v>
      </c>
    </row>
    <row r="7" spans="1:74" x14ac:dyDescent="0.25">
      <c r="A7" t="s">
        <v>341</v>
      </c>
      <c r="B7" t="s">
        <v>114</v>
      </c>
      <c r="C7" t="s">
        <v>31</v>
      </c>
      <c r="D7">
        <v>4.5999999999999996</v>
      </c>
      <c r="E7">
        <v>-25</v>
      </c>
      <c r="F7">
        <v>-20</v>
      </c>
      <c r="G7">
        <v>-20</v>
      </c>
      <c r="H7">
        <v>-17</v>
      </c>
      <c r="I7">
        <v>-6</v>
      </c>
      <c r="J7">
        <v>-16</v>
      </c>
      <c r="K7">
        <v>-12</v>
      </c>
      <c r="L7">
        <v>2</v>
      </c>
      <c r="M7">
        <v>7</v>
      </c>
      <c r="N7">
        <v>8</v>
      </c>
      <c r="O7">
        <v>15</v>
      </c>
      <c r="P7">
        <v>22</v>
      </c>
      <c r="Q7">
        <v>15</v>
      </c>
      <c r="R7">
        <v>16</v>
      </c>
      <c r="S7">
        <v>10</v>
      </c>
      <c r="T7">
        <v>-6</v>
      </c>
      <c r="U7">
        <v>-19</v>
      </c>
      <c r="V7">
        <v>-44</v>
      </c>
      <c r="W7">
        <v>-27</v>
      </c>
      <c r="X7">
        <v>-15</v>
      </c>
      <c r="Y7">
        <v>2</v>
      </c>
      <c r="Z7">
        <v>23</v>
      </c>
      <c r="AA7">
        <v>26</v>
      </c>
      <c r="AB7">
        <v>40</v>
      </c>
      <c r="AC7">
        <v>29</v>
      </c>
      <c r="AD7">
        <v>22</v>
      </c>
      <c r="AE7">
        <v>18</v>
      </c>
      <c r="AF7">
        <v>17</v>
      </c>
      <c r="AG7">
        <v>12</v>
      </c>
      <c r="AH7">
        <v>7</v>
      </c>
      <c r="AI7">
        <v>18</v>
      </c>
      <c r="AJ7">
        <v>29</v>
      </c>
      <c r="AK7">
        <v>29</v>
      </c>
      <c r="AL7">
        <v>29</v>
      </c>
      <c r="AM7">
        <v>26</v>
      </c>
      <c r="AN7">
        <v>27</v>
      </c>
      <c r="AO7">
        <v>22</v>
      </c>
      <c r="AP7">
        <v>23</v>
      </c>
      <c r="AQ7">
        <v>26</v>
      </c>
      <c r="AR7">
        <v>27</v>
      </c>
      <c r="AS7">
        <v>28</v>
      </c>
      <c r="AT7">
        <v>27</v>
      </c>
      <c r="AU7">
        <v>29</v>
      </c>
      <c r="AV7">
        <v>34</v>
      </c>
      <c r="AW7">
        <v>25</v>
      </c>
      <c r="AX7">
        <v>18</v>
      </c>
      <c r="AY7">
        <v>13</v>
      </c>
      <c r="AZ7">
        <v>24</v>
      </c>
      <c r="BA7">
        <v>-1</v>
      </c>
      <c r="BB7">
        <v>9</v>
      </c>
      <c r="BC7">
        <v>-52</v>
      </c>
      <c r="BD7">
        <v>-19</v>
      </c>
      <c r="BE7">
        <v>-19</v>
      </c>
      <c r="BF7">
        <v>-14</v>
      </c>
      <c r="BG7">
        <v>11</v>
      </c>
      <c r="BH7">
        <v>14</v>
      </c>
      <c r="BI7">
        <v>13</v>
      </c>
      <c r="BJ7">
        <v>-1</v>
      </c>
      <c r="BK7">
        <v>13</v>
      </c>
      <c r="BL7">
        <v>-1</v>
      </c>
      <c r="BM7">
        <v>-10</v>
      </c>
      <c r="BN7">
        <v>-10</v>
      </c>
      <c r="BO7">
        <v>-13</v>
      </c>
      <c r="BP7">
        <v>-19</v>
      </c>
      <c r="BQ7">
        <v>-18</v>
      </c>
      <c r="BR7">
        <v>-12</v>
      </c>
      <c r="BS7">
        <v>-20</v>
      </c>
      <c r="BT7">
        <v>-23</v>
      </c>
      <c r="BU7">
        <v>-14</v>
      </c>
      <c r="BV7">
        <v>-10</v>
      </c>
    </row>
    <row r="8" spans="1:74" x14ac:dyDescent="0.25">
      <c r="A8" t="s">
        <v>342</v>
      </c>
      <c r="B8" t="s">
        <v>115</v>
      </c>
      <c r="C8" t="s">
        <v>31</v>
      </c>
      <c r="D8">
        <v>2.6709999999999998</v>
      </c>
      <c r="E8">
        <v>-25</v>
      </c>
      <c r="F8">
        <v>-25</v>
      </c>
      <c r="G8">
        <v>-14</v>
      </c>
      <c r="H8">
        <v>-19</v>
      </c>
      <c r="I8">
        <v>-9</v>
      </c>
      <c r="J8">
        <v>-17</v>
      </c>
      <c r="K8">
        <v>-18</v>
      </c>
      <c r="L8">
        <v>2</v>
      </c>
      <c r="M8">
        <v>5</v>
      </c>
      <c r="N8">
        <v>13</v>
      </c>
      <c r="O8">
        <v>23</v>
      </c>
      <c r="P8">
        <v>25</v>
      </c>
      <c r="Q8">
        <v>10</v>
      </c>
      <c r="R8">
        <v>8</v>
      </c>
      <c r="S8">
        <v>1</v>
      </c>
      <c r="T8">
        <v>-14</v>
      </c>
      <c r="U8">
        <v>-31</v>
      </c>
      <c r="V8">
        <v>-57</v>
      </c>
      <c r="W8">
        <v>-35</v>
      </c>
      <c r="X8">
        <v>-22</v>
      </c>
      <c r="Y8">
        <v>-2</v>
      </c>
      <c r="Z8">
        <v>19</v>
      </c>
      <c r="AA8">
        <v>17</v>
      </c>
      <c r="AB8">
        <v>32</v>
      </c>
      <c r="AC8">
        <v>27</v>
      </c>
      <c r="AD8">
        <v>16</v>
      </c>
      <c r="AE8">
        <v>14</v>
      </c>
      <c r="AF8">
        <v>7</v>
      </c>
      <c r="AG8">
        <v>3</v>
      </c>
      <c r="AH8">
        <v>-1</v>
      </c>
      <c r="AI8">
        <v>8</v>
      </c>
      <c r="AJ8">
        <v>21</v>
      </c>
      <c r="AK8">
        <v>28</v>
      </c>
      <c r="AL8">
        <v>26</v>
      </c>
      <c r="AM8">
        <v>28</v>
      </c>
      <c r="AN8">
        <v>26</v>
      </c>
      <c r="AO8">
        <v>27</v>
      </c>
      <c r="AP8">
        <v>24</v>
      </c>
      <c r="AQ8">
        <v>25</v>
      </c>
      <c r="AR8">
        <v>26</v>
      </c>
      <c r="AS8">
        <v>26</v>
      </c>
      <c r="AT8">
        <v>25</v>
      </c>
      <c r="AU8">
        <v>24</v>
      </c>
      <c r="AV8">
        <v>29</v>
      </c>
      <c r="AW8">
        <v>21</v>
      </c>
      <c r="AX8">
        <v>17</v>
      </c>
      <c r="AY8">
        <v>16</v>
      </c>
      <c r="AZ8">
        <v>19</v>
      </c>
      <c r="BA8">
        <v>-1</v>
      </c>
      <c r="BB8">
        <v>10</v>
      </c>
      <c r="BC8">
        <v>-48</v>
      </c>
      <c r="BD8">
        <v>-18</v>
      </c>
      <c r="BE8">
        <v>-15</v>
      </c>
      <c r="BF8">
        <v>-9</v>
      </c>
      <c r="BG8">
        <v>19</v>
      </c>
      <c r="BH8">
        <v>17</v>
      </c>
      <c r="BI8">
        <v>19</v>
      </c>
      <c r="BJ8">
        <v>0</v>
      </c>
      <c r="BK8">
        <v>13</v>
      </c>
      <c r="BL8">
        <v>0</v>
      </c>
      <c r="BM8">
        <v>-16</v>
      </c>
      <c r="BN8">
        <v>-8</v>
      </c>
      <c r="BO8">
        <v>-14</v>
      </c>
      <c r="BP8">
        <v>-21</v>
      </c>
      <c r="BQ8">
        <v>-15</v>
      </c>
      <c r="BR8">
        <v>-16</v>
      </c>
      <c r="BS8">
        <v>-26</v>
      </c>
      <c r="BT8">
        <v>-20</v>
      </c>
      <c r="BU8">
        <v>-11</v>
      </c>
      <c r="BV8">
        <v>-2</v>
      </c>
    </row>
    <row r="9" spans="1:74" x14ac:dyDescent="0.25">
      <c r="A9" t="s">
        <v>343</v>
      </c>
      <c r="B9" t="s">
        <v>116</v>
      </c>
      <c r="C9" t="s">
        <v>31</v>
      </c>
      <c r="D9">
        <v>12</v>
      </c>
      <c r="E9">
        <v>-26</v>
      </c>
      <c r="F9">
        <v>-20</v>
      </c>
      <c r="G9">
        <v>-16</v>
      </c>
      <c r="H9">
        <v>-4</v>
      </c>
      <c r="I9">
        <v>-8</v>
      </c>
      <c r="J9">
        <v>-8</v>
      </c>
      <c r="K9">
        <v>-7</v>
      </c>
      <c r="L9">
        <v>6</v>
      </c>
      <c r="M9">
        <v>10</v>
      </c>
      <c r="N9">
        <v>27</v>
      </c>
      <c r="O9">
        <v>44</v>
      </c>
      <c r="P9">
        <v>30</v>
      </c>
      <c r="Q9">
        <v>15</v>
      </c>
      <c r="R9">
        <v>13</v>
      </c>
      <c r="S9">
        <v>6</v>
      </c>
      <c r="T9">
        <v>-11</v>
      </c>
      <c r="U9">
        <v>-23</v>
      </c>
      <c r="V9">
        <v>-46</v>
      </c>
      <c r="W9">
        <v>-26</v>
      </c>
      <c r="X9">
        <v>-24</v>
      </c>
      <c r="Y9">
        <v>-11</v>
      </c>
      <c r="Z9">
        <v>16</v>
      </c>
      <c r="AA9">
        <v>14</v>
      </c>
      <c r="AB9">
        <v>31</v>
      </c>
      <c r="AC9">
        <v>26</v>
      </c>
      <c r="AD9">
        <v>23</v>
      </c>
      <c r="AE9">
        <v>18</v>
      </c>
      <c r="AF9">
        <v>12</v>
      </c>
      <c r="AG9">
        <v>11</v>
      </c>
      <c r="AH9">
        <v>-4</v>
      </c>
      <c r="AI9">
        <v>13</v>
      </c>
      <c r="AJ9">
        <v>20</v>
      </c>
      <c r="AK9">
        <v>23</v>
      </c>
      <c r="AL9">
        <v>10</v>
      </c>
      <c r="AM9">
        <v>5</v>
      </c>
      <c r="AN9">
        <v>21</v>
      </c>
      <c r="AO9">
        <v>18</v>
      </c>
      <c r="AP9">
        <v>23</v>
      </c>
      <c r="AQ9">
        <v>24</v>
      </c>
      <c r="AR9">
        <v>33</v>
      </c>
      <c r="AS9">
        <v>28</v>
      </c>
      <c r="AT9">
        <v>39</v>
      </c>
      <c r="AU9">
        <v>49</v>
      </c>
      <c r="AV9">
        <v>40</v>
      </c>
      <c r="AW9">
        <v>55</v>
      </c>
      <c r="AX9">
        <v>50</v>
      </c>
      <c r="AY9">
        <v>44</v>
      </c>
      <c r="AZ9">
        <v>46</v>
      </c>
      <c r="BA9">
        <v>35</v>
      </c>
      <c r="BB9">
        <v>38</v>
      </c>
      <c r="BC9">
        <v>4</v>
      </c>
      <c r="BD9">
        <v>41</v>
      </c>
      <c r="BE9">
        <v>44</v>
      </c>
      <c r="BF9">
        <v>59</v>
      </c>
      <c r="BG9">
        <v>53</v>
      </c>
      <c r="BH9">
        <v>50</v>
      </c>
      <c r="BI9">
        <v>57</v>
      </c>
      <c r="BJ9">
        <v>16</v>
      </c>
      <c r="BK9">
        <v>8</v>
      </c>
      <c r="BL9">
        <v>2</v>
      </c>
      <c r="BM9">
        <v>-22</v>
      </c>
      <c r="BN9">
        <v>-16</v>
      </c>
      <c r="BO9">
        <v>-18</v>
      </c>
      <c r="BP9">
        <v>-24</v>
      </c>
      <c r="BQ9">
        <v>-24</v>
      </c>
      <c r="BR9">
        <v>-10</v>
      </c>
      <c r="BS9">
        <v>-18</v>
      </c>
      <c r="BT9">
        <v>-15</v>
      </c>
      <c r="BU9">
        <v>-15</v>
      </c>
      <c r="BV9">
        <v>-14</v>
      </c>
    </row>
    <row r="10" spans="1:74" x14ac:dyDescent="0.25">
      <c r="A10" t="s">
        <v>344</v>
      </c>
      <c r="B10" t="s">
        <v>117</v>
      </c>
      <c r="C10" t="s">
        <v>31</v>
      </c>
      <c r="D10">
        <v>6.5709999999999997</v>
      </c>
      <c r="E10">
        <v>-16</v>
      </c>
      <c r="F10">
        <v>4</v>
      </c>
      <c r="G10">
        <v>-1</v>
      </c>
      <c r="H10">
        <v>0</v>
      </c>
      <c r="I10">
        <v>3</v>
      </c>
      <c r="J10">
        <v>-20</v>
      </c>
      <c r="K10">
        <v>2</v>
      </c>
      <c r="L10">
        <v>7</v>
      </c>
      <c r="M10">
        <v>16</v>
      </c>
      <c r="N10">
        <v>17</v>
      </c>
      <c r="O10">
        <v>39</v>
      </c>
      <c r="P10">
        <v>35</v>
      </c>
      <c r="Q10">
        <v>32</v>
      </c>
      <c r="R10">
        <v>33</v>
      </c>
      <c r="S10">
        <v>25</v>
      </c>
      <c r="T10">
        <v>3</v>
      </c>
      <c r="U10">
        <v>-16</v>
      </c>
      <c r="V10">
        <v>-38</v>
      </c>
      <c r="W10">
        <v>-27</v>
      </c>
      <c r="X10">
        <v>-5</v>
      </c>
      <c r="Y10">
        <v>4</v>
      </c>
      <c r="Z10">
        <v>19</v>
      </c>
      <c r="AA10">
        <v>28</v>
      </c>
      <c r="AB10">
        <v>32</v>
      </c>
      <c r="AC10">
        <v>22</v>
      </c>
      <c r="AD10">
        <v>20</v>
      </c>
      <c r="AE10">
        <v>20</v>
      </c>
      <c r="AF10">
        <v>10</v>
      </c>
      <c r="AG10">
        <v>14</v>
      </c>
      <c r="AH10">
        <v>7</v>
      </c>
      <c r="AI10">
        <v>11</v>
      </c>
      <c r="AJ10">
        <v>19</v>
      </c>
      <c r="AK10">
        <v>20</v>
      </c>
      <c r="AL10">
        <v>12</v>
      </c>
      <c r="AM10">
        <v>19</v>
      </c>
      <c r="AN10">
        <v>25</v>
      </c>
      <c r="AO10">
        <v>16</v>
      </c>
      <c r="AP10">
        <v>24</v>
      </c>
      <c r="AQ10">
        <v>24</v>
      </c>
      <c r="AR10">
        <v>19</v>
      </c>
      <c r="AS10">
        <v>25</v>
      </c>
      <c r="AT10">
        <v>36</v>
      </c>
      <c r="AU10">
        <v>29</v>
      </c>
      <c r="AV10">
        <v>42</v>
      </c>
      <c r="AW10">
        <v>38</v>
      </c>
      <c r="AX10">
        <v>38</v>
      </c>
      <c r="AY10">
        <v>19</v>
      </c>
      <c r="AZ10">
        <v>13</v>
      </c>
      <c r="BA10">
        <v>11</v>
      </c>
      <c r="BB10">
        <v>14</v>
      </c>
      <c r="BC10">
        <v>-10</v>
      </c>
      <c r="BD10">
        <v>-12</v>
      </c>
      <c r="BE10">
        <v>13</v>
      </c>
      <c r="BF10">
        <v>32</v>
      </c>
      <c r="BG10">
        <v>27</v>
      </c>
      <c r="BH10">
        <v>30</v>
      </c>
      <c r="BI10">
        <v>28</v>
      </c>
      <c r="BJ10">
        <v>-6</v>
      </c>
      <c r="BK10">
        <v>-5</v>
      </c>
      <c r="BL10">
        <v>-19</v>
      </c>
      <c r="BM10">
        <v>-35</v>
      </c>
      <c r="BN10">
        <v>-34</v>
      </c>
      <c r="BO10">
        <v>-23</v>
      </c>
      <c r="BP10">
        <v>-37</v>
      </c>
      <c r="BQ10">
        <v>-37</v>
      </c>
      <c r="BR10">
        <v>-34</v>
      </c>
      <c r="BS10">
        <v>-44</v>
      </c>
      <c r="BT10">
        <v>-32</v>
      </c>
      <c r="BU10">
        <v>-31</v>
      </c>
      <c r="BV10">
        <v>-34</v>
      </c>
    </row>
    <row r="11" spans="1:74" x14ac:dyDescent="0.25">
      <c r="A11" t="s">
        <v>345</v>
      </c>
      <c r="B11" t="s">
        <v>118</v>
      </c>
      <c r="C11" t="s">
        <v>31</v>
      </c>
      <c r="D11">
        <v>-3.0859999999999999</v>
      </c>
      <c r="E11">
        <v>-32</v>
      </c>
      <c r="F11">
        <v>-12</v>
      </c>
      <c r="G11">
        <v>-16</v>
      </c>
      <c r="H11">
        <v>-8</v>
      </c>
      <c r="I11">
        <v>2</v>
      </c>
      <c r="J11">
        <v>-12</v>
      </c>
      <c r="K11">
        <v>-10</v>
      </c>
      <c r="L11">
        <v>7</v>
      </c>
      <c r="M11">
        <v>11</v>
      </c>
      <c r="N11">
        <v>5</v>
      </c>
      <c r="O11">
        <v>25</v>
      </c>
      <c r="P11">
        <v>22</v>
      </c>
      <c r="Q11">
        <v>15</v>
      </c>
      <c r="R11">
        <v>23</v>
      </c>
      <c r="S11">
        <v>17</v>
      </c>
      <c r="T11">
        <v>-6</v>
      </c>
      <c r="U11">
        <v>-7</v>
      </c>
      <c r="V11">
        <v>-31</v>
      </c>
      <c r="W11">
        <v>-36</v>
      </c>
      <c r="X11">
        <v>-23</v>
      </c>
      <c r="Y11">
        <v>-10</v>
      </c>
      <c r="Z11">
        <v>-11</v>
      </c>
      <c r="AA11">
        <v>3</v>
      </c>
      <c r="AB11">
        <v>7</v>
      </c>
      <c r="AC11">
        <v>2</v>
      </c>
      <c r="AD11">
        <v>6</v>
      </c>
      <c r="AE11">
        <v>9</v>
      </c>
      <c r="AF11">
        <v>2</v>
      </c>
      <c r="AG11">
        <v>8</v>
      </c>
      <c r="AH11">
        <v>8</v>
      </c>
      <c r="AI11">
        <v>4</v>
      </c>
      <c r="AJ11">
        <v>14</v>
      </c>
      <c r="AK11">
        <v>15</v>
      </c>
      <c r="AL11">
        <v>1</v>
      </c>
      <c r="AM11">
        <v>13</v>
      </c>
      <c r="AN11">
        <v>11</v>
      </c>
      <c r="AO11">
        <v>12</v>
      </c>
      <c r="AP11">
        <v>29</v>
      </c>
      <c r="AQ11">
        <v>13</v>
      </c>
      <c r="AR11">
        <v>18</v>
      </c>
      <c r="AS11">
        <v>19</v>
      </c>
      <c r="AT11">
        <v>9</v>
      </c>
      <c r="AU11">
        <v>8</v>
      </c>
      <c r="AV11">
        <v>17</v>
      </c>
      <c r="AW11">
        <v>10</v>
      </c>
      <c r="AX11">
        <v>7</v>
      </c>
      <c r="AY11">
        <v>8</v>
      </c>
      <c r="AZ11">
        <v>14</v>
      </c>
      <c r="BA11">
        <v>1</v>
      </c>
      <c r="BB11">
        <v>6</v>
      </c>
      <c r="BC11">
        <v>-73</v>
      </c>
      <c r="BD11">
        <v>-43</v>
      </c>
      <c r="BE11">
        <v>-31</v>
      </c>
      <c r="BF11">
        <v>-36</v>
      </c>
      <c r="BG11">
        <v>0</v>
      </c>
      <c r="BH11">
        <v>-6</v>
      </c>
      <c r="BI11">
        <v>2</v>
      </c>
      <c r="BJ11">
        <v>-8</v>
      </c>
      <c r="BK11">
        <v>-1</v>
      </c>
      <c r="BL11">
        <v>-10</v>
      </c>
      <c r="BM11">
        <v>-22</v>
      </c>
      <c r="BN11">
        <v>-17</v>
      </c>
      <c r="BO11">
        <v>-27</v>
      </c>
      <c r="BP11">
        <v>-23</v>
      </c>
      <c r="BQ11">
        <v>-17</v>
      </c>
      <c r="BR11">
        <v>-23</v>
      </c>
      <c r="BS11">
        <v>-22</v>
      </c>
      <c r="BT11">
        <v>-16</v>
      </c>
      <c r="BU11">
        <v>-20</v>
      </c>
      <c r="BV11">
        <v>-10</v>
      </c>
    </row>
    <row r="12" spans="1:74" x14ac:dyDescent="0.25">
      <c r="A12" t="s">
        <v>346</v>
      </c>
      <c r="B12" t="s">
        <v>119</v>
      </c>
      <c r="C12" t="s">
        <v>31</v>
      </c>
      <c r="D12">
        <v>20.329000000000001</v>
      </c>
      <c r="E12">
        <v>-4</v>
      </c>
      <c r="F12">
        <v>5</v>
      </c>
      <c r="G12">
        <v>4</v>
      </c>
      <c r="H12">
        <v>13</v>
      </c>
      <c r="I12">
        <v>21</v>
      </c>
      <c r="J12">
        <v>1</v>
      </c>
      <c r="K12">
        <v>10</v>
      </c>
      <c r="L12">
        <v>21</v>
      </c>
      <c r="M12">
        <v>30</v>
      </c>
      <c r="N12">
        <v>40</v>
      </c>
      <c r="O12">
        <v>46</v>
      </c>
      <c r="P12">
        <v>53</v>
      </c>
      <c r="Q12">
        <v>48</v>
      </c>
      <c r="R12">
        <v>41</v>
      </c>
      <c r="S12">
        <v>37</v>
      </c>
      <c r="T12">
        <v>17</v>
      </c>
      <c r="U12">
        <v>-23</v>
      </c>
      <c r="V12">
        <v>-43</v>
      </c>
      <c r="W12">
        <v>-20</v>
      </c>
      <c r="X12">
        <v>0</v>
      </c>
      <c r="Y12">
        <v>21</v>
      </c>
      <c r="Z12">
        <v>43</v>
      </c>
      <c r="AA12">
        <v>54</v>
      </c>
      <c r="AB12">
        <v>57</v>
      </c>
      <c r="AC12">
        <v>45</v>
      </c>
      <c r="AD12">
        <v>36</v>
      </c>
      <c r="AE12">
        <v>38</v>
      </c>
      <c r="AF12">
        <v>23</v>
      </c>
      <c r="AG12">
        <v>18</v>
      </c>
      <c r="AH12">
        <v>16</v>
      </c>
      <c r="AI12">
        <v>26</v>
      </c>
      <c r="AJ12">
        <v>29</v>
      </c>
      <c r="AK12">
        <v>51</v>
      </c>
      <c r="AL12">
        <v>33</v>
      </c>
      <c r="AM12">
        <v>36</v>
      </c>
      <c r="AN12">
        <v>41</v>
      </c>
      <c r="AO12">
        <v>30</v>
      </c>
      <c r="AP12">
        <v>36</v>
      </c>
      <c r="AQ12">
        <v>34</v>
      </c>
      <c r="AR12">
        <v>29</v>
      </c>
      <c r="AS12">
        <v>38</v>
      </c>
      <c r="AT12">
        <v>58</v>
      </c>
      <c r="AU12">
        <v>47</v>
      </c>
      <c r="AV12">
        <v>55</v>
      </c>
      <c r="AW12">
        <v>52</v>
      </c>
      <c r="AX12">
        <v>42</v>
      </c>
      <c r="AY12">
        <v>34</v>
      </c>
      <c r="AZ12">
        <v>28</v>
      </c>
      <c r="BA12">
        <v>13</v>
      </c>
      <c r="BB12">
        <v>13</v>
      </c>
      <c r="BC12">
        <v>-4</v>
      </c>
      <c r="BD12">
        <v>-1</v>
      </c>
      <c r="BE12">
        <v>22</v>
      </c>
      <c r="BF12">
        <v>37</v>
      </c>
      <c r="BG12">
        <v>37</v>
      </c>
      <c r="BH12">
        <v>37</v>
      </c>
      <c r="BI12">
        <v>26</v>
      </c>
      <c r="BJ12">
        <v>-7</v>
      </c>
      <c r="BK12">
        <v>1</v>
      </c>
      <c r="BL12">
        <v>-3</v>
      </c>
      <c r="BM12">
        <v>-16</v>
      </c>
      <c r="BN12">
        <v>-12</v>
      </c>
      <c r="BO12">
        <v>1</v>
      </c>
      <c r="BP12">
        <v>-13</v>
      </c>
      <c r="BQ12">
        <v>-2</v>
      </c>
      <c r="BR12">
        <v>-10</v>
      </c>
      <c r="BS12">
        <v>-19</v>
      </c>
      <c r="BT12">
        <v>-19</v>
      </c>
      <c r="BU12">
        <v>-5</v>
      </c>
      <c r="BV12">
        <v>0</v>
      </c>
    </row>
    <row r="13" spans="1:74" x14ac:dyDescent="0.25">
      <c r="A13" t="s">
        <v>347</v>
      </c>
      <c r="B13" t="s">
        <v>120</v>
      </c>
      <c r="C13" t="s">
        <v>31</v>
      </c>
      <c r="D13">
        <v>33.814</v>
      </c>
      <c r="E13">
        <v>7</v>
      </c>
      <c r="F13">
        <v>10</v>
      </c>
      <c r="G13">
        <v>-4</v>
      </c>
      <c r="H13">
        <v>-9</v>
      </c>
      <c r="I13">
        <v>9</v>
      </c>
      <c r="J13">
        <v>13</v>
      </c>
      <c r="K13">
        <v>28</v>
      </c>
      <c r="L13">
        <v>35</v>
      </c>
      <c r="M13">
        <v>26</v>
      </c>
      <c r="N13">
        <v>25</v>
      </c>
      <c r="O13">
        <v>40</v>
      </c>
      <c r="P13">
        <v>37</v>
      </c>
      <c r="Q13">
        <v>44</v>
      </c>
      <c r="R13">
        <v>52</v>
      </c>
      <c r="S13">
        <v>49</v>
      </c>
      <c r="T13">
        <v>25</v>
      </c>
      <c r="U13">
        <v>27</v>
      </c>
      <c r="V13">
        <v>18</v>
      </c>
      <c r="W13">
        <v>23</v>
      </c>
      <c r="X13">
        <v>36</v>
      </c>
      <c r="Y13">
        <v>40</v>
      </c>
      <c r="Z13">
        <v>33</v>
      </c>
      <c r="AA13">
        <v>42</v>
      </c>
      <c r="AB13">
        <v>44</v>
      </c>
      <c r="AC13">
        <v>44</v>
      </c>
      <c r="AD13">
        <v>43</v>
      </c>
      <c r="AE13">
        <v>34</v>
      </c>
      <c r="AF13">
        <v>33</v>
      </c>
      <c r="AG13">
        <v>34</v>
      </c>
      <c r="AH13">
        <v>32</v>
      </c>
      <c r="AI13">
        <v>33</v>
      </c>
      <c r="AJ13">
        <v>40</v>
      </c>
      <c r="AK13">
        <v>41</v>
      </c>
      <c r="AL13">
        <v>29</v>
      </c>
      <c r="AM13">
        <v>38</v>
      </c>
      <c r="AN13">
        <v>49</v>
      </c>
      <c r="AO13">
        <v>43</v>
      </c>
      <c r="AP13">
        <v>40</v>
      </c>
      <c r="AQ13">
        <v>39</v>
      </c>
      <c r="AR13">
        <v>35</v>
      </c>
      <c r="AS13">
        <v>51</v>
      </c>
      <c r="AT13">
        <v>50</v>
      </c>
      <c r="AU13">
        <v>51</v>
      </c>
      <c r="AV13">
        <v>60</v>
      </c>
      <c r="AW13">
        <v>57</v>
      </c>
      <c r="AX13">
        <v>50</v>
      </c>
      <c r="AY13">
        <v>45</v>
      </c>
      <c r="AZ13">
        <v>53</v>
      </c>
      <c r="BA13">
        <v>43</v>
      </c>
      <c r="BB13">
        <v>52</v>
      </c>
      <c r="BC13">
        <v>38</v>
      </c>
      <c r="BD13">
        <v>26</v>
      </c>
      <c r="BE13">
        <v>33</v>
      </c>
      <c r="BF13">
        <v>31</v>
      </c>
      <c r="BG13">
        <v>26</v>
      </c>
      <c r="BH13">
        <v>30</v>
      </c>
      <c r="BI13">
        <v>26</v>
      </c>
      <c r="BJ13">
        <v>21</v>
      </c>
      <c r="BK13">
        <v>29</v>
      </c>
      <c r="BL13">
        <v>34</v>
      </c>
      <c r="BM13">
        <v>33</v>
      </c>
      <c r="BN13">
        <v>35</v>
      </c>
      <c r="BO13">
        <v>21</v>
      </c>
      <c r="BP13">
        <v>41</v>
      </c>
      <c r="BQ13">
        <v>32</v>
      </c>
      <c r="BR13">
        <v>36</v>
      </c>
      <c r="BS13">
        <v>18</v>
      </c>
      <c r="BT13">
        <v>42</v>
      </c>
      <c r="BU13">
        <v>25</v>
      </c>
      <c r="BV13">
        <v>21</v>
      </c>
    </row>
    <row r="14" spans="1:74" x14ac:dyDescent="0.25">
      <c r="A14" t="s">
        <v>348</v>
      </c>
      <c r="B14" t="s">
        <v>121</v>
      </c>
      <c r="C14" t="s">
        <v>31</v>
      </c>
      <c r="D14">
        <v>18.8</v>
      </c>
      <c r="E14">
        <v>-4</v>
      </c>
      <c r="F14">
        <v>9</v>
      </c>
      <c r="G14">
        <v>9</v>
      </c>
      <c r="H14">
        <v>10</v>
      </c>
      <c r="I14">
        <v>9</v>
      </c>
      <c r="J14">
        <v>-6</v>
      </c>
      <c r="K14">
        <v>8</v>
      </c>
      <c r="L14">
        <v>18</v>
      </c>
      <c r="M14">
        <v>29</v>
      </c>
      <c r="N14">
        <v>37</v>
      </c>
      <c r="O14">
        <v>50</v>
      </c>
      <c r="P14">
        <v>51</v>
      </c>
      <c r="Q14">
        <v>46</v>
      </c>
      <c r="R14">
        <v>36</v>
      </c>
      <c r="S14">
        <v>33</v>
      </c>
      <c r="T14">
        <v>19</v>
      </c>
      <c r="U14">
        <v>-21</v>
      </c>
      <c r="V14">
        <v>-49</v>
      </c>
      <c r="W14">
        <v>-30</v>
      </c>
      <c r="X14">
        <v>-9</v>
      </c>
      <c r="Y14">
        <v>16</v>
      </c>
      <c r="Z14">
        <v>40</v>
      </c>
      <c r="AA14">
        <v>51</v>
      </c>
      <c r="AB14">
        <v>52</v>
      </c>
      <c r="AC14">
        <v>49</v>
      </c>
      <c r="AD14">
        <v>46</v>
      </c>
      <c r="AE14">
        <v>41</v>
      </c>
      <c r="AF14">
        <v>24</v>
      </c>
      <c r="AG14">
        <v>16</v>
      </c>
      <c r="AH14">
        <v>12</v>
      </c>
      <c r="AI14">
        <v>26</v>
      </c>
      <c r="AJ14">
        <v>33</v>
      </c>
      <c r="AK14">
        <v>46</v>
      </c>
      <c r="AL14">
        <v>32</v>
      </c>
      <c r="AM14">
        <v>34</v>
      </c>
      <c r="AN14">
        <v>41</v>
      </c>
      <c r="AO14">
        <v>34</v>
      </c>
      <c r="AP14">
        <v>42</v>
      </c>
      <c r="AQ14">
        <v>45</v>
      </c>
      <c r="AR14">
        <v>40</v>
      </c>
      <c r="AS14">
        <v>43</v>
      </c>
      <c r="AT14">
        <v>50</v>
      </c>
      <c r="AU14">
        <v>51</v>
      </c>
      <c r="AV14">
        <v>59</v>
      </c>
      <c r="AW14">
        <v>55</v>
      </c>
      <c r="AX14">
        <v>43</v>
      </c>
      <c r="AY14">
        <v>41</v>
      </c>
      <c r="AZ14">
        <v>31</v>
      </c>
      <c r="BA14">
        <v>10</v>
      </c>
      <c r="BB14">
        <v>6</v>
      </c>
      <c r="BC14">
        <v>-27</v>
      </c>
      <c r="BD14">
        <v>-13</v>
      </c>
      <c r="BE14">
        <v>10</v>
      </c>
      <c r="BF14">
        <v>36</v>
      </c>
      <c r="BG14">
        <v>33</v>
      </c>
      <c r="BH14">
        <v>37</v>
      </c>
      <c r="BI14">
        <v>26</v>
      </c>
      <c r="BJ14">
        <v>5</v>
      </c>
      <c r="BK14">
        <v>7</v>
      </c>
      <c r="BL14">
        <v>6</v>
      </c>
      <c r="BM14">
        <v>-14</v>
      </c>
      <c r="BN14">
        <v>-17</v>
      </c>
      <c r="BO14">
        <v>-14</v>
      </c>
      <c r="BP14">
        <v>-27</v>
      </c>
      <c r="BQ14">
        <v>-24</v>
      </c>
      <c r="BR14">
        <v>-19</v>
      </c>
      <c r="BS14">
        <v>-21</v>
      </c>
      <c r="BT14">
        <v>-12</v>
      </c>
      <c r="BU14">
        <v>-7</v>
      </c>
      <c r="BV14">
        <v>-3</v>
      </c>
    </row>
    <row r="15" spans="1:74" x14ac:dyDescent="0.25">
      <c r="A15" t="s">
        <v>349</v>
      </c>
      <c r="B15" t="s">
        <v>122</v>
      </c>
      <c r="C15" t="s">
        <v>31</v>
      </c>
      <c r="D15">
        <v>10.486000000000001</v>
      </c>
      <c r="E15">
        <v>-36</v>
      </c>
      <c r="F15">
        <v>-25</v>
      </c>
      <c r="G15">
        <v>-22</v>
      </c>
      <c r="H15">
        <v>-16</v>
      </c>
      <c r="I15">
        <v>-25</v>
      </c>
      <c r="J15">
        <v>-36</v>
      </c>
      <c r="K15">
        <v>-24</v>
      </c>
      <c r="L15">
        <v>-11</v>
      </c>
      <c r="M15">
        <v>0</v>
      </c>
      <c r="N15">
        <v>25</v>
      </c>
      <c r="O15">
        <v>39</v>
      </c>
      <c r="P15">
        <v>37</v>
      </c>
      <c r="Q15">
        <v>14</v>
      </c>
      <c r="R15">
        <v>12</v>
      </c>
      <c r="S15">
        <v>14</v>
      </c>
      <c r="T15">
        <v>4</v>
      </c>
      <c r="U15">
        <v>-14</v>
      </c>
      <c r="V15">
        <v>-41</v>
      </c>
      <c r="W15">
        <v>-29</v>
      </c>
      <c r="X15">
        <v>-20</v>
      </c>
      <c r="Y15">
        <v>-6</v>
      </c>
      <c r="Z15">
        <v>13</v>
      </c>
      <c r="AA15">
        <v>17</v>
      </c>
      <c r="AB15">
        <v>38</v>
      </c>
      <c r="AC15">
        <v>36</v>
      </c>
      <c r="AD15">
        <v>31</v>
      </c>
      <c r="AE15">
        <v>27</v>
      </c>
      <c r="AF15">
        <v>21</v>
      </c>
      <c r="AG15">
        <v>19</v>
      </c>
      <c r="AH15">
        <v>0</v>
      </c>
      <c r="AI15">
        <v>30</v>
      </c>
      <c r="AJ15">
        <v>26</v>
      </c>
      <c r="AK15">
        <v>31</v>
      </c>
      <c r="AL15">
        <v>19</v>
      </c>
      <c r="AM15">
        <v>24</v>
      </c>
      <c r="AN15">
        <v>21</v>
      </c>
      <c r="AO15">
        <v>25</v>
      </c>
      <c r="AP15">
        <v>24</v>
      </c>
      <c r="AQ15">
        <v>22</v>
      </c>
      <c r="AR15">
        <v>32</v>
      </c>
      <c r="AS15">
        <v>39</v>
      </c>
      <c r="AT15">
        <v>40</v>
      </c>
      <c r="AU15">
        <v>44</v>
      </c>
      <c r="AV15">
        <v>51</v>
      </c>
      <c r="AW15">
        <v>48</v>
      </c>
      <c r="AX15">
        <v>53</v>
      </c>
      <c r="AY15">
        <v>53</v>
      </c>
      <c r="AZ15">
        <v>46</v>
      </c>
      <c r="BA15">
        <v>35</v>
      </c>
      <c r="BB15">
        <v>32</v>
      </c>
      <c r="BC15">
        <v>8</v>
      </c>
      <c r="BD15">
        <v>24</v>
      </c>
      <c r="BE15">
        <v>31</v>
      </c>
      <c r="BF15">
        <v>39</v>
      </c>
      <c r="BG15">
        <v>39</v>
      </c>
      <c r="BH15">
        <v>42</v>
      </c>
      <c r="BI15">
        <v>40</v>
      </c>
      <c r="BJ15">
        <v>16</v>
      </c>
      <c r="BK15">
        <v>18</v>
      </c>
      <c r="BL15">
        <v>-2</v>
      </c>
      <c r="BM15">
        <v>-18</v>
      </c>
      <c r="BN15">
        <v>-24</v>
      </c>
      <c r="BO15">
        <v>-29</v>
      </c>
      <c r="BP15">
        <v>-41</v>
      </c>
      <c r="BQ15">
        <v>-27</v>
      </c>
      <c r="BR15">
        <v>-28</v>
      </c>
      <c r="BS15">
        <v>-30</v>
      </c>
      <c r="BT15">
        <v>-25</v>
      </c>
      <c r="BU15">
        <v>-24</v>
      </c>
      <c r="BV15">
        <v>-12</v>
      </c>
    </row>
    <row r="16" spans="1:74" x14ac:dyDescent="0.25">
      <c r="A16" t="s">
        <v>350</v>
      </c>
      <c r="B16" t="s">
        <v>123</v>
      </c>
      <c r="C16" t="s">
        <v>31</v>
      </c>
      <c r="D16">
        <v>10.314</v>
      </c>
      <c r="E16">
        <v>-9</v>
      </c>
      <c r="F16">
        <v>-2</v>
      </c>
      <c r="G16">
        <v>10</v>
      </c>
      <c r="H16">
        <v>30</v>
      </c>
      <c r="I16">
        <v>34</v>
      </c>
      <c r="J16">
        <v>7</v>
      </c>
      <c r="K16">
        <v>15</v>
      </c>
      <c r="L16">
        <v>28</v>
      </c>
      <c r="M16">
        <v>52</v>
      </c>
      <c r="N16">
        <v>57</v>
      </c>
      <c r="O16">
        <v>66</v>
      </c>
      <c r="P16">
        <v>76</v>
      </c>
      <c r="Q16">
        <v>66</v>
      </c>
      <c r="R16">
        <v>60</v>
      </c>
      <c r="S16">
        <v>61</v>
      </c>
      <c r="T16">
        <v>37</v>
      </c>
      <c r="U16">
        <v>-35</v>
      </c>
      <c r="V16">
        <v>-72</v>
      </c>
      <c r="W16">
        <v>-58</v>
      </c>
      <c r="X16">
        <v>-47</v>
      </c>
      <c r="Y16">
        <v>-9</v>
      </c>
      <c r="Z16">
        <v>22</v>
      </c>
      <c r="AA16">
        <v>32</v>
      </c>
      <c r="AB16">
        <v>44</v>
      </c>
      <c r="AC16">
        <v>45</v>
      </c>
      <c r="AD16">
        <v>35</v>
      </c>
      <c r="AE16">
        <v>33</v>
      </c>
      <c r="AF16">
        <v>7</v>
      </c>
      <c r="AG16">
        <v>-5</v>
      </c>
      <c r="AH16">
        <v>-7</v>
      </c>
      <c r="AI16">
        <v>0</v>
      </c>
      <c r="AJ16">
        <v>7</v>
      </c>
      <c r="AK16">
        <v>21</v>
      </c>
      <c r="AL16">
        <v>22</v>
      </c>
      <c r="AM16">
        <v>9</v>
      </c>
      <c r="AN16">
        <v>22</v>
      </c>
      <c r="AO16">
        <v>7</v>
      </c>
      <c r="AP16">
        <v>-2</v>
      </c>
      <c r="AQ16">
        <v>3</v>
      </c>
      <c r="AR16">
        <v>10</v>
      </c>
      <c r="AS16">
        <v>9</v>
      </c>
      <c r="AT16">
        <v>28</v>
      </c>
      <c r="AU16">
        <v>44</v>
      </c>
      <c r="AV16">
        <v>49</v>
      </c>
      <c r="AW16">
        <v>56</v>
      </c>
      <c r="AX16">
        <v>48</v>
      </c>
      <c r="AY16">
        <v>39</v>
      </c>
      <c r="AZ16">
        <v>21</v>
      </c>
      <c r="BA16">
        <v>-14</v>
      </c>
      <c r="BB16">
        <v>-36</v>
      </c>
      <c r="BC16">
        <v>-55</v>
      </c>
      <c r="BD16">
        <v>-48</v>
      </c>
      <c r="BE16">
        <v>-17</v>
      </c>
      <c r="BF16">
        <v>25</v>
      </c>
      <c r="BG16">
        <v>44</v>
      </c>
      <c r="BH16">
        <v>42</v>
      </c>
      <c r="BI16">
        <v>37</v>
      </c>
      <c r="BJ16">
        <v>13</v>
      </c>
      <c r="BK16">
        <v>20</v>
      </c>
      <c r="BL16">
        <v>23</v>
      </c>
      <c r="BM16">
        <v>-16</v>
      </c>
      <c r="BN16">
        <v>-26</v>
      </c>
      <c r="BO16">
        <v>-28</v>
      </c>
      <c r="BP16">
        <v>-44</v>
      </c>
      <c r="BQ16">
        <v>-44</v>
      </c>
      <c r="BR16">
        <v>-37</v>
      </c>
      <c r="BS16">
        <v>-31</v>
      </c>
      <c r="BT16">
        <v>-30</v>
      </c>
      <c r="BU16">
        <v>-13</v>
      </c>
      <c r="BV16">
        <v>-9</v>
      </c>
    </row>
    <row r="17" spans="1:74" x14ac:dyDescent="0.25">
      <c r="A17" t="s">
        <v>351</v>
      </c>
      <c r="B17" t="s">
        <v>124</v>
      </c>
      <c r="C17" t="s">
        <v>31</v>
      </c>
      <c r="D17">
        <v>17.986000000000001</v>
      </c>
      <c r="E17">
        <v>-13</v>
      </c>
      <c r="F17">
        <v>-9</v>
      </c>
      <c r="G17">
        <v>0</v>
      </c>
      <c r="H17">
        <v>10</v>
      </c>
      <c r="I17">
        <v>10</v>
      </c>
      <c r="J17">
        <v>-6</v>
      </c>
      <c r="K17">
        <v>3</v>
      </c>
      <c r="L17">
        <v>20</v>
      </c>
      <c r="M17">
        <v>31</v>
      </c>
      <c r="N17">
        <v>41</v>
      </c>
      <c r="O17">
        <v>56</v>
      </c>
      <c r="P17">
        <v>57</v>
      </c>
      <c r="Q17">
        <v>55</v>
      </c>
      <c r="R17">
        <v>51</v>
      </c>
      <c r="S17">
        <v>51</v>
      </c>
      <c r="T17">
        <v>34</v>
      </c>
      <c r="U17">
        <v>-18</v>
      </c>
      <c r="V17">
        <v>-56</v>
      </c>
      <c r="W17">
        <v>-42</v>
      </c>
      <c r="X17">
        <v>-30</v>
      </c>
      <c r="Y17">
        <v>5</v>
      </c>
      <c r="Z17">
        <v>29</v>
      </c>
      <c r="AA17">
        <v>41</v>
      </c>
      <c r="AB17">
        <v>52</v>
      </c>
      <c r="AC17">
        <v>52</v>
      </c>
      <c r="AD17">
        <v>49</v>
      </c>
      <c r="AE17">
        <v>43</v>
      </c>
      <c r="AF17">
        <v>27</v>
      </c>
      <c r="AG17">
        <v>23</v>
      </c>
      <c r="AH17">
        <v>14</v>
      </c>
      <c r="AI17">
        <v>24</v>
      </c>
      <c r="AJ17">
        <v>30</v>
      </c>
      <c r="AK17">
        <v>39</v>
      </c>
      <c r="AL17">
        <v>31</v>
      </c>
      <c r="AM17">
        <v>31</v>
      </c>
      <c r="AN17">
        <v>32</v>
      </c>
      <c r="AO17">
        <v>32</v>
      </c>
      <c r="AP17">
        <v>33</v>
      </c>
      <c r="AQ17">
        <v>31</v>
      </c>
      <c r="AR17">
        <v>33</v>
      </c>
      <c r="AS17">
        <v>35</v>
      </c>
      <c r="AT17">
        <v>47</v>
      </c>
      <c r="AU17">
        <v>54</v>
      </c>
      <c r="AV17">
        <v>58</v>
      </c>
      <c r="AW17">
        <v>58</v>
      </c>
      <c r="AX17">
        <v>55</v>
      </c>
      <c r="AY17">
        <v>46</v>
      </c>
      <c r="AZ17">
        <v>34</v>
      </c>
      <c r="BA17">
        <v>7</v>
      </c>
      <c r="BB17">
        <v>5</v>
      </c>
      <c r="BC17">
        <v>-25</v>
      </c>
      <c r="BD17">
        <v>-23</v>
      </c>
      <c r="BE17">
        <v>0</v>
      </c>
      <c r="BF17">
        <v>31</v>
      </c>
      <c r="BG17">
        <v>37</v>
      </c>
      <c r="BH17">
        <v>38</v>
      </c>
      <c r="BI17">
        <v>32</v>
      </c>
      <c r="BJ17">
        <v>15</v>
      </c>
      <c r="BK17">
        <v>20</v>
      </c>
      <c r="BL17">
        <v>20</v>
      </c>
      <c r="BM17">
        <v>-7</v>
      </c>
      <c r="BN17">
        <v>-6</v>
      </c>
      <c r="BO17">
        <v>-14</v>
      </c>
      <c r="BP17">
        <v>-31</v>
      </c>
      <c r="BQ17">
        <v>-30</v>
      </c>
      <c r="BR17">
        <v>-22</v>
      </c>
      <c r="BS17">
        <v>-24</v>
      </c>
      <c r="BT17">
        <v>-20</v>
      </c>
      <c r="BU17">
        <v>-17</v>
      </c>
      <c r="BV17">
        <v>-10</v>
      </c>
    </row>
    <row r="18" spans="1:74" x14ac:dyDescent="0.25">
      <c r="A18" t="s">
        <v>352</v>
      </c>
      <c r="B18" t="s">
        <v>125</v>
      </c>
      <c r="C18" t="s">
        <v>31</v>
      </c>
      <c r="D18">
        <v>25.414000000000001</v>
      </c>
      <c r="E18">
        <v>-11</v>
      </c>
      <c r="F18">
        <v>6</v>
      </c>
      <c r="G18">
        <v>7</v>
      </c>
      <c r="H18">
        <v>17</v>
      </c>
      <c r="I18">
        <v>22</v>
      </c>
      <c r="J18">
        <v>8</v>
      </c>
      <c r="K18">
        <v>15</v>
      </c>
      <c r="L18">
        <v>36</v>
      </c>
      <c r="M18">
        <v>38</v>
      </c>
      <c r="N18">
        <v>49</v>
      </c>
      <c r="O18">
        <v>58</v>
      </c>
      <c r="P18">
        <v>56</v>
      </c>
      <c r="Q18">
        <v>55</v>
      </c>
      <c r="R18">
        <v>54</v>
      </c>
      <c r="S18">
        <v>42</v>
      </c>
      <c r="T18">
        <v>35</v>
      </c>
      <c r="U18">
        <v>2</v>
      </c>
      <c r="V18">
        <v>-42</v>
      </c>
      <c r="W18">
        <v>-36</v>
      </c>
      <c r="X18">
        <v>-10</v>
      </c>
      <c r="Y18">
        <v>18</v>
      </c>
      <c r="Z18">
        <v>39</v>
      </c>
      <c r="AA18">
        <v>54</v>
      </c>
      <c r="AB18">
        <v>59</v>
      </c>
      <c r="AC18">
        <v>50</v>
      </c>
      <c r="AD18">
        <v>49</v>
      </c>
      <c r="AE18">
        <v>38</v>
      </c>
      <c r="AF18">
        <v>27</v>
      </c>
      <c r="AG18">
        <v>23</v>
      </c>
      <c r="AH18">
        <v>18</v>
      </c>
      <c r="AI18">
        <v>24</v>
      </c>
      <c r="AJ18">
        <v>32</v>
      </c>
      <c r="AK18">
        <v>37</v>
      </c>
      <c r="AL18">
        <v>31</v>
      </c>
      <c r="AM18">
        <v>35</v>
      </c>
      <c r="AN18">
        <v>37</v>
      </c>
      <c r="AO18">
        <v>34</v>
      </c>
      <c r="AP18">
        <v>38</v>
      </c>
      <c r="AQ18">
        <v>36</v>
      </c>
      <c r="AR18">
        <v>32</v>
      </c>
      <c r="AS18">
        <v>39</v>
      </c>
      <c r="AT18">
        <v>50</v>
      </c>
      <c r="AU18">
        <v>55</v>
      </c>
      <c r="AV18">
        <v>60</v>
      </c>
      <c r="AW18">
        <v>56</v>
      </c>
      <c r="AX18">
        <v>53</v>
      </c>
      <c r="AY18">
        <v>50</v>
      </c>
      <c r="AZ18">
        <v>37</v>
      </c>
      <c r="BA18">
        <v>18</v>
      </c>
      <c r="BB18">
        <v>18</v>
      </c>
      <c r="BC18">
        <v>-27</v>
      </c>
      <c r="BD18">
        <v>-15</v>
      </c>
      <c r="BE18">
        <v>7</v>
      </c>
      <c r="BF18">
        <v>31</v>
      </c>
      <c r="BG18">
        <v>43</v>
      </c>
      <c r="BH18">
        <v>46</v>
      </c>
      <c r="BI18">
        <v>38</v>
      </c>
      <c r="BJ18">
        <v>28</v>
      </c>
      <c r="BK18">
        <v>38</v>
      </c>
      <c r="BL18">
        <v>36</v>
      </c>
      <c r="BM18">
        <v>6</v>
      </c>
      <c r="BN18">
        <v>8</v>
      </c>
      <c r="BO18">
        <v>-1</v>
      </c>
      <c r="BP18">
        <v>-13</v>
      </c>
      <c r="BQ18">
        <v>-7</v>
      </c>
      <c r="BR18">
        <v>-3</v>
      </c>
      <c r="BS18">
        <v>-6</v>
      </c>
      <c r="BT18">
        <v>3</v>
      </c>
      <c r="BU18">
        <v>4</v>
      </c>
      <c r="BV18">
        <v>15</v>
      </c>
    </row>
    <row r="19" spans="1:74" x14ac:dyDescent="0.25">
      <c r="A19" t="s">
        <v>353</v>
      </c>
      <c r="B19" t="s">
        <v>71</v>
      </c>
      <c r="C19" t="s">
        <v>31</v>
      </c>
      <c r="D19">
        <v>27.629000000000001</v>
      </c>
      <c r="E19">
        <v>-8</v>
      </c>
      <c r="F19">
        <v>12</v>
      </c>
      <c r="G19">
        <v>16</v>
      </c>
      <c r="H19">
        <v>22</v>
      </c>
      <c r="I19">
        <v>29</v>
      </c>
      <c r="J19">
        <v>17</v>
      </c>
      <c r="K19">
        <v>20</v>
      </c>
      <c r="L19">
        <v>38</v>
      </c>
      <c r="M19">
        <v>42</v>
      </c>
      <c r="N19">
        <v>50</v>
      </c>
      <c r="O19">
        <v>58</v>
      </c>
      <c r="P19">
        <v>55</v>
      </c>
      <c r="Q19">
        <v>54</v>
      </c>
      <c r="R19">
        <v>57</v>
      </c>
      <c r="S19">
        <v>47</v>
      </c>
      <c r="T19">
        <v>38</v>
      </c>
      <c r="U19">
        <v>5</v>
      </c>
      <c r="V19">
        <v>-38</v>
      </c>
      <c r="W19">
        <v>-32</v>
      </c>
      <c r="X19">
        <v>-9</v>
      </c>
      <c r="Y19">
        <v>17</v>
      </c>
      <c r="Z19">
        <v>38</v>
      </c>
      <c r="AA19">
        <v>52</v>
      </c>
      <c r="AB19">
        <v>59</v>
      </c>
      <c r="AC19">
        <v>51</v>
      </c>
      <c r="AD19">
        <v>52</v>
      </c>
      <c r="AE19">
        <v>43</v>
      </c>
      <c r="AF19">
        <v>32</v>
      </c>
      <c r="AG19">
        <v>30</v>
      </c>
      <c r="AH19">
        <v>25</v>
      </c>
      <c r="AI19">
        <v>30</v>
      </c>
      <c r="AJ19">
        <v>34</v>
      </c>
      <c r="AK19">
        <v>39</v>
      </c>
      <c r="AL19">
        <v>33</v>
      </c>
      <c r="AM19">
        <v>43</v>
      </c>
      <c r="AN19">
        <v>41</v>
      </c>
      <c r="AO19">
        <v>43</v>
      </c>
      <c r="AP19">
        <v>42</v>
      </c>
      <c r="AQ19">
        <v>38</v>
      </c>
      <c r="AR19">
        <v>33</v>
      </c>
      <c r="AS19">
        <v>40</v>
      </c>
      <c r="AT19">
        <v>52</v>
      </c>
      <c r="AU19">
        <v>56</v>
      </c>
      <c r="AV19">
        <v>64</v>
      </c>
      <c r="AW19">
        <v>58</v>
      </c>
      <c r="AX19">
        <v>58</v>
      </c>
      <c r="AY19">
        <v>55</v>
      </c>
      <c r="AZ19">
        <v>42</v>
      </c>
      <c r="BA19">
        <v>20</v>
      </c>
      <c r="BB19">
        <v>22</v>
      </c>
      <c r="BC19">
        <v>-27</v>
      </c>
      <c r="BD19">
        <v>-17</v>
      </c>
      <c r="BE19">
        <v>5</v>
      </c>
      <c r="BF19">
        <v>26</v>
      </c>
      <c r="BG19">
        <v>39</v>
      </c>
      <c r="BH19">
        <v>46</v>
      </c>
      <c r="BI19">
        <v>34</v>
      </c>
      <c r="BJ19">
        <v>28</v>
      </c>
      <c r="BK19">
        <v>36</v>
      </c>
      <c r="BL19">
        <v>38</v>
      </c>
      <c r="BM19">
        <v>6</v>
      </c>
      <c r="BN19">
        <v>13</v>
      </c>
      <c r="BO19">
        <v>-1</v>
      </c>
      <c r="BP19">
        <v>-14</v>
      </c>
      <c r="BQ19">
        <v>-11</v>
      </c>
      <c r="BR19">
        <v>-6</v>
      </c>
      <c r="BS19">
        <v>-5</v>
      </c>
      <c r="BT19">
        <v>4</v>
      </c>
      <c r="BU19">
        <v>8</v>
      </c>
      <c r="BV19">
        <v>17</v>
      </c>
    </row>
    <row r="20" spans="1:74" x14ac:dyDescent="0.25">
      <c r="A20" t="s">
        <v>354</v>
      </c>
      <c r="B20" t="s">
        <v>127</v>
      </c>
      <c r="C20" t="s">
        <v>31</v>
      </c>
      <c r="D20">
        <v>22.428999999999998</v>
      </c>
      <c r="E20">
        <v>-14</v>
      </c>
      <c r="F20">
        <v>-2</v>
      </c>
      <c r="G20">
        <v>-4</v>
      </c>
      <c r="H20">
        <v>10</v>
      </c>
      <c r="I20">
        <v>12</v>
      </c>
      <c r="J20">
        <v>-4</v>
      </c>
      <c r="K20">
        <v>9</v>
      </c>
      <c r="L20">
        <v>32</v>
      </c>
      <c r="M20">
        <v>33</v>
      </c>
      <c r="N20">
        <v>48</v>
      </c>
      <c r="O20">
        <v>57</v>
      </c>
      <c r="P20">
        <v>57</v>
      </c>
      <c r="Q20">
        <v>57</v>
      </c>
      <c r="R20">
        <v>51</v>
      </c>
      <c r="S20">
        <v>37</v>
      </c>
      <c r="T20">
        <v>31</v>
      </c>
      <c r="U20">
        <v>-1</v>
      </c>
      <c r="V20">
        <v>-48</v>
      </c>
      <c r="W20">
        <v>-40</v>
      </c>
      <c r="X20">
        <v>-11</v>
      </c>
      <c r="Y20">
        <v>21</v>
      </c>
      <c r="Z20">
        <v>41</v>
      </c>
      <c r="AA20">
        <v>56</v>
      </c>
      <c r="AB20">
        <v>60</v>
      </c>
      <c r="AC20">
        <v>50</v>
      </c>
      <c r="AD20">
        <v>45</v>
      </c>
      <c r="AE20">
        <v>31</v>
      </c>
      <c r="AF20">
        <v>21</v>
      </c>
      <c r="AG20">
        <v>14</v>
      </c>
      <c r="AH20">
        <v>9</v>
      </c>
      <c r="AI20">
        <v>16</v>
      </c>
      <c r="AJ20">
        <v>30</v>
      </c>
      <c r="AK20">
        <v>33</v>
      </c>
      <c r="AL20">
        <v>27</v>
      </c>
      <c r="AM20">
        <v>24</v>
      </c>
      <c r="AN20">
        <v>31</v>
      </c>
      <c r="AO20">
        <v>22</v>
      </c>
      <c r="AP20">
        <v>33</v>
      </c>
      <c r="AQ20">
        <v>33</v>
      </c>
      <c r="AR20">
        <v>30</v>
      </c>
      <c r="AS20">
        <v>38</v>
      </c>
      <c r="AT20">
        <v>46</v>
      </c>
      <c r="AU20">
        <v>55</v>
      </c>
      <c r="AV20">
        <v>53</v>
      </c>
      <c r="AW20">
        <v>52</v>
      </c>
      <c r="AX20">
        <v>44</v>
      </c>
      <c r="AY20">
        <v>41</v>
      </c>
      <c r="AZ20">
        <v>29</v>
      </c>
      <c r="BA20">
        <v>14</v>
      </c>
      <c r="BB20">
        <v>13</v>
      </c>
      <c r="BC20">
        <v>-27</v>
      </c>
      <c r="BD20">
        <v>-13</v>
      </c>
      <c r="BE20">
        <v>10</v>
      </c>
      <c r="BF20">
        <v>37</v>
      </c>
      <c r="BG20">
        <v>49</v>
      </c>
      <c r="BH20">
        <v>46</v>
      </c>
      <c r="BI20">
        <v>44</v>
      </c>
      <c r="BJ20">
        <v>28</v>
      </c>
      <c r="BK20">
        <v>41</v>
      </c>
      <c r="BL20">
        <v>34</v>
      </c>
      <c r="BM20">
        <v>5</v>
      </c>
      <c r="BN20">
        <v>1</v>
      </c>
      <c r="BO20">
        <v>-1</v>
      </c>
      <c r="BP20">
        <v>-12</v>
      </c>
      <c r="BQ20">
        <v>-1</v>
      </c>
      <c r="BR20">
        <v>1</v>
      </c>
      <c r="BS20">
        <v>-8</v>
      </c>
      <c r="BT20">
        <v>2</v>
      </c>
      <c r="BU20">
        <v>0</v>
      </c>
      <c r="BV20">
        <v>12</v>
      </c>
    </row>
    <row r="21" spans="1:74" x14ac:dyDescent="0.25">
      <c r="A21" t="s">
        <v>355</v>
      </c>
      <c r="B21" t="s">
        <v>128</v>
      </c>
      <c r="C21" t="s">
        <v>31</v>
      </c>
      <c r="D21">
        <v>24.643000000000001</v>
      </c>
      <c r="E21">
        <v>-9</v>
      </c>
      <c r="F21">
        <v>4</v>
      </c>
      <c r="G21">
        <v>1</v>
      </c>
      <c r="H21">
        <v>17</v>
      </c>
      <c r="I21">
        <v>21</v>
      </c>
      <c r="J21">
        <v>15</v>
      </c>
      <c r="K21">
        <v>24</v>
      </c>
      <c r="L21">
        <v>33</v>
      </c>
      <c r="M21">
        <v>45</v>
      </c>
      <c r="N21">
        <v>54</v>
      </c>
      <c r="O21">
        <v>60</v>
      </c>
      <c r="P21">
        <v>66</v>
      </c>
      <c r="Q21">
        <v>69</v>
      </c>
      <c r="R21">
        <v>65</v>
      </c>
      <c r="S21">
        <v>61</v>
      </c>
      <c r="T21">
        <v>46</v>
      </c>
      <c r="U21">
        <v>5</v>
      </c>
      <c r="V21">
        <v>-43</v>
      </c>
      <c r="W21">
        <v>-46</v>
      </c>
      <c r="X21">
        <v>-33</v>
      </c>
      <c r="Y21">
        <v>-5</v>
      </c>
      <c r="Z21">
        <v>21</v>
      </c>
      <c r="AA21">
        <v>38</v>
      </c>
      <c r="AB21">
        <v>57</v>
      </c>
      <c r="AC21">
        <v>52</v>
      </c>
      <c r="AD21">
        <v>55</v>
      </c>
      <c r="AE21">
        <v>48</v>
      </c>
      <c r="AF21">
        <v>33</v>
      </c>
      <c r="AG21">
        <v>29</v>
      </c>
      <c r="AH21">
        <v>23</v>
      </c>
      <c r="AI21">
        <v>30</v>
      </c>
      <c r="AJ21">
        <v>35</v>
      </c>
      <c r="AK21">
        <v>39</v>
      </c>
      <c r="AL21">
        <v>30</v>
      </c>
      <c r="AM21">
        <v>32</v>
      </c>
      <c r="AN21">
        <v>30</v>
      </c>
      <c r="AO21">
        <v>31</v>
      </c>
      <c r="AP21">
        <v>33</v>
      </c>
      <c r="AQ21">
        <v>30</v>
      </c>
      <c r="AR21">
        <v>32</v>
      </c>
      <c r="AS21">
        <v>39</v>
      </c>
      <c r="AT21">
        <v>49</v>
      </c>
      <c r="AU21">
        <v>57</v>
      </c>
      <c r="AV21">
        <v>62</v>
      </c>
      <c r="AW21">
        <v>60</v>
      </c>
      <c r="AX21">
        <v>58</v>
      </c>
      <c r="AY21">
        <v>55</v>
      </c>
      <c r="AZ21">
        <v>38</v>
      </c>
      <c r="BA21">
        <v>16</v>
      </c>
      <c r="BB21">
        <v>15</v>
      </c>
      <c r="BC21">
        <v>-30</v>
      </c>
      <c r="BD21">
        <v>-25</v>
      </c>
      <c r="BE21">
        <v>-1</v>
      </c>
      <c r="BF21">
        <v>22</v>
      </c>
      <c r="BG21">
        <v>43</v>
      </c>
      <c r="BH21">
        <v>46</v>
      </c>
      <c r="BI21">
        <v>39</v>
      </c>
      <c r="BJ21">
        <v>26</v>
      </c>
      <c r="BK21">
        <v>36</v>
      </c>
      <c r="BL21">
        <v>39</v>
      </c>
      <c r="BM21">
        <v>14</v>
      </c>
      <c r="BN21">
        <v>10</v>
      </c>
      <c r="BO21">
        <v>-2</v>
      </c>
      <c r="BP21">
        <v>-12</v>
      </c>
      <c r="BQ21">
        <v>-14</v>
      </c>
      <c r="BR21">
        <v>-10</v>
      </c>
      <c r="BS21">
        <v>-14</v>
      </c>
      <c r="BT21">
        <v>-12</v>
      </c>
      <c r="BU21">
        <v>-5</v>
      </c>
      <c r="BV21">
        <v>-2</v>
      </c>
    </row>
    <row r="22" spans="1:74" x14ac:dyDescent="0.25">
      <c r="A22" t="s">
        <v>356</v>
      </c>
      <c r="B22" t="s">
        <v>72</v>
      </c>
      <c r="C22" t="s">
        <v>31</v>
      </c>
      <c r="D22">
        <v>19.143000000000001</v>
      </c>
      <c r="E22">
        <v>3</v>
      </c>
      <c r="F22">
        <v>14</v>
      </c>
      <c r="G22">
        <v>10</v>
      </c>
      <c r="H22">
        <v>26</v>
      </c>
      <c r="I22">
        <v>19</v>
      </c>
      <c r="J22">
        <v>9</v>
      </c>
      <c r="K22">
        <v>15</v>
      </c>
      <c r="L22">
        <v>21</v>
      </c>
      <c r="M22">
        <v>34</v>
      </c>
      <c r="N22">
        <v>36</v>
      </c>
      <c r="O22">
        <v>44</v>
      </c>
      <c r="P22">
        <v>54</v>
      </c>
      <c r="Q22">
        <v>52</v>
      </c>
      <c r="R22">
        <v>52</v>
      </c>
      <c r="S22">
        <v>53</v>
      </c>
      <c r="T22">
        <v>23</v>
      </c>
      <c r="U22">
        <v>-53</v>
      </c>
      <c r="V22">
        <v>-68</v>
      </c>
      <c r="W22">
        <v>-56</v>
      </c>
      <c r="X22">
        <v>-43</v>
      </c>
      <c r="Y22">
        <v>-3</v>
      </c>
      <c r="Z22">
        <v>35</v>
      </c>
      <c r="AA22">
        <v>47</v>
      </c>
      <c r="AB22">
        <v>60</v>
      </c>
      <c r="AC22">
        <v>64</v>
      </c>
      <c r="AD22">
        <v>55</v>
      </c>
      <c r="AE22">
        <v>41</v>
      </c>
      <c r="AF22">
        <v>24</v>
      </c>
      <c r="AG22">
        <v>22</v>
      </c>
      <c r="AH22">
        <v>13</v>
      </c>
      <c r="AI22">
        <v>33</v>
      </c>
      <c r="AJ22">
        <v>43</v>
      </c>
      <c r="AK22">
        <v>43</v>
      </c>
      <c r="AL22">
        <v>42</v>
      </c>
      <c r="AM22">
        <v>40</v>
      </c>
      <c r="AN22">
        <v>45</v>
      </c>
      <c r="AO22">
        <v>38</v>
      </c>
      <c r="AP22">
        <v>51</v>
      </c>
      <c r="AQ22">
        <v>47</v>
      </c>
      <c r="AR22">
        <v>43</v>
      </c>
      <c r="AS22">
        <v>46</v>
      </c>
      <c r="AT22">
        <v>50</v>
      </c>
      <c r="AU22">
        <v>51</v>
      </c>
      <c r="AV22">
        <v>60</v>
      </c>
      <c r="AW22">
        <v>68</v>
      </c>
      <c r="AX22">
        <v>49</v>
      </c>
      <c r="AY22">
        <v>41</v>
      </c>
      <c r="AZ22">
        <v>17</v>
      </c>
      <c r="BA22">
        <v>-1</v>
      </c>
      <c r="BB22">
        <v>-4</v>
      </c>
      <c r="BC22">
        <v>-65</v>
      </c>
      <c r="BD22">
        <v>-23</v>
      </c>
      <c r="BE22">
        <v>8</v>
      </c>
      <c r="BF22">
        <v>34</v>
      </c>
      <c r="BG22">
        <v>10</v>
      </c>
      <c r="BH22">
        <v>11</v>
      </c>
      <c r="BI22">
        <v>3</v>
      </c>
      <c r="BJ22">
        <v>12</v>
      </c>
      <c r="BK22">
        <v>18</v>
      </c>
      <c r="BL22">
        <v>18</v>
      </c>
      <c r="BM22">
        <v>7</v>
      </c>
      <c r="BN22">
        <v>13</v>
      </c>
      <c r="BO22">
        <v>4</v>
      </c>
      <c r="BP22">
        <v>-31</v>
      </c>
      <c r="BQ22">
        <v>-30</v>
      </c>
      <c r="BR22">
        <v>-15</v>
      </c>
      <c r="BS22">
        <v>-32</v>
      </c>
      <c r="BT22">
        <v>-9</v>
      </c>
      <c r="BU22">
        <v>0</v>
      </c>
      <c r="BV22">
        <v>2</v>
      </c>
    </row>
    <row r="23" spans="1:74" x14ac:dyDescent="0.25">
      <c r="A23" t="s">
        <v>357</v>
      </c>
      <c r="B23" t="s">
        <v>240</v>
      </c>
      <c r="C23" t="s">
        <v>31</v>
      </c>
      <c r="D23">
        <v>22.728999999999999</v>
      </c>
      <c r="E23">
        <v>10</v>
      </c>
      <c r="F23">
        <v>1</v>
      </c>
      <c r="G23">
        <v>-1</v>
      </c>
      <c r="H23">
        <v>20</v>
      </c>
      <c r="I23">
        <v>18</v>
      </c>
      <c r="J23">
        <v>21</v>
      </c>
      <c r="K23">
        <v>15</v>
      </c>
      <c r="L23">
        <v>29</v>
      </c>
      <c r="M23">
        <v>32</v>
      </c>
      <c r="N23">
        <v>42</v>
      </c>
      <c r="O23">
        <v>55</v>
      </c>
      <c r="P23">
        <v>57</v>
      </c>
      <c r="Q23">
        <v>50</v>
      </c>
      <c r="R23">
        <v>42</v>
      </c>
      <c r="S23">
        <v>38</v>
      </c>
      <c r="T23">
        <v>41</v>
      </c>
      <c r="U23">
        <v>14</v>
      </c>
      <c r="V23">
        <v>-3</v>
      </c>
      <c r="W23">
        <v>0</v>
      </c>
      <c r="X23">
        <v>-7</v>
      </c>
      <c r="Y23">
        <v>3</v>
      </c>
      <c r="Z23">
        <v>14</v>
      </c>
      <c r="AA23">
        <v>29</v>
      </c>
      <c r="AB23">
        <v>37</v>
      </c>
      <c r="AC23">
        <v>32</v>
      </c>
      <c r="AD23">
        <v>34</v>
      </c>
      <c r="AE23">
        <v>34</v>
      </c>
      <c r="AF23">
        <v>28</v>
      </c>
      <c r="AG23">
        <v>39</v>
      </c>
      <c r="AH23">
        <v>29</v>
      </c>
      <c r="AI23">
        <v>14</v>
      </c>
      <c r="AJ23">
        <v>50</v>
      </c>
      <c r="AK23">
        <v>36</v>
      </c>
      <c r="AL23">
        <v>27</v>
      </c>
      <c r="AM23">
        <v>49</v>
      </c>
      <c r="AN23">
        <v>39</v>
      </c>
      <c r="AO23">
        <v>33</v>
      </c>
      <c r="AP23">
        <v>36</v>
      </c>
      <c r="AQ23">
        <v>28</v>
      </c>
      <c r="AR23">
        <v>29</v>
      </c>
      <c r="AS23">
        <v>46</v>
      </c>
      <c r="AT23">
        <v>40</v>
      </c>
      <c r="AU23">
        <v>44</v>
      </c>
      <c r="AV23">
        <v>57</v>
      </c>
      <c r="AW23">
        <v>59</v>
      </c>
      <c r="AX23">
        <v>56</v>
      </c>
      <c r="AY23">
        <v>53</v>
      </c>
      <c r="AZ23">
        <v>57</v>
      </c>
      <c r="BA23">
        <v>31</v>
      </c>
      <c r="BB23">
        <v>38</v>
      </c>
      <c r="BC23">
        <v>-44</v>
      </c>
      <c r="BD23">
        <v>-24</v>
      </c>
      <c r="BE23">
        <v>-13</v>
      </c>
      <c r="BF23">
        <v>-10</v>
      </c>
      <c r="BG23">
        <v>-5</v>
      </c>
      <c r="BH23">
        <v>1</v>
      </c>
      <c r="BI23">
        <v>-4</v>
      </c>
      <c r="BJ23">
        <v>4</v>
      </c>
      <c r="BK23">
        <v>23</v>
      </c>
      <c r="BL23">
        <v>16</v>
      </c>
      <c r="BM23">
        <v>22</v>
      </c>
      <c r="BN23">
        <v>21</v>
      </c>
      <c r="BO23">
        <v>14</v>
      </c>
      <c r="BP23">
        <v>-3</v>
      </c>
      <c r="BQ23">
        <v>-1</v>
      </c>
      <c r="BR23">
        <v>0</v>
      </c>
      <c r="BS23">
        <v>3</v>
      </c>
      <c r="BT23">
        <v>4</v>
      </c>
      <c r="BU23">
        <v>-8</v>
      </c>
      <c r="BV23">
        <v>20</v>
      </c>
    </row>
    <row r="24" spans="1:74" x14ac:dyDescent="0.25">
      <c r="A24" t="s">
        <v>358</v>
      </c>
      <c r="B24" t="s">
        <v>129</v>
      </c>
      <c r="C24" t="s">
        <v>31</v>
      </c>
      <c r="D24">
        <v>12.057</v>
      </c>
      <c r="E24">
        <v>-45</v>
      </c>
      <c r="F24">
        <v>-26</v>
      </c>
      <c r="G24">
        <v>-22</v>
      </c>
      <c r="H24">
        <v>-17</v>
      </c>
      <c r="I24">
        <v>-5</v>
      </c>
      <c r="J24">
        <v>-19</v>
      </c>
      <c r="K24">
        <v>-3</v>
      </c>
      <c r="L24">
        <v>8</v>
      </c>
      <c r="M24">
        <v>16</v>
      </c>
      <c r="N24">
        <v>22</v>
      </c>
      <c r="O24">
        <v>41</v>
      </c>
      <c r="P24">
        <v>31</v>
      </c>
      <c r="Q24">
        <v>31</v>
      </c>
      <c r="R24">
        <v>32</v>
      </c>
      <c r="S24">
        <v>30</v>
      </c>
      <c r="T24">
        <v>17</v>
      </c>
      <c r="U24">
        <v>1</v>
      </c>
      <c r="V24">
        <v>-31</v>
      </c>
      <c r="W24">
        <v>-23</v>
      </c>
      <c r="X24">
        <v>-7</v>
      </c>
      <c r="Y24">
        <v>-6</v>
      </c>
      <c r="Z24">
        <v>15</v>
      </c>
      <c r="AA24">
        <v>26</v>
      </c>
      <c r="AB24">
        <v>37</v>
      </c>
      <c r="AC24">
        <v>38</v>
      </c>
      <c r="AD24">
        <v>30</v>
      </c>
      <c r="AE24">
        <v>30</v>
      </c>
      <c r="AF24">
        <v>22</v>
      </c>
      <c r="AG24">
        <v>14</v>
      </c>
      <c r="AH24">
        <v>11</v>
      </c>
      <c r="AI24">
        <v>8</v>
      </c>
      <c r="AJ24">
        <v>14</v>
      </c>
      <c r="AK24">
        <v>24</v>
      </c>
      <c r="AL24">
        <v>23</v>
      </c>
      <c r="AM24">
        <v>24</v>
      </c>
      <c r="AN24">
        <v>39</v>
      </c>
      <c r="AO24">
        <v>34</v>
      </c>
      <c r="AP24">
        <v>40</v>
      </c>
      <c r="AQ24">
        <v>42</v>
      </c>
      <c r="AR24">
        <v>41</v>
      </c>
      <c r="AS24">
        <v>37</v>
      </c>
      <c r="AT24">
        <v>41</v>
      </c>
      <c r="AU24">
        <v>38</v>
      </c>
      <c r="AV24">
        <v>45</v>
      </c>
      <c r="AW24">
        <v>39</v>
      </c>
      <c r="AX24">
        <v>27</v>
      </c>
      <c r="AY24">
        <v>34</v>
      </c>
      <c r="AZ24">
        <v>31</v>
      </c>
      <c r="BA24">
        <v>16</v>
      </c>
      <c r="BB24">
        <v>30</v>
      </c>
      <c r="BC24">
        <v>-51</v>
      </c>
      <c r="BD24">
        <v>22</v>
      </c>
      <c r="BE24">
        <v>31</v>
      </c>
      <c r="BF24">
        <v>13</v>
      </c>
      <c r="BG24">
        <v>40</v>
      </c>
      <c r="BH24">
        <v>42</v>
      </c>
      <c r="BI24">
        <v>23</v>
      </c>
      <c r="BJ24">
        <v>-2</v>
      </c>
      <c r="BK24">
        <v>6</v>
      </c>
      <c r="BL24">
        <v>17</v>
      </c>
      <c r="BM24">
        <v>-6</v>
      </c>
      <c r="BN24">
        <v>-8</v>
      </c>
      <c r="BO24">
        <v>-12</v>
      </c>
      <c r="BP24">
        <v>-27</v>
      </c>
      <c r="BQ24">
        <v>-23</v>
      </c>
      <c r="BR24">
        <v>-21</v>
      </c>
      <c r="BS24">
        <v>-19</v>
      </c>
      <c r="BT24">
        <v>-13</v>
      </c>
      <c r="BU24">
        <v>-19</v>
      </c>
      <c r="BV24">
        <v>-24</v>
      </c>
    </row>
    <row r="25" spans="1:74" x14ac:dyDescent="0.25">
      <c r="A25" t="s">
        <v>359</v>
      </c>
      <c r="B25" t="s">
        <v>241</v>
      </c>
      <c r="C25" t="s">
        <v>31</v>
      </c>
      <c r="D25">
        <v>18.670999999999999</v>
      </c>
      <c r="E25">
        <v>-19</v>
      </c>
      <c r="F25">
        <v>1</v>
      </c>
      <c r="G25">
        <v>-11</v>
      </c>
      <c r="H25">
        <v>-7</v>
      </c>
      <c r="I25">
        <v>4</v>
      </c>
      <c r="J25">
        <v>-5</v>
      </c>
      <c r="K25">
        <v>-4</v>
      </c>
      <c r="L25">
        <v>6</v>
      </c>
      <c r="M25">
        <v>20</v>
      </c>
      <c r="N25">
        <v>21</v>
      </c>
      <c r="O25">
        <v>40</v>
      </c>
      <c r="P25">
        <v>30</v>
      </c>
      <c r="Q25">
        <v>29</v>
      </c>
      <c r="R25">
        <v>33</v>
      </c>
      <c r="S25">
        <v>25</v>
      </c>
      <c r="T25">
        <v>6</v>
      </c>
      <c r="U25">
        <v>-8</v>
      </c>
      <c r="V25">
        <v>-22</v>
      </c>
      <c r="W25">
        <v>-14</v>
      </c>
      <c r="X25">
        <v>1</v>
      </c>
      <c r="Y25">
        <v>15</v>
      </c>
      <c r="Z25">
        <v>33</v>
      </c>
      <c r="AA25">
        <v>39</v>
      </c>
      <c r="AB25">
        <v>42</v>
      </c>
      <c r="AC25">
        <v>32</v>
      </c>
      <c r="AD25">
        <v>31</v>
      </c>
      <c r="AE25">
        <v>36</v>
      </c>
      <c r="AF25">
        <v>35</v>
      </c>
      <c r="AG25">
        <v>35</v>
      </c>
      <c r="AH25">
        <v>20</v>
      </c>
      <c r="AI25">
        <v>23</v>
      </c>
      <c r="AJ25">
        <v>37</v>
      </c>
      <c r="AK25">
        <v>43</v>
      </c>
      <c r="AL25">
        <v>31</v>
      </c>
      <c r="AM25">
        <v>37</v>
      </c>
      <c r="AN25">
        <v>25</v>
      </c>
      <c r="AO25">
        <v>30</v>
      </c>
      <c r="AP25">
        <v>43</v>
      </c>
      <c r="AQ25">
        <v>41</v>
      </c>
      <c r="AR25">
        <v>32</v>
      </c>
      <c r="AS25">
        <v>40</v>
      </c>
      <c r="AT25">
        <v>39</v>
      </c>
      <c r="AU25">
        <v>46</v>
      </c>
      <c r="AV25">
        <v>49</v>
      </c>
      <c r="AW25">
        <v>46</v>
      </c>
      <c r="AX25">
        <v>39</v>
      </c>
      <c r="AY25">
        <v>43</v>
      </c>
      <c r="AZ25">
        <v>35</v>
      </c>
      <c r="BA25">
        <v>28</v>
      </c>
      <c r="BB25">
        <v>29</v>
      </c>
      <c r="BC25">
        <v>-21</v>
      </c>
      <c r="BD25">
        <v>-3</v>
      </c>
      <c r="BE25">
        <v>0</v>
      </c>
      <c r="BF25">
        <v>20</v>
      </c>
      <c r="BG25">
        <v>31</v>
      </c>
      <c r="BH25">
        <v>26</v>
      </c>
      <c r="BI25">
        <v>30</v>
      </c>
      <c r="BJ25">
        <v>1</v>
      </c>
      <c r="BK25">
        <v>18</v>
      </c>
      <c r="BL25">
        <v>31</v>
      </c>
      <c r="BM25">
        <v>5</v>
      </c>
      <c r="BN25">
        <v>-2</v>
      </c>
      <c r="BO25">
        <v>6</v>
      </c>
      <c r="BP25">
        <v>-2</v>
      </c>
      <c r="BQ25">
        <v>4</v>
      </c>
      <c r="BR25">
        <v>-1</v>
      </c>
      <c r="BS25">
        <v>-4</v>
      </c>
      <c r="BT25">
        <v>-2</v>
      </c>
      <c r="BU25">
        <v>-11</v>
      </c>
      <c r="BV25">
        <v>1</v>
      </c>
    </row>
    <row r="26" spans="1:74" x14ac:dyDescent="0.25">
      <c r="A26" t="s">
        <v>360</v>
      </c>
      <c r="B26" t="s">
        <v>242</v>
      </c>
      <c r="C26" t="s">
        <v>31</v>
      </c>
      <c r="D26">
        <v>28.571000000000002</v>
      </c>
      <c r="E26">
        <v>6</v>
      </c>
      <c r="F26">
        <v>8</v>
      </c>
      <c r="G26">
        <v>16</v>
      </c>
      <c r="H26">
        <v>17</v>
      </c>
      <c r="I26">
        <v>27</v>
      </c>
      <c r="J26">
        <v>5</v>
      </c>
      <c r="K26">
        <v>21</v>
      </c>
      <c r="L26">
        <v>26</v>
      </c>
      <c r="M26">
        <v>54</v>
      </c>
      <c r="N26">
        <v>49</v>
      </c>
      <c r="O26">
        <v>55</v>
      </c>
      <c r="P26">
        <v>66</v>
      </c>
      <c r="Q26">
        <v>67</v>
      </c>
      <c r="R26">
        <v>65</v>
      </c>
      <c r="S26">
        <v>61</v>
      </c>
      <c r="T26">
        <v>51</v>
      </c>
      <c r="U26">
        <v>5</v>
      </c>
      <c r="V26">
        <v>-37</v>
      </c>
      <c r="W26">
        <v>-27</v>
      </c>
      <c r="X26">
        <v>-28</v>
      </c>
      <c r="Y26">
        <v>-5</v>
      </c>
      <c r="Z26">
        <v>23</v>
      </c>
      <c r="AA26">
        <v>56</v>
      </c>
      <c r="AB26">
        <v>47</v>
      </c>
      <c r="AC26">
        <v>68</v>
      </c>
      <c r="AD26">
        <v>58</v>
      </c>
      <c r="AE26">
        <v>42</v>
      </c>
      <c r="AF26">
        <v>33</v>
      </c>
      <c r="AG26">
        <v>23</v>
      </c>
      <c r="AH26">
        <v>13</v>
      </c>
      <c r="AI26">
        <v>33</v>
      </c>
      <c r="AJ26">
        <v>48</v>
      </c>
      <c r="AK26">
        <v>40</v>
      </c>
      <c r="AL26">
        <v>37</v>
      </c>
      <c r="AM26">
        <v>43</v>
      </c>
      <c r="AN26">
        <v>40</v>
      </c>
      <c r="AO26">
        <v>32</v>
      </c>
      <c r="AP26">
        <v>32</v>
      </c>
      <c r="AQ26">
        <v>18</v>
      </c>
      <c r="AR26">
        <v>23</v>
      </c>
      <c r="AS26">
        <v>36</v>
      </c>
      <c r="AT26">
        <v>50</v>
      </c>
      <c r="AU26">
        <v>65</v>
      </c>
      <c r="AV26">
        <v>68</v>
      </c>
      <c r="AW26">
        <v>55</v>
      </c>
      <c r="AX26">
        <v>50</v>
      </c>
      <c r="AY26">
        <v>54</v>
      </c>
      <c r="AZ26">
        <v>28</v>
      </c>
      <c r="BA26">
        <v>24</v>
      </c>
      <c r="BB26">
        <v>17</v>
      </c>
      <c r="BC26">
        <v>-33</v>
      </c>
      <c r="BD26">
        <v>-22</v>
      </c>
      <c r="BE26">
        <v>-1</v>
      </c>
      <c r="BF26">
        <v>30</v>
      </c>
      <c r="BG26">
        <v>44</v>
      </c>
      <c r="BH26">
        <v>46</v>
      </c>
      <c r="BI26">
        <v>34</v>
      </c>
      <c r="BJ26">
        <v>46</v>
      </c>
      <c r="BK26">
        <v>45</v>
      </c>
      <c r="BL26">
        <v>44</v>
      </c>
      <c r="BM26">
        <v>37</v>
      </c>
      <c r="BN26">
        <v>21</v>
      </c>
      <c r="BO26">
        <v>9</v>
      </c>
      <c r="BP26">
        <v>1</v>
      </c>
      <c r="BQ26">
        <v>6</v>
      </c>
      <c r="BR26">
        <v>4</v>
      </c>
      <c r="BS26">
        <v>10</v>
      </c>
      <c r="BT26">
        <v>4</v>
      </c>
      <c r="BU26">
        <v>3</v>
      </c>
      <c r="BV26">
        <v>14</v>
      </c>
    </row>
    <row r="27" spans="1:74" x14ac:dyDescent="0.25">
      <c r="A27" t="s">
        <v>361</v>
      </c>
      <c r="B27" t="s">
        <v>132</v>
      </c>
      <c r="C27" t="s">
        <v>31</v>
      </c>
      <c r="D27">
        <v>39.057000000000002</v>
      </c>
      <c r="E27">
        <v>22</v>
      </c>
      <c r="F27">
        <v>47</v>
      </c>
      <c r="G27">
        <v>54</v>
      </c>
      <c r="H27">
        <v>52</v>
      </c>
      <c r="I27">
        <v>45</v>
      </c>
      <c r="J27">
        <v>54</v>
      </c>
      <c r="K27">
        <v>37</v>
      </c>
      <c r="L27">
        <v>46</v>
      </c>
      <c r="M27">
        <v>52</v>
      </c>
      <c r="N27">
        <v>51</v>
      </c>
      <c r="O27">
        <v>52</v>
      </c>
      <c r="P27">
        <v>49</v>
      </c>
      <c r="Q27">
        <v>27</v>
      </c>
      <c r="R27">
        <v>33</v>
      </c>
      <c r="S27">
        <v>45</v>
      </c>
      <c r="T27">
        <v>35</v>
      </c>
      <c r="U27">
        <v>29</v>
      </c>
      <c r="V27">
        <v>21</v>
      </c>
      <c r="W27">
        <v>25</v>
      </c>
      <c r="X27">
        <v>26</v>
      </c>
      <c r="Y27">
        <v>32</v>
      </c>
      <c r="Z27">
        <v>36</v>
      </c>
      <c r="AA27">
        <v>48</v>
      </c>
      <c r="AB27">
        <v>45</v>
      </c>
      <c r="AC27">
        <v>40</v>
      </c>
      <c r="AD27">
        <v>39</v>
      </c>
      <c r="AE27">
        <v>37</v>
      </c>
      <c r="AF27">
        <v>31</v>
      </c>
      <c r="AG27">
        <v>33</v>
      </c>
      <c r="AH27">
        <v>30</v>
      </c>
      <c r="AI27">
        <v>32</v>
      </c>
      <c r="AJ27">
        <v>36</v>
      </c>
      <c r="AK27">
        <v>26</v>
      </c>
      <c r="AL27">
        <v>27</v>
      </c>
      <c r="AM27">
        <v>22</v>
      </c>
      <c r="AN27">
        <v>29</v>
      </c>
      <c r="AO27">
        <v>37</v>
      </c>
      <c r="AP27">
        <v>36</v>
      </c>
      <c r="AQ27">
        <v>43</v>
      </c>
      <c r="AR27">
        <v>46</v>
      </c>
      <c r="AS27">
        <v>45</v>
      </c>
      <c r="AT27">
        <v>51</v>
      </c>
      <c r="AU27">
        <v>52</v>
      </c>
      <c r="AV27">
        <v>50</v>
      </c>
      <c r="AW27">
        <v>49</v>
      </c>
      <c r="AX27">
        <v>38</v>
      </c>
      <c r="AY27">
        <v>45</v>
      </c>
      <c r="AZ27">
        <v>51</v>
      </c>
      <c r="BA27">
        <v>49</v>
      </c>
      <c r="BB27">
        <v>45</v>
      </c>
      <c r="BC27">
        <v>19</v>
      </c>
      <c r="BD27">
        <v>36</v>
      </c>
      <c r="BE27">
        <v>37</v>
      </c>
      <c r="BF27">
        <v>41</v>
      </c>
      <c r="BG27">
        <v>48</v>
      </c>
      <c r="BH27">
        <v>42</v>
      </c>
      <c r="BI27">
        <v>38</v>
      </c>
      <c r="BJ27">
        <v>21</v>
      </c>
      <c r="BK27">
        <v>41</v>
      </c>
      <c r="BL27">
        <v>41</v>
      </c>
      <c r="BM27">
        <v>49</v>
      </c>
      <c r="BN27">
        <v>45</v>
      </c>
      <c r="BO27">
        <v>45</v>
      </c>
      <c r="BP27">
        <v>35</v>
      </c>
      <c r="BQ27">
        <v>37</v>
      </c>
      <c r="BR27">
        <v>35</v>
      </c>
      <c r="BS27">
        <v>31</v>
      </c>
      <c r="BT27">
        <v>42</v>
      </c>
      <c r="BU27">
        <v>39</v>
      </c>
      <c r="BV27">
        <v>30</v>
      </c>
    </row>
    <row r="28" spans="1:74" x14ac:dyDescent="0.25">
      <c r="A28" t="s">
        <v>362</v>
      </c>
      <c r="B28" t="s">
        <v>243</v>
      </c>
      <c r="C28" t="s">
        <v>31</v>
      </c>
      <c r="D28">
        <v>28.728999999999999</v>
      </c>
      <c r="E28">
        <v>-6</v>
      </c>
      <c r="F28">
        <v>-11</v>
      </c>
      <c r="G28">
        <v>-5</v>
      </c>
      <c r="H28">
        <v>-1</v>
      </c>
      <c r="I28">
        <v>10</v>
      </c>
      <c r="J28">
        <v>-15</v>
      </c>
      <c r="K28">
        <v>8</v>
      </c>
      <c r="L28">
        <v>7</v>
      </c>
      <c r="M28">
        <v>13</v>
      </c>
      <c r="N28">
        <v>27</v>
      </c>
      <c r="O28">
        <v>41</v>
      </c>
      <c r="P28">
        <v>36</v>
      </c>
      <c r="Q28">
        <v>47</v>
      </c>
      <c r="R28">
        <v>37</v>
      </c>
      <c r="S28">
        <v>27</v>
      </c>
      <c r="T28">
        <v>32</v>
      </c>
      <c r="U28">
        <v>-12</v>
      </c>
      <c r="V28">
        <v>-24</v>
      </c>
      <c r="W28">
        <v>-5</v>
      </c>
      <c r="X28">
        <v>8</v>
      </c>
      <c r="Y28">
        <v>6</v>
      </c>
      <c r="Z28">
        <v>32</v>
      </c>
      <c r="AA28">
        <v>34</v>
      </c>
      <c r="AB28">
        <v>40</v>
      </c>
      <c r="AC28">
        <v>42</v>
      </c>
      <c r="AD28">
        <v>45</v>
      </c>
      <c r="AE28">
        <v>38</v>
      </c>
      <c r="AF28">
        <v>23</v>
      </c>
      <c r="AG28">
        <v>26</v>
      </c>
      <c r="AH28">
        <v>7</v>
      </c>
      <c r="AI28">
        <v>27</v>
      </c>
      <c r="AJ28">
        <v>37</v>
      </c>
      <c r="AK28">
        <v>29</v>
      </c>
      <c r="AL28">
        <v>34</v>
      </c>
      <c r="AM28">
        <v>35</v>
      </c>
      <c r="AN28">
        <v>41</v>
      </c>
      <c r="AO28">
        <v>47</v>
      </c>
      <c r="AP28">
        <v>44</v>
      </c>
      <c r="AQ28">
        <v>35</v>
      </c>
      <c r="AR28">
        <v>44</v>
      </c>
      <c r="AS28">
        <v>50</v>
      </c>
      <c r="AT28">
        <v>54</v>
      </c>
      <c r="AU28">
        <v>62</v>
      </c>
      <c r="AV28">
        <v>66</v>
      </c>
      <c r="AW28">
        <v>63</v>
      </c>
      <c r="AX28">
        <v>57</v>
      </c>
      <c r="AY28">
        <v>61</v>
      </c>
      <c r="AZ28">
        <v>52</v>
      </c>
      <c r="BA28">
        <v>52</v>
      </c>
      <c r="BB28">
        <v>50</v>
      </c>
      <c r="BC28">
        <v>13</v>
      </c>
      <c r="BD28">
        <v>38</v>
      </c>
      <c r="BE28">
        <v>46</v>
      </c>
      <c r="BF28">
        <v>49</v>
      </c>
      <c r="BG28">
        <v>58</v>
      </c>
      <c r="BH28">
        <v>55</v>
      </c>
      <c r="BI28">
        <v>47</v>
      </c>
      <c r="BJ28">
        <v>26</v>
      </c>
      <c r="BK28">
        <v>31</v>
      </c>
      <c r="BL28">
        <v>20</v>
      </c>
      <c r="BM28">
        <v>22</v>
      </c>
      <c r="BN28">
        <v>19</v>
      </c>
      <c r="BO28">
        <v>28</v>
      </c>
      <c r="BP28">
        <v>21</v>
      </c>
      <c r="BQ28">
        <v>20</v>
      </c>
      <c r="BR28">
        <v>21</v>
      </c>
      <c r="BS28">
        <v>16</v>
      </c>
      <c r="BT28">
        <v>12</v>
      </c>
      <c r="BU28">
        <v>10</v>
      </c>
      <c r="BV28">
        <v>12</v>
      </c>
    </row>
    <row r="29" spans="1:74" x14ac:dyDescent="0.25">
      <c r="A29" t="s">
        <v>363</v>
      </c>
      <c r="B29" t="s">
        <v>37</v>
      </c>
      <c r="C29" t="s">
        <v>31</v>
      </c>
      <c r="D29">
        <v>22.9</v>
      </c>
      <c r="E29">
        <v>-31</v>
      </c>
      <c r="F29">
        <v>-34</v>
      </c>
      <c r="G29">
        <v>-35</v>
      </c>
      <c r="H29">
        <v>-31</v>
      </c>
      <c r="I29">
        <v>-33</v>
      </c>
      <c r="J29">
        <v>-35</v>
      </c>
      <c r="K29">
        <v>-21</v>
      </c>
      <c r="L29">
        <v>-15</v>
      </c>
      <c r="M29">
        <v>-7</v>
      </c>
      <c r="N29">
        <v>17</v>
      </c>
      <c r="O29">
        <v>17</v>
      </c>
      <c r="P29">
        <v>11</v>
      </c>
      <c r="Q29">
        <v>11</v>
      </c>
      <c r="R29">
        <v>7</v>
      </c>
      <c r="S29">
        <v>2</v>
      </c>
      <c r="T29">
        <v>11</v>
      </c>
      <c r="U29">
        <v>1</v>
      </c>
      <c r="V29">
        <v>-7</v>
      </c>
      <c r="W29">
        <v>5</v>
      </c>
      <c r="X29">
        <v>-2</v>
      </c>
      <c r="Y29">
        <v>4</v>
      </c>
      <c r="Z29">
        <v>26</v>
      </c>
      <c r="AA29">
        <v>18</v>
      </c>
      <c r="AB29">
        <v>30</v>
      </c>
      <c r="AC29">
        <v>39</v>
      </c>
      <c r="AD29">
        <v>32</v>
      </c>
      <c r="AE29">
        <v>33</v>
      </c>
      <c r="AF29">
        <v>37</v>
      </c>
      <c r="AG29">
        <v>29</v>
      </c>
      <c r="AH29">
        <v>21</v>
      </c>
      <c r="AI29">
        <v>43</v>
      </c>
      <c r="AJ29">
        <v>41</v>
      </c>
      <c r="AK29">
        <v>37</v>
      </c>
      <c r="AL29">
        <v>39</v>
      </c>
      <c r="AM29">
        <v>34</v>
      </c>
      <c r="AN29">
        <v>35</v>
      </c>
      <c r="AO29">
        <v>43</v>
      </c>
      <c r="AP29">
        <v>41</v>
      </c>
      <c r="AQ29">
        <v>41</v>
      </c>
      <c r="AR29">
        <v>54</v>
      </c>
      <c r="AS29">
        <v>52</v>
      </c>
      <c r="AT29">
        <v>56</v>
      </c>
      <c r="AU29">
        <v>64</v>
      </c>
      <c r="AV29">
        <v>62</v>
      </c>
      <c r="AW29">
        <v>62</v>
      </c>
      <c r="AX29">
        <v>70</v>
      </c>
      <c r="AY29">
        <v>66</v>
      </c>
      <c r="AZ29">
        <v>62</v>
      </c>
      <c r="BA29">
        <v>63</v>
      </c>
      <c r="BB29">
        <v>59</v>
      </c>
      <c r="BC29">
        <v>30</v>
      </c>
      <c r="BD29">
        <v>44</v>
      </c>
      <c r="BE29">
        <v>39</v>
      </c>
      <c r="BF29">
        <v>41</v>
      </c>
      <c r="BG29">
        <v>51</v>
      </c>
      <c r="BH29">
        <v>47</v>
      </c>
      <c r="BI29">
        <v>39</v>
      </c>
      <c r="BJ29">
        <v>26</v>
      </c>
      <c r="BK29">
        <v>28</v>
      </c>
      <c r="BL29">
        <v>26</v>
      </c>
      <c r="BM29">
        <v>16</v>
      </c>
      <c r="BN29">
        <v>8</v>
      </c>
      <c r="BO29">
        <v>13</v>
      </c>
      <c r="BP29">
        <v>15</v>
      </c>
      <c r="BQ29">
        <v>5</v>
      </c>
      <c r="BR29">
        <v>9</v>
      </c>
      <c r="BS29">
        <v>14</v>
      </c>
      <c r="BT29">
        <v>9</v>
      </c>
      <c r="BU29">
        <v>7</v>
      </c>
      <c r="BV29">
        <v>12</v>
      </c>
    </row>
    <row r="30" spans="1:74" x14ac:dyDescent="0.25">
      <c r="A30" t="s">
        <v>364</v>
      </c>
      <c r="B30" t="s">
        <v>134</v>
      </c>
      <c r="C30" t="s">
        <v>31</v>
      </c>
      <c r="D30">
        <v>20.329000000000001</v>
      </c>
      <c r="E30">
        <v>-35</v>
      </c>
      <c r="F30">
        <v>-36</v>
      </c>
      <c r="G30">
        <v>-34</v>
      </c>
      <c r="H30">
        <v>-35</v>
      </c>
      <c r="I30">
        <v>-36</v>
      </c>
      <c r="J30">
        <v>-37</v>
      </c>
      <c r="K30">
        <v>-25</v>
      </c>
      <c r="L30">
        <v>-18</v>
      </c>
      <c r="M30">
        <v>-6</v>
      </c>
      <c r="N30">
        <v>12</v>
      </c>
      <c r="O30">
        <v>10</v>
      </c>
      <c r="P30">
        <v>4</v>
      </c>
      <c r="Q30">
        <v>9</v>
      </c>
      <c r="R30">
        <v>3</v>
      </c>
      <c r="S30">
        <v>2</v>
      </c>
      <c r="T30">
        <v>8</v>
      </c>
      <c r="U30">
        <v>-3</v>
      </c>
      <c r="V30">
        <v>-7</v>
      </c>
      <c r="W30">
        <v>0</v>
      </c>
      <c r="X30">
        <v>-4</v>
      </c>
      <c r="Y30">
        <v>5</v>
      </c>
      <c r="Z30">
        <v>22</v>
      </c>
      <c r="AA30">
        <v>17</v>
      </c>
      <c r="AB30">
        <v>29</v>
      </c>
      <c r="AC30">
        <v>37</v>
      </c>
      <c r="AD30">
        <v>28</v>
      </c>
      <c r="AE30">
        <v>33</v>
      </c>
      <c r="AF30">
        <v>37</v>
      </c>
      <c r="AG30">
        <v>31</v>
      </c>
      <c r="AH30">
        <v>27</v>
      </c>
      <c r="AI30">
        <v>45</v>
      </c>
      <c r="AJ30">
        <v>43</v>
      </c>
      <c r="AK30">
        <v>37</v>
      </c>
      <c r="AL30">
        <v>39</v>
      </c>
      <c r="AM30">
        <v>34</v>
      </c>
      <c r="AN30">
        <v>37</v>
      </c>
      <c r="AO30">
        <v>42</v>
      </c>
      <c r="AP30">
        <v>42</v>
      </c>
      <c r="AQ30">
        <v>46</v>
      </c>
      <c r="AR30">
        <v>53</v>
      </c>
      <c r="AS30">
        <v>52</v>
      </c>
      <c r="AT30">
        <v>57</v>
      </c>
      <c r="AU30">
        <v>62</v>
      </c>
      <c r="AV30">
        <v>58</v>
      </c>
      <c r="AW30">
        <v>63</v>
      </c>
      <c r="AX30">
        <v>71</v>
      </c>
      <c r="AY30">
        <v>65</v>
      </c>
      <c r="AZ30">
        <v>61</v>
      </c>
      <c r="BA30">
        <v>61</v>
      </c>
      <c r="BB30">
        <v>61</v>
      </c>
      <c r="BC30">
        <v>38</v>
      </c>
      <c r="BD30">
        <v>48</v>
      </c>
      <c r="BE30">
        <v>41</v>
      </c>
      <c r="BF30">
        <v>46</v>
      </c>
      <c r="BG30">
        <v>54</v>
      </c>
      <c r="BH30">
        <v>50</v>
      </c>
      <c r="BI30">
        <v>38</v>
      </c>
      <c r="BJ30">
        <v>19</v>
      </c>
      <c r="BK30">
        <v>21</v>
      </c>
      <c r="BL30">
        <v>14</v>
      </c>
      <c r="BM30">
        <v>0</v>
      </c>
      <c r="BN30">
        <v>-7</v>
      </c>
      <c r="BO30">
        <v>-3</v>
      </c>
      <c r="BP30">
        <v>-2</v>
      </c>
      <c r="BQ30">
        <v>-7</v>
      </c>
      <c r="BR30">
        <v>-3</v>
      </c>
      <c r="BS30">
        <v>0</v>
      </c>
      <c r="BT30">
        <v>0</v>
      </c>
      <c r="BU30">
        <v>1</v>
      </c>
      <c r="BV30">
        <v>8</v>
      </c>
    </row>
    <row r="31" spans="1:74" x14ac:dyDescent="0.25">
      <c r="A31" t="s">
        <v>365</v>
      </c>
      <c r="B31" t="s">
        <v>135</v>
      </c>
      <c r="C31" t="s">
        <v>31</v>
      </c>
      <c r="D31">
        <v>17.643000000000001</v>
      </c>
      <c r="E31">
        <v>-44</v>
      </c>
      <c r="F31">
        <v>-44</v>
      </c>
      <c r="G31">
        <v>-55</v>
      </c>
      <c r="H31">
        <v>-46</v>
      </c>
      <c r="I31">
        <v>-42</v>
      </c>
      <c r="J31">
        <v>-51</v>
      </c>
      <c r="K31">
        <v>-29</v>
      </c>
      <c r="L31">
        <v>-22</v>
      </c>
      <c r="M31">
        <v>-30</v>
      </c>
      <c r="N31">
        <v>4</v>
      </c>
      <c r="O31">
        <v>11</v>
      </c>
      <c r="P31">
        <v>-1</v>
      </c>
      <c r="Q31">
        <v>3</v>
      </c>
      <c r="R31">
        <v>-3</v>
      </c>
      <c r="S31">
        <v>-15</v>
      </c>
      <c r="T31">
        <v>6</v>
      </c>
      <c r="U31">
        <v>6</v>
      </c>
      <c r="V31">
        <v>-14</v>
      </c>
      <c r="W31">
        <v>1</v>
      </c>
      <c r="X31">
        <v>-11</v>
      </c>
      <c r="Y31">
        <v>-9</v>
      </c>
      <c r="Z31">
        <v>15</v>
      </c>
      <c r="AA31">
        <v>4</v>
      </c>
      <c r="AB31">
        <v>18</v>
      </c>
      <c r="AC31">
        <v>31</v>
      </c>
      <c r="AD31">
        <v>30</v>
      </c>
      <c r="AE31">
        <v>15</v>
      </c>
      <c r="AF31">
        <v>27</v>
      </c>
      <c r="AG31">
        <v>15</v>
      </c>
      <c r="AH31">
        <v>7</v>
      </c>
      <c r="AI31">
        <v>34</v>
      </c>
      <c r="AJ31">
        <v>34</v>
      </c>
      <c r="AK31">
        <v>29</v>
      </c>
      <c r="AL31">
        <v>28</v>
      </c>
      <c r="AM31">
        <v>29</v>
      </c>
      <c r="AN31">
        <v>22</v>
      </c>
      <c r="AO31">
        <v>40</v>
      </c>
      <c r="AP31">
        <v>37</v>
      </c>
      <c r="AQ31">
        <v>21</v>
      </c>
      <c r="AR31">
        <v>51</v>
      </c>
      <c r="AS31">
        <v>44</v>
      </c>
      <c r="AT31">
        <v>51</v>
      </c>
      <c r="AU31">
        <v>68</v>
      </c>
      <c r="AV31">
        <v>63</v>
      </c>
      <c r="AW31">
        <v>58</v>
      </c>
      <c r="AX31">
        <v>68</v>
      </c>
      <c r="AY31">
        <v>62</v>
      </c>
      <c r="AZ31">
        <v>58</v>
      </c>
      <c r="BA31">
        <v>59</v>
      </c>
      <c r="BB31">
        <v>57</v>
      </c>
      <c r="BC31">
        <v>37</v>
      </c>
      <c r="BD31">
        <v>44</v>
      </c>
      <c r="BE31">
        <v>33</v>
      </c>
      <c r="BF31">
        <v>30</v>
      </c>
      <c r="BG31">
        <v>42</v>
      </c>
      <c r="BH31">
        <v>42</v>
      </c>
      <c r="BI31">
        <v>32</v>
      </c>
      <c r="BJ31">
        <v>22</v>
      </c>
      <c r="BK31">
        <v>22</v>
      </c>
      <c r="BL31">
        <v>30</v>
      </c>
      <c r="BM31">
        <v>29</v>
      </c>
      <c r="BN31">
        <v>19</v>
      </c>
      <c r="BO31">
        <v>28</v>
      </c>
      <c r="BP31">
        <v>30</v>
      </c>
      <c r="BQ31">
        <v>24</v>
      </c>
      <c r="BR31">
        <v>14</v>
      </c>
      <c r="BS31">
        <v>21</v>
      </c>
      <c r="BT31">
        <v>15</v>
      </c>
      <c r="BU31">
        <v>13</v>
      </c>
      <c r="BV31">
        <v>18</v>
      </c>
    </row>
    <row r="32" spans="1:74" x14ac:dyDescent="0.25">
      <c r="A32" t="s">
        <v>366</v>
      </c>
      <c r="B32" t="s">
        <v>136</v>
      </c>
      <c r="C32" t="s">
        <v>31</v>
      </c>
      <c r="D32">
        <v>29.013999999999999</v>
      </c>
      <c r="E32">
        <v>-20</v>
      </c>
      <c r="F32">
        <v>-28</v>
      </c>
      <c r="G32">
        <v>-32</v>
      </c>
      <c r="H32">
        <v>-21</v>
      </c>
      <c r="I32">
        <v>-25</v>
      </c>
      <c r="J32">
        <v>-27</v>
      </c>
      <c r="K32">
        <v>-11</v>
      </c>
      <c r="L32">
        <v>-8</v>
      </c>
      <c r="M32">
        <v>0</v>
      </c>
      <c r="N32">
        <v>27</v>
      </c>
      <c r="O32">
        <v>29</v>
      </c>
      <c r="P32">
        <v>22</v>
      </c>
      <c r="Q32">
        <v>21</v>
      </c>
      <c r="R32">
        <v>18</v>
      </c>
      <c r="S32">
        <v>10</v>
      </c>
      <c r="T32">
        <v>20</v>
      </c>
      <c r="U32">
        <v>9</v>
      </c>
      <c r="V32">
        <v>0</v>
      </c>
      <c r="W32">
        <v>15</v>
      </c>
      <c r="X32">
        <v>6</v>
      </c>
      <c r="Y32">
        <v>8</v>
      </c>
      <c r="Z32">
        <v>38</v>
      </c>
      <c r="AA32">
        <v>27</v>
      </c>
      <c r="AB32">
        <v>37</v>
      </c>
      <c r="AC32">
        <v>45</v>
      </c>
      <c r="AD32">
        <v>39</v>
      </c>
      <c r="AE32">
        <v>39</v>
      </c>
      <c r="AF32">
        <v>42</v>
      </c>
      <c r="AG32">
        <v>34</v>
      </c>
      <c r="AH32">
        <v>22</v>
      </c>
      <c r="AI32">
        <v>46</v>
      </c>
      <c r="AJ32">
        <v>44</v>
      </c>
      <c r="AK32">
        <v>42</v>
      </c>
      <c r="AL32">
        <v>44</v>
      </c>
      <c r="AM32">
        <v>37</v>
      </c>
      <c r="AN32">
        <v>39</v>
      </c>
      <c r="AO32">
        <v>48</v>
      </c>
      <c r="AP32">
        <v>46</v>
      </c>
      <c r="AQ32">
        <v>42</v>
      </c>
      <c r="AR32">
        <v>56</v>
      </c>
      <c r="AS32">
        <v>56</v>
      </c>
      <c r="AT32">
        <v>59</v>
      </c>
      <c r="AU32">
        <v>65</v>
      </c>
      <c r="AV32">
        <v>65</v>
      </c>
      <c r="AW32">
        <v>63</v>
      </c>
      <c r="AX32">
        <v>69</v>
      </c>
      <c r="AY32">
        <v>68</v>
      </c>
      <c r="AZ32">
        <v>63</v>
      </c>
      <c r="BA32">
        <v>66</v>
      </c>
      <c r="BB32">
        <v>57</v>
      </c>
      <c r="BC32">
        <v>20</v>
      </c>
      <c r="BD32">
        <v>40</v>
      </c>
      <c r="BE32">
        <v>39</v>
      </c>
      <c r="BF32">
        <v>39</v>
      </c>
      <c r="BG32">
        <v>51</v>
      </c>
      <c r="BH32">
        <v>47</v>
      </c>
      <c r="BI32">
        <v>43</v>
      </c>
      <c r="BJ32">
        <v>37</v>
      </c>
      <c r="BK32">
        <v>38</v>
      </c>
      <c r="BL32">
        <v>39</v>
      </c>
      <c r="BM32">
        <v>33</v>
      </c>
      <c r="BN32">
        <v>24</v>
      </c>
      <c r="BO32">
        <v>29</v>
      </c>
      <c r="BP32">
        <v>27</v>
      </c>
      <c r="BQ32">
        <v>14</v>
      </c>
      <c r="BR32">
        <v>21</v>
      </c>
      <c r="BS32">
        <v>25</v>
      </c>
      <c r="BT32">
        <v>17</v>
      </c>
      <c r="BU32">
        <v>19</v>
      </c>
      <c r="BV32">
        <v>18</v>
      </c>
    </row>
    <row r="33" spans="1:74" x14ac:dyDescent="0.25">
      <c r="A33" t="s">
        <v>367</v>
      </c>
      <c r="B33" t="s">
        <v>38</v>
      </c>
      <c r="C33" t="s">
        <v>31</v>
      </c>
      <c r="D33">
        <v>7.7430000000000003</v>
      </c>
      <c r="E33">
        <v>-31</v>
      </c>
      <c r="F33">
        <v>-24</v>
      </c>
      <c r="G33">
        <v>-22</v>
      </c>
      <c r="H33">
        <v>-21</v>
      </c>
      <c r="I33">
        <v>-10</v>
      </c>
      <c r="J33">
        <v>-23</v>
      </c>
      <c r="K33">
        <v>-14</v>
      </c>
      <c r="L33">
        <v>-4</v>
      </c>
      <c r="M33">
        <v>5</v>
      </c>
      <c r="N33">
        <v>11</v>
      </c>
      <c r="O33">
        <v>24</v>
      </c>
      <c r="P33">
        <v>18</v>
      </c>
      <c r="Q33">
        <v>10</v>
      </c>
      <c r="R33">
        <v>6</v>
      </c>
      <c r="S33">
        <v>3</v>
      </c>
      <c r="T33">
        <v>0</v>
      </c>
      <c r="U33">
        <v>-4</v>
      </c>
      <c r="V33">
        <v>-13</v>
      </c>
      <c r="W33">
        <v>-8</v>
      </c>
      <c r="X33">
        <v>-2</v>
      </c>
      <c r="Y33">
        <v>5</v>
      </c>
      <c r="Z33">
        <v>22</v>
      </c>
      <c r="AA33">
        <v>31</v>
      </c>
      <c r="AB33">
        <v>33</v>
      </c>
      <c r="AC33">
        <v>29</v>
      </c>
      <c r="AD33">
        <v>30</v>
      </c>
      <c r="AE33">
        <v>28</v>
      </c>
      <c r="AF33">
        <v>16</v>
      </c>
      <c r="AG33">
        <v>19</v>
      </c>
      <c r="AH33">
        <v>3</v>
      </c>
      <c r="AI33">
        <v>15</v>
      </c>
      <c r="AJ33">
        <v>22</v>
      </c>
      <c r="AK33">
        <v>27</v>
      </c>
      <c r="AL33">
        <v>18</v>
      </c>
      <c r="AM33">
        <v>18</v>
      </c>
      <c r="AN33">
        <v>23</v>
      </c>
      <c r="AO33">
        <v>24</v>
      </c>
      <c r="AP33">
        <v>28</v>
      </c>
      <c r="AQ33">
        <v>27</v>
      </c>
      <c r="AR33">
        <v>26</v>
      </c>
      <c r="AS33">
        <v>28</v>
      </c>
      <c r="AT33">
        <v>28</v>
      </c>
      <c r="AU33">
        <v>31</v>
      </c>
      <c r="AV33">
        <v>35</v>
      </c>
      <c r="AW33">
        <v>30</v>
      </c>
      <c r="AX33">
        <v>30</v>
      </c>
      <c r="AY33">
        <v>31</v>
      </c>
      <c r="AZ33">
        <v>27</v>
      </c>
      <c r="BA33">
        <v>22</v>
      </c>
      <c r="BB33">
        <v>23</v>
      </c>
      <c r="BC33">
        <v>-28</v>
      </c>
      <c r="BD33">
        <v>5</v>
      </c>
      <c r="BE33">
        <v>-5</v>
      </c>
      <c r="BF33">
        <v>-3</v>
      </c>
      <c r="BG33">
        <v>25</v>
      </c>
      <c r="BH33">
        <v>17</v>
      </c>
      <c r="BI33">
        <v>14</v>
      </c>
      <c r="BJ33">
        <v>0</v>
      </c>
      <c r="BK33">
        <v>12</v>
      </c>
      <c r="BL33">
        <v>7</v>
      </c>
      <c r="BM33">
        <v>-7</v>
      </c>
      <c r="BN33">
        <v>-6</v>
      </c>
      <c r="BO33">
        <v>-7</v>
      </c>
      <c r="BP33">
        <v>-15</v>
      </c>
      <c r="BQ33">
        <v>-12</v>
      </c>
      <c r="BR33">
        <v>-15</v>
      </c>
      <c r="BS33">
        <v>-17</v>
      </c>
      <c r="BT33">
        <v>-14</v>
      </c>
      <c r="BU33">
        <v>-21</v>
      </c>
      <c r="BV33">
        <v>-18</v>
      </c>
    </row>
    <row r="34" spans="1:74" x14ac:dyDescent="0.25">
      <c r="A34" t="s">
        <v>368</v>
      </c>
      <c r="B34" t="s">
        <v>137</v>
      </c>
      <c r="C34" t="s">
        <v>31</v>
      </c>
      <c r="D34">
        <v>13.743</v>
      </c>
      <c r="E34">
        <v>-21</v>
      </c>
      <c r="F34">
        <v>-10</v>
      </c>
      <c r="G34">
        <v>-8</v>
      </c>
      <c r="H34">
        <v>-7</v>
      </c>
      <c r="I34">
        <v>2</v>
      </c>
      <c r="J34">
        <v>-16</v>
      </c>
      <c r="K34">
        <v>-5</v>
      </c>
      <c r="L34">
        <v>7</v>
      </c>
      <c r="M34">
        <v>18</v>
      </c>
      <c r="N34">
        <v>26</v>
      </c>
      <c r="O34">
        <v>39</v>
      </c>
      <c r="P34">
        <v>35</v>
      </c>
      <c r="Q34">
        <v>24</v>
      </c>
      <c r="R34">
        <v>22</v>
      </c>
      <c r="S34">
        <v>21</v>
      </c>
      <c r="T34">
        <v>16</v>
      </c>
      <c r="U34">
        <v>3</v>
      </c>
      <c r="V34">
        <v>-20</v>
      </c>
      <c r="W34">
        <v>-17</v>
      </c>
      <c r="X34">
        <v>-4</v>
      </c>
      <c r="Y34">
        <v>6</v>
      </c>
      <c r="Z34">
        <v>25</v>
      </c>
      <c r="AA34">
        <v>34</v>
      </c>
      <c r="AB34">
        <v>42</v>
      </c>
      <c r="AC34">
        <v>36</v>
      </c>
      <c r="AD34">
        <v>40</v>
      </c>
      <c r="AE34">
        <v>36</v>
      </c>
      <c r="AF34">
        <v>24</v>
      </c>
      <c r="AG34">
        <v>26</v>
      </c>
      <c r="AH34">
        <v>7</v>
      </c>
      <c r="AI34">
        <v>17</v>
      </c>
      <c r="AJ34">
        <v>26</v>
      </c>
      <c r="AK34">
        <v>35</v>
      </c>
      <c r="AL34">
        <v>20</v>
      </c>
      <c r="AM34">
        <v>23</v>
      </c>
      <c r="AN34">
        <v>24</v>
      </c>
      <c r="AO34">
        <v>26</v>
      </c>
      <c r="AP34">
        <v>33</v>
      </c>
      <c r="AQ34">
        <v>31</v>
      </c>
      <c r="AR34">
        <v>30</v>
      </c>
      <c r="AS34">
        <v>33</v>
      </c>
      <c r="AT34">
        <v>36</v>
      </c>
      <c r="AU34">
        <v>38</v>
      </c>
      <c r="AV34">
        <v>43</v>
      </c>
      <c r="AW34">
        <v>37</v>
      </c>
      <c r="AX34">
        <v>39</v>
      </c>
      <c r="AY34">
        <v>41</v>
      </c>
      <c r="AZ34">
        <v>32</v>
      </c>
      <c r="BA34">
        <v>22</v>
      </c>
      <c r="BB34">
        <v>21</v>
      </c>
      <c r="BC34">
        <v>-22</v>
      </c>
      <c r="BD34">
        <v>4</v>
      </c>
      <c r="BE34">
        <v>8</v>
      </c>
      <c r="BF34">
        <v>14</v>
      </c>
      <c r="BG34">
        <v>32</v>
      </c>
      <c r="BH34">
        <v>29</v>
      </c>
      <c r="BI34">
        <v>25</v>
      </c>
      <c r="BJ34">
        <v>7</v>
      </c>
      <c r="BK34">
        <v>19</v>
      </c>
      <c r="BL34">
        <v>10</v>
      </c>
      <c r="BM34">
        <v>-8</v>
      </c>
      <c r="BN34">
        <v>-6</v>
      </c>
      <c r="BO34">
        <v>-11</v>
      </c>
      <c r="BP34">
        <v>-21</v>
      </c>
      <c r="BQ34">
        <v>-17</v>
      </c>
      <c r="BR34">
        <v>-18</v>
      </c>
      <c r="BS34">
        <v>-20</v>
      </c>
      <c r="BT34">
        <v>-16</v>
      </c>
      <c r="BU34">
        <v>-20</v>
      </c>
      <c r="BV34">
        <v>-15</v>
      </c>
    </row>
    <row r="35" spans="1:74" x14ac:dyDescent="0.25">
      <c r="A35" t="s">
        <v>369</v>
      </c>
      <c r="B35" t="s">
        <v>138</v>
      </c>
      <c r="C35" t="s">
        <v>31</v>
      </c>
      <c r="D35">
        <v>3.286</v>
      </c>
      <c r="E35">
        <v>-41</v>
      </c>
      <c r="F35">
        <v>-35</v>
      </c>
      <c r="G35">
        <v>-35</v>
      </c>
      <c r="H35">
        <v>-32</v>
      </c>
      <c r="I35">
        <v>-19</v>
      </c>
      <c r="J35">
        <v>-28</v>
      </c>
      <c r="K35">
        <v>-21</v>
      </c>
      <c r="L35">
        <v>-14</v>
      </c>
      <c r="M35">
        <v>-8</v>
      </c>
      <c r="N35">
        <v>-2</v>
      </c>
      <c r="O35">
        <v>10</v>
      </c>
      <c r="P35">
        <v>8</v>
      </c>
      <c r="Q35">
        <v>2</v>
      </c>
      <c r="R35">
        <v>-3</v>
      </c>
      <c r="S35">
        <v>-10</v>
      </c>
      <c r="T35">
        <v>-9</v>
      </c>
      <c r="U35">
        <v>-4</v>
      </c>
      <c r="V35">
        <v>-9</v>
      </c>
      <c r="W35">
        <v>-1</v>
      </c>
      <c r="X35">
        <v>3</v>
      </c>
      <c r="Y35">
        <v>6</v>
      </c>
      <c r="Z35">
        <v>22</v>
      </c>
      <c r="AA35">
        <v>29</v>
      </c>
      <c r="AB35">
        <v>23</v>
      </c>
      <c r="AC35">
        <v>21</v>
      </c>
      <c r="AD35">
        <v>19</v>
      </c>
      <c r="AE35">
        <v>22</v>
      </c>
      <c r="AF35">
        <v>15</v>
      </c>
      <c r="AG35">
        <v>17</v>
      </c>
      <c r="AH35">
        <v>2</v>
      </c>
      <c r="AI35">
        <v>16</v>
      </c>
      <c r="AJ35">
        <v>19</v>
      </c>
      <c r="AK35">
        <v>22</v>
      </c>
      <c r="AL35">
        <v>19</v>
      </c>
      <c r="AM35">
        <v>17</v>
      </c>
      <c r="AN35">
        <v>22</v>
      </c>
      <c r="AO35">
        <v>23</v>
      </c>
      <c r="AP35">
        <v>23</v>
      </c>
      <c r="AQ35">
        <v>23</v>
      </c>
      <c r="AR35">
        <v>20</v>
      </c>
      <c r="AS35">
        <v>23</v>
      </c>
      <c r="AT35">
        <v>19</v>
      </c>
      <c r="AU35">
        <v>26</v>
      </c>
      <c r="AV35">
        <v>27</v>
      </c>
      <c r="AW35">
        <v>23</v>
      </c>
      <c r="AX35">
        <v>22</v>
      </c>
      <c r="AY35">
        <v>23</v>
      </c>
      <c r="AZ35">
        <v>23</v>
      </c>
      <c r="BA35">
        <v>23</v>
      </c>
      <c r="BB35">
        <v>26</v>
      </c>
      <c r="BC35">
        <v>-28</v>
      </c>
      <c r="BD35">
        <v>10</v>
      </c>
      <c r="BE35">
        <v>-13</v>
      </c>
      <c r="BF35">
        <v>-17</v>
      </c>
      <c r="BG35">
        <v>23</v>
      </c>
      <c r="BH35">
        <v>8</v>
      </c>
      <c r="BI35">
        <v>5</v>
      </c>
      <c r="BJ35">
        <v>-6</v>
      </c>
      <c r="BK35">
        <v>5</v>
      </c>
      <c r="BL35">
        <v>4</v>
      </c>
      <c r="BM35">
        <v>-9</v>
      </c>
      <c r="BN35">
        <v>-8</v>
      </c>
      <c r="BO35">
        <v>-6</v>
      </c>
      <c r="BP35">
        <v>-12</v>
      </c>
      <c r="BQ35">
        <v>-10</v>
      </c>
      <c r="BR35">
        <v>-15</v>
      </c>
      <c r="BS35">
        <v>-14</v>
      </c>
      <c r="BT35">
        <v>-13</v>
      </c>
      <c r="BU35">
        <v>-21</v>
      </c>
      <c r="BV35">
        <v>-20</v>
      </c>
    </row>
    <row r="36" spans="1:74" x14ac:dyDescent="0.25">
      <c r="A36" t="s">
        <v>370</v>
      </c>
      <c r="B36" t="s">
        <v>139</v>
      </c>
      <c r="C36" t="s">
        <v>31</v>
      </c>
      <c r="D36">
        <v>21.3</v>
      </c>
      <c r="E36">
        <v>-9</v>
      </c>
      <c r="F36">
        <v>1</v>
      </c>
      <c r="G36">
        <v>-1</v>
      </c>
      <c r="H36">
        <v>1</v>
      </c>
      <c r="I36">
        <v>10</v>
      </c>
      <c r="J36">
        <v>0</v>
      </c>
      <c r="K36">
        <v>4</v>
      </c>
      <c r="L36">
        <v>18</v>
      </c>
      <c r="M36">
        <v>21</v>
      </c>
      <c r="N36">
        <v>23</v>
      </c>
      <c r="O36">
        <v>35</v>
      </c>
      <c r="P36">
        <v>37</v>
      </c>
      <c r="Q36">
        <v>33</v>
      </c>
      <c r="R36">
        <v>34</v>
      </c>
      <c r="S36">
        <v>27</v>
      </c>
      <c r="T36">
        <v>20</v>
      </c>
      <c r="U36">
        <v>9</v>
      </c>
      <c r="V36">
        <v>-9</v>
      </c>
      <c r="W36">
        <v>-1</v>
      </c>
      <c r="X36">
        <v>8</v>
      </c>
      <c r="Y36">
        <v>13</v>
      </c>
      <c r="Z36">
        <v>28</v>
      </c>
      <c r="AA36">
        <v>35</v>
      </c>
      <c r="AB36">
        <v>35</v>
      </c>
      <c r="AC36">
        <v>36</v>
      </c>
      <c r="AD36">
        <v>38</v>
      </c>
      <c r="AE36">
        <v>32</v>
      </c>
      <c r="AF36">
        <v>32</v>
      </c>
      <c r="AG36">
        <v>31</v>
      </c>
      <c r="AH36">
        <v>22</v>
      </c>
      <c r="AI36">
        <v>30</v>
      </c>
      <c r="AJ36">
        <v>35</v>
      </c>
      <c r="AK36">
        <v>34</v>
      </c>
      <c r="AL36">
        <v>35</v>
      </c>
      <c r="AM36">
        <v>37</v>
      </c>
      <c r="AN36">
        <v>34</v>
      </c>
      <c r="AO36">
        <v>40</v>
      </c>
      <c r="AP36">
        <v>42</v>
      </c>
      <c r="AQ36">
        <v>37</v>
      </c>
      <c r="AR36">
        <v>39</v>
      </c>
      <c r="AS36">
        <v>40</v>
      </c>
      <c r="AT36">
        <v>39</v>
      </c>
      <c r="AU36">
        <v>45</v>
      </c>
      <c r="AV36">
        <v>47</v>
      </c>
      <c r="AW36">
        <v>44</v>
      </c>
      <c r="AX36">
        <v>46</v>
      </c>
      <c r="AY36">
        <v>45</v>
      </c>
      <c r="AZ36">
        <v>37</v>
      </c>
      <c r="BA36">
        <v>35</v>
      </c>
      <c r="BB36">
        <v>36</v>
      </c>
      <c r="BC36">
        <v>-33</v>
      </c>
      <c r="BD36">
        <v>-3</v>
      </c>
      <c r="BE36">
        <v>-12</v>
      </c>
      <c r="BF36">
        <v>-11</v>
      </c>
      <c r="BG36">
        <v>25</v>
      </c>
      <c r="BH36">
        <v>7</v>
      </c>
      <c r="BI36">
        <v>14</v>
      </c>
      <c r="BJ36">
        <v>15</v>
      </c>
      <c r="BK36">
        <v>19</v>
      </c>
      <c r="BL36">
        <v>21</v>
      </c>
      <c r="BM36">
        <v>18</v>
      </c>
      <c r="BN36">
        <v>14</v>
      </c>
      <c r="BO36">
        <v>13</v>
      </c>
      <c r="BP36">
        <v>12</v>
      </c>
      <c r="BQ36">
        <v>11</v>
      </c>
      <c r="BR36">
        <v>8</v>
      </c>
      <c r="BS36">
        <v>10</v>
      </c>
      <c r="BT36">
        <v>10</v>
      </c>
      <c r="BU36">
        <v>3</v>
      </c>
      <c r="BV36">
        <v>10</v>
      </c>
    </row>
    <row r="37" spans="1:74" x14ac:dyDescent="0.25">
      <c r="A37" t="s">
        <v>371</v>
      </c>
      <c r="B37" t="s">
        <v>140</v>
      </c>
      <c r="C37" t="s">
        <v>31</v>
      </c>
      <c r="D37">
        <v>7.0289999999999999</v>
      </c>
      <c r="E37">
        <v>-17</v>
      </c>
      <c r="F37">
        <v>-7</v>
      </c>
      <c r="G37">
        <v>-13</v>
      </c>
      <c r="H37">
        <v>-13</v>
      </c>
      <c r="I37">
        <v>-5</v>
      </c>
      <c r="J37">
        <v>-12</v>
      </c>
      <c r="K37">
        <v>-13</v>
      </c>
      <c r="L37">
        <v>5</v>
      </c>
      <c r="M37">
        <v>12</v>
      </c>
      <c r="N37">
        <v>16</v>
      </c>
      <c r="O37">
        <v>30</v>
      </c>
      <c r="P37">
        <v>35</v>
      </c>
      <c r="Q37">
        <v>25</v>
      </c>
      <c r="R37">
        <v>24</v>
      </c>
      <c r="S37">
        <v>15</v>
      </c>
      <c r="T37">
        <v>1</v>
      </c>
      <c r="U37">
        <v>-22</v>
      </c>
      <c r="V37">
        <v>-40</v>
      </c>
      <c r="W37">
        <v>-27</v>
      </c>
      <c r="X37">
        <v>-15</v>
      </c>
      <c r="Y37">
        <v>-4</v>
      </c>
      <c r="Z37">
        <v>17</v>
      </c>
      <c r="AA37">
        <v>24</v>
      </c>
      <c r="AB37">
        <v>18</v>
      </c>
      <c r="AC37">
        <v>22</v>
      </c>
      <c r="AD37">
        <v>19</v>
      </c>
      <c r="AE37">
        <v>8</v>
      </c>
      <c r="AF37">
        <v>9</v>
      </c>
      <c r="AG37">
        <v>9</v>
      </c>
      <c r="AH37">
        <v>-4</v>
      </c>
      <c r="AI37">
        <v>14</v>
      </c>
      <c r="AJ37">
        <v>19</v>
      </c>
      <c r="AK37">
        <v>16</v>
      </c>
      <c r="AL37">
        <v>19</v>
      </c>
      <c r="AM37">
        <v>21</v>
      </c>
      <c r="AN37">
        <v>19</v>
      </c>
      <c r="AO37">
        <v>28</v>
      </c>
      <c r="AP37">
        <v>28</v>
      </c>
      <c r="AQ37">
        <v>23</v>
      </c>
      <c r="AR37">
        <v>26</v>
      </c>
      <c r="AS37">
        <v>26</v>
      </c>
      <c r="AT37">
        <v>25</v>
      </c>
      <c r="AU37">
        <v>37</v>
      </c>
      <c r="AV37">
        <v>40</v>
      </c>
      <c r="AW37">
        <v>34</v>
      </c>
      <c r="AX37">
        <v>38</v>
      </c>
      <c r="AY37">
        <v>32</v>
      </c>
      <c r="AZ37">
        <v>20</v>
      </c>
      <c r="BA37">
        <v>17</v>
      </c>
      <c r="BB37">
        <v>18</v>
      </c>
      <c r="BC37">
        <v>-41</v>
      </c>
      <c r="BD37">
        <v>-17</v>
      </c>
      <c r="BE37">
        <v>-13</v>
      </c>
      <c r="BF37">
        <v>-8</v>
      </c>
      <c r="BG37">
        <v>17</v>
      </c>
      <c r="BH37">
        <v>9</v>
      </c>
      <c r="BI37">
        <v>0</v>
      </c>
      <c r="BJ37">
        <v>8</v>
      </c>
      <c r="BK37">
        <v>7</v>
      </c>
      <c r="BL37">
        <v>4</v>
      </c>
      <c r="BM37">
        <v>-2</v>
      </c>
      <c r="BN37">
        <v>-10</v>
      </c>
      <c r="BO37">
        <v>-7</v>
      </c>
      <c r="BP37">
        <v>-6</v>
      </c>
      <c r="BQ37">
        <v>-6</v>
      </c>
      <c r="BR37">
        <v>-7</v>
      </c>
      <c r="BS37">
        <v>-6</v>
      </c>
      <c r="BT37">
        <v>-9</v>
      </c>
      <c r="BU37">
        <v>-15</v>
      </c>
      <c r="BV37">
        <v>-3</v>
      </c>
    </row>
    <row r="38" spans="1:74" x14ac:dyDescent="0.25">
      <c r="A38" t="s">
        <v>372</v>
      </c>
      <c r="B38" t="s">
        <v>141</v>
      </c>
      <c r="C38" t="s">
        <v>31</v>
      </c>
      <c r="D38">
        <v>3.0430000000000001</v>
      </c>
      <c r="E38">
        <v>-28</v>
      </c>
      <c r="F38">
        <v>-19</v>
      </c>
      <c r="G38">
        <v>-25</v>
      </c>
      <c r="H38">
        <v>-26</v>
      </c>
      <c r="I38">
        <v>-14</v>
      </c>
      <c r="J38">
        <v>-21</v>
      </c>
      <c r="K38">
        <v>-26</v>
      </c>
      <c r="L38">
        <v>-8</v>
      </c>
      <c r="M38">
        <v>3</v>
      </c>
      <c r="N38">
        <v>3</v>
      </c>
      <c r="O38">
        <v>20</v>
      </c>
      <c r="P38">
        <v>18</v>
      </c>
      <c r="Q38">
        <v>10</v>
      </c>
      <c r="R38">
        <v>13</v>
      </c>
      <c r="S38">
        <v>2</v>
      </c>
      <c r="T38">
        <v>-8</v>
      </c>
      <c r="U38">
        <v>-21</v>
      </c>
      <c r="V38">
        <v>-36</v>
      </c>
      <c r="W38">
        <v>-25</v>
      </c>
      <c r="X38">
        <v>-16</v>
      </c>
      <c r="Y38">
        <v>-9</v>
      </c>
      <c r="Z38">
        <v>8</v>
      </c>
      <c r="AA38">
        <v>19</v>
      </c>
      <c r="AB38">
        <v>8</v>
      </c>
      <c r="AC38">
        <v>18</v>
      </c>
      <c r="AD38">
        <v>15</v>
      </c>
      <c r="AE38">
        <v>3</v>
      </c>
      <c r="AF38">
        <v>6</v>
      </c>
      <c r="AG38">
        <v>7</v>
      </c>
      <c r="AH38">
        <v>-8</v>
      </c>
      <c r="AI38">
        <v>13</v>
      </c>
      <c r="AJ38">
        <v>18</v>
      </c>
      <c r="AK38">
        <v>12</v>
      </c>
      <c r="AL38">
        <v>16</v>
      </c>
      <c r="AM38">
        <v>19</v>
      </c>
      <c r="AN38">
        <v>15</v>
      </c>
      <c r="AO38">
        <v>27</v>
      </c>
      <c r="AP38">
        <v>28</v>
      </c>
      <c r="AQ38">
        <v>22</v>
      </c>
      <c r="AR38">
        <v>30</v>
      </c>
      <c r="AS38">
        <v>27</v>
      </c>
      <c r="AT38">
        <v>23</v>
      </c>
      <c r="AU38">
        <v>35</v>
      </c>
      <c r="AV38">
        <v>37</v>
      </c>
      <c r="AW38">
        <v>33</v>
      </c>
      <c r="AX38">
        <v>35</v>
      </c>
      <c r="AY38">
        <v>30</v>
      </c>
      <c r="AZ38">
        <v>19</v>
      </c>
      <c r="BA38">
        <v>21</v>
      </c>
      <c r="BB38">
        <v>23</v>
      </c>
      <c r="BC38">
        <v>-41</v>
      </c>
      <c r="BD38">
        <v>-20</v>
      </c>
      <c r="BE38">
        <v>-22</v>
      </c>
      <c r="BF38">
        <v>-16</v>
      </c>
      <c r="BG38">
        <v>12</v>
      </c>
      <c r="BH38">
        <v>-1</v>
      </c>
      <c r="BI38">
        <v>-9</v>
      </c>
      <c r="BJ38">
        <v>2</v>
      </c>
      <c r="BK38">
        <v>3</v>
      </c>
      <c r="BL38">
        <v>4</v>
      </c>
      <c r="BM38">
        <v>5</v>
      </c>
      <c r="BN38">
        <v>-4</v>
      </c>
      <c r="BO38">
        <v>-3</v>
      </c>
      <c r="BP38">
        <v>-3</v>
      </c>
      <c r="BQ38">
        <v>-3</v>
      </c>
      <c r="BR38">
        <v>-5</v>
      </c>
      <c r="BS38">
        <v>-4</v>
      </c>
      <c r="BT38">
        <v>-7</v>
      </c>
      <c r="BU38">
        <v>-15</v>
      </c>
      <c r="BV38">
        <v>-6</v>
      </c>
    </row>
    <row r="39" spans="1:74" x14ac:dyDescent="0.25">
      <c r="A39" t="s">
        <v>373</v>
      </c>
      <c r="B39" t="s">
        <v>142</v>
      </c>
      <c r="C39" t="s">
        <v>31</v>
      </c>
      <c r="D39">
        <v>12.414</v>
      </c>
      <c r="E39">
        <v>-8</v>
      </c>
      <c r="F39">
        <v>3</v>
      </c>
      <c r="G39">
        <v>-3</v>
      </c>
      <c r="H39">
        <v>2</v>
      </c>
      <c r="I39">
        <v>4</v>
      </c>
      <c r="J39">
        <v>-4</v>
      </c>
      <c r="K39">
        <v>1</v>
      </c>
      <c r="L39">
        <v>16</v>
      </c>
      <c r="M39">
        <v>19</v>
      </c>
      <c r="N39">
        <v>33</v>
      </c>
      <c r="O39">
        <v>43</v>
      </c>
      <c r="P39">
        <v>50</v>
      </c>
      <c r="Q39">
        <v>43</v>
      </c>
      <c r="R39">
        <v>37</v>
      </c>
      <c r="S39">
        <v>24</v>
      </c>
      <c r="T39">
        <v>10</v>
      </c>
      <c r="U39">
        <v>-26</v>
      </c>
      <c r="V39">
        <v>-46</v>
      </c>
      <c r="W39">
        <v>-31</v>
      </c>
      <c r="X39">
        <v>-13</v>
      </c>
      <c r="Y39">
        <v>2</v>
      </c>
      <c r="Z39">
        <v>30</v>
      </c>
      <c r="AA39">
        <v>36</v>
      </c>
      <c r="AB39">
        <v>32</v>
      </c>
      <c r="AC39">
        <v>35</v>
      </c>
      <c r="AD39">
        <v>28</v>
      </c>
      <c r="AE39">
        <v>19</v>
      </c>
      <c r="AF39">
        <v>15</v>
      </c>
      <c r="AG39">
        <v>13</v>
      </c>
      <c r="AH39">
        <v>3</v>
      </c>
      <c r="AI39">
        <v>17</v>
      </c>
      <c r="AJ39">
        <v>23</v>
      </c>
      <c r="AK39">
        <v>26</v>
      </c>
      <c r="AL39">
        <v>26</v>
      </c>
      <c r="AM39">
        <v>25</v>
      </c>
      <c r="AN39">
        <v>28</v>
      </c>
      <c r="AO39">
        <v>34</v>
      </c>
      <c r="AP39">
        <v>30</v>
      </c>
      <c r="AQ39">
        <v>29</v>
      </c>
      <c r="AR39">
        <v>24</v>
      </c>
      <c r="AS39">
        <v>28</v>
      </c>
      <c r="AT39">
        <v>27</v>
      </c>
      <c r="AU39">
        <v>42</v>
      </c>
      <c r="AV39">
        <v>47</v>
      </c>
      <c r="AW39">
        <v>36</v>
      </c>
      <c r="AX39">
        <v>43</v>
      </c>
      <c r="AY39">
        <v>35</v>
      </c>
      <c r="AZ39">
        <v>23</v>
      </c>
      <c r="BA39">
        <v>13</v>
      </c>
      <c r="BB39">
        <v>13</v>
      </c>
      <c r="BC39">
        <v>-39</v>
      </c>
      <c r="BD39">
        <v>-11</v>
      </c>
      <c r="BE39">
        <v>1</v>
      </c>
      <c r="BF39">
        <v>5</v>
      </c>
      <c r="BG39">
        <v>25</v>
      </c>
      <c r="BH39">
        <v>22</v>
      </c>
      <c r="BI39">
        <v>9</v>
      </c>
      <c r="BJ39">
        <v>16</v>
      </c>
      <c r="BK39">
        <v>11</v>
      </c>
      <c r="BL39">
        <v>3</v>
      </c>
      <c r="BM39">
        <v>-13</v>
      </c>
      <c r="BN39">
        <v>-18</v>
      </c>
      <c r="BO39">
        <v>-11</v>
      </c>
      <c r="BP39">
        <v>-10</v>
      </c>
      <c r="BQ39">
        <v>-9</v>
      </c>
      <c r="BR39">
        <v>-9</v>
      </c>
      <c r="BS39">
        <v>-10</v>
      </c>
      <c r="BT39">
        <v>-11</v>
      </c>
      <c r="BU39">
        <v>-15</v>
      </c>
      <c r="BV39">
        <v>-3</v>
      </c>
    </row>
    <row r="40" spans="1:74" x14ac:dyDescent="0.25">
      <c r="A40" t="s">
        <v>374</v>
      </c>
      <c r="B40" t="s">
        <v>143</v>
      </c>
      <c r="C40" t="s">
        <v>31</v>
      </c>
      <c r="D40">
        <v>8.5139999999999993</v>
      </c>
      <c r="E40">
        <v>-34</v>
      </c>
      <c r="F40">
        <v>-29</v>
      </c>
      <c r="G40">
        <v>-21</v>
      </c>
      <c r="H40">
        <v>-10</v>
      </c>
      <c r="I40">
        <v>-3</v>
      </c>
      <c r="J40">
        <v>-16</v>
      </c>
      <c r="K40">
        <v>0</v>
      </c>
      <c r="L40">
        <v>8</v>
      </c>
      <c r="M40">
        <v>2</v>
      </c>
      <c r="N40">
        <v>15</v>
      </c>
      <c r="O40">
        <v>27</v>
      </c>
      <c r="P40">
        <v>21</v>
      </c>
      <c r="Q40">
        <v>26</v>
      </c>
      <c r="R40">
        <v>17</v>
      </c>
      <c r="S40">
        <v>3</v>
      </c>
      <c r="T40">
        <v>9</v>
      </c>
      <c r="U40">
        <v>9</v>
      </c>
      <c r="V40">
        <v>-23</v>
      </c>
      <c r="W40">
        <v>-7</v>
      </c>
      <c r="X40">
        <v>-7</v>
      </c>
      <c r="Y40">
        <v>-5</v>
      </c>
      <c r="Z40">
        <v>21</v>
      </c>
      <c r="AA40">
        <v>25</v>
      </c>
      <c r="AB40">
        <v>21</v>
      </c>
      <c r="AC40">
        <v>32</v>
      </c>
      <c r="AD40">
        <v>35</v>
      </c>
      <c r="AE40">
        <v>22</v>
      </c>
      <c r="AF40">
        <v>36</v>
      </c>
      <c r="AG40">
        <v>30</v>
      </c>
      <c r="AH40">
        <v>14</v>
      </c>
      <c r="AI40">
        <v>29</v>
      </c>
      <c r="AJ40">
        <v>27</v>
      </c>
      <c r="AK40">
        <v>22</v>
      </c>
      <c r="AL40">
        <v>34</v>
      </c>
      <c r="AM40">
        <v>34</v>
      </c>
      <c r="AN40">
        <v>26</v>
      </c>
      <c r="AO40">
        <v>45</v>
      </c>
      <c r="AP40">
        <v>44</v>
      </c>
      <c r="AQ40">
        <v>35</v>
      </c>
      <c r="AR40">
        <v>46</v>
      </c>
      <c r="AS40">
        <v>42</v>
      </c>
      <c r="AT40">
        <v>32</v>
      </c>
      <c r="AU40">
        <v>45</v>
      </c>
      <c r="AV40">
        <v>40</v>
      </c>
      <c r="AW40">
        <v>32</v>
      </c>
      <c r="AX40">
        <v>46</v>
      </c>
      <c r="AY40">
        <v>42</v>
      </c>
      <c r="AZ40">
        <v>34</v>
      </c>
      <c r="BA40">
        <v>42</v>
      </c>
      <c r="BB40">
        <v>38</v>
      </c>
      <c r="BC40">
        <v>-91</v>
      </c>
      <c r="BD40">
        <v>-20</v>
      </c>
      <c r="BE40">
        <v>-86</v>
      </c>
      <c r="BF40">
        <v>-88</v>
      </c>
      <c r="BG40">
        <v>18</v>
      </c>
      <c r="BH40">
        <v>-67</v>
      </c>
      <c r="BI40">
        <v>-23</v>
      </c>
      <c r="BJ40">
        <v>18</v>
      </c>
      <c r="BK40">
        <v>3</v>
      </c>
      <c r="BL40">
        <v>10</v>
      </c>
      <c r="BM40">
        <v>22</v>
      </c>
      <c r="BN40">
        <v>-4</v>
      </c>
      <c r="BO40">
        <v>-3</v>
      </c>
      <c r="BP40">
        <v>4</v>
      </c>
      <c r="BQ40">
        <v>-8</v>
      </c>
      <c r="BR40">
        <v>-18</v>
      </c>
      <c r="BS40">
        <v>-2</v>
      </c>
      <c r="BT40">
        <v>-11</v>
      </c>
      <c r="BU40">
        <v>-17</v>
      </c>
      <c r="BV40">
        <v>6</v>
      </c>
    </row>
    <row r="41" spans="1:74" x14ac:dyDescent="0.25">
      <c r="A41" t="s">
        <v>375</v>
      </c>
      <c r="B41" t="s">
        <v>144</v>
      </c>
      <c r="C41" t="s">
        <v>31</v>
      </c>
      <c r="D41">
        <v>10.986000000000001</v>
      </c>
      <c r="E41">
        <v>-25</v>
      </c>
      <c r="F41">
        <v>-39</v>
      </c>
      <c r="G41">
        <v>-17</v>
      </c>
      <c r="H41">
        <v>-7</v>
      </c>
      <c r="I41">
        <v>-1</v>
      </c>
      <c r="J41">
        <v>-12</v>
      </c>
      <c r="K41">
        <v>3</v>
      </c>
      <c r="L41">
        <v>9</v>
      </c>
      <c r="M41">
        <v>10</v>
      </c>
      <c r="N41">
        <v>22</v>
      </c>
      <c r="O41">
        <v>33</v>
      </c>
      <c r="P41">
        <v>29</v>
      </c>
      <c r="Q41">
        <v>33</v>
      </c>
      <c r="R41">
        <v>21</v>
      </c>
      <c r="S41">
        <v>11</v>
      </c>
      <c r="T41">
        <v>17</v>
      </c>
      <c r="U41">
        <v>12</v>
      </c>
      <c r="V41">
        <v>-26</v>
      </c>
      <c r="W41">
        <v>-7</v>
      </c>
      <c r="X41">
        <v>-7</v>
      </c>
      <c r="Y41">
        <v>-2</v>
      </c>
      <c r="Z41">
        <v>29</v>
      </c>
      <c r="AA41">
        <v>27</v>
      </c>
      <c r="AB41">
        <v>23</v>
      </c>
      <c r="AC41">
        <v>35</v>
      </c>
      <c r="AD41">
        <v>37</v>
      </c>
      <c r="AE41">
        <v>24</v>
      </c>
      <c r="AF41">
        <v>38</v>
      </c>
      <c r="AG41">
        <v>32</v>
      </c>
      <c r="AH41">
        <v>17</v>
      </c>
      <c r="AI41">
        <v>34</v>
      </c>
      <c r="AJ41">
        <v>29</v>
      </c>
      <c r="AK41">
        <v>22</v>
      </c>
      <c r="AL41">
        <v>37</v>
      </c>
      <c r="AM41">
        <v>35</v>
      </c>
      <c r="AN41">
        <v>30</v>
      </c>
      <c r="AO41">
        <v>49</v>
      </c>
      <c r="AP41">
        <v>47</v>
      </c>
      <c r="AQ41">
        <v>41</v>
      </c>
      <c r="AR41">
        <v>52</v>
      </c>
      <c r="AS41">
        <v>47</v>
      </c>
      <c r="AT41">
        <v>37</v>
      </c>
      <c r="AU41">
        <v>51</v>
      </c>
      <c r="AV41">
        <v>42</v>
      </c>
      <c r="AW41">
        <v>35</v>
      </c>
      <c r="AX41">
        <v>50</v>
      </c>
      <c r="AY41">
        <v>45</v>
      </c>
      <c r="AZ41">
        <v>35</v>
      </c>
      <c r="BA41">
        <v>43</v>
      </c>
      <c r="BB41">
        <v>40</v>
      </c>
      <c r="BC41">
        <v>-92</v>
      </c>
      <c r="BD41">
        <v>-20</v>
      </c>
      <c r="BE41">
        <v>-88</v>
      </c>
      <c r="BF41">
        <v>-91</v>
      </c>
      <c r="BG41">
        <v>23</v>
      </c>
      <c r="BH41">
        <v>-69</v>
      </c>
      <c r="BI41">
        <v>-26</v>
      </c>
      <c r="BJ41">
        <v>25</v>
      </c>
      <c r="BK41">
        <v>1</v>
      </c>
      <c r="BL41">
        <v>8</v>
      </c>
      <c r="BM41">
        <v>26</v>
      </c>
      <c r="BN41">
        <v>-2</v>
      </c>
      <c r="BO41">
        <v>-4</v>
      </c>
      <c r="BP41">
        <v>7</v>
      </c>
      <c r="BQ41">
        <v>-8</v>
      </c>
      <c r="BR41">
        <v>-20</v>
      </c>
      <c r="BS41">
        <v>0</v>
      </c>
      <c r="BT41">
        <v>-11</v>
      </c>
      <c r="BU41">
        <v>-19</v>
      </c>
      <c r="BV41">
        <v>9</v>
      </c>
    </row>
    <row r="42" spans="1:74" x14ac:dyDescent="0.25">
      <c r="A42" t="s">
        <v>376</v>
      </c>
      <c r="B42" t="s">
        <v>145</v>
      </c>
      <c r="C42" t="s">
        <v>31</v>
      </c>
      <c r="D42">
        <v>4.3140000000000001</v>
      </c>
      <c r="E42">
        <v>-41</v>
      </c>
      <c r="F42">
        <v>-23</v>
      </c>
      <c r="G42">
        <v>-27</v>
      </c>
      <c r="H42">
        <v>-15</v>
      </c>
      <c r="I42">
        <v>-6</v>
      </c>
      <c r="J42">
        <v>-21</v>
      </c>
      <c r="K42">
        <v>-5</v>
      </c>
      <c r="L42">
        <v>7</v>
      </c>
      <c r="M42">
        <v>-8</v>
      </c>
      <c r="N42">
        <v>7</v>
      </c>
      <c r="O42">
        <v>20</v>
      </c>
      <c r="P42">
        <v>10</v>
      </c>
      <c r="Q42">
        <v>18</v>
      </c>
      <c r="R42">
        <v>12</v>
      </c>
      <c r="S42">
        <v>-9</v>
      </c>
      <c r="T42">
        <v>-2</v>
      </c>
      <c r="U42">
        <v>4</v>
      </c>
      <c r="V42">
        <v>-18</v>
      </c>
      <c r="W42">
        <v>-6</v>
      </c>
      <c r="X42">
        <v>-6</v>
      </c>
      <c r="Y42">
        <v>-10</v>
      </c>
      <c r="Z42">
        <v>8</v>
      </c>
      <c r="AA42">
        <v>19</v>
      </c>
      <c r="AB42">
        <v>14</v>
      </c>
      <c r="AC42">
        <v>26</v>
      </c>
      <c r="AD42">
        <v>28</v>
      </c>
      <c r="AE42">
        <v>17</v>
      </c>
      <c r="AF42">
        <v>30</v>
      </c>
      <c r="AG42">
        <v>25</v>
      </c>
      <c r="AH42">
        <v>9</v>
      </c>
      <c r="AI42">
        <v>20</v>
      </c>
      <c r="AJ42">
        <v>24</v>
      </c>
      <c r="AK42">
        <v>23</v>
      </c>
      <c r="AL42">
        <v>27</v>
      </c>
      <c r="AM42">
        <v>32</v>
      </c>
      <c r="AN42">
        <v>19</v>
      </c>
      <c r="AO42">
        <v>37</v>
      </c>
      <c r="AP42">
        <v>37</v>
      </c>
      <c r="AQ42">
        <v>25</v>
      </c>
      <c r="AR42">
        <v>33</v>
      </c>
      <c r="AS42">
        <v>32</v>
      </c>
      <c r="AT42">
        <v>24</v>
      </c>
      <c r="AU42">
        <v>33</v>
      </c>
      <c r="AV42">
        <v>36</v>
      </c>
      <c r="AW42">
        <v>26</v>
      </c>
      <c r="AX42">
        <v>39</v>
      </c>
      <c r="AY42">
        <v>35</v>
      </c>
      <c r="AZ42">
        <v>33</v>
      </c>
      <c r="BA42">
        <v>41</v>
      </c>
      <c r="BB42">
        <v>34</v>
      </c>
      <c r="BC42">
        <v>-88</v>
      </c>
      <c r="BD42">
        <v>-21</v>
      </c>
      <c r="BE42">
        <v>-84</v>
      </c>
      <c r="BF42">
        <v>-84</v>
      </c>
      <c r="BG42">
        <v>10</v>
      </c>
      <c r="BH42">
        <v>-63</v>
      </c>
      <c r="BI42">
        <v>-19</v>
      </c>
      <c r="BJ42">
        <v>6</v>
      </c>
      <c r="BK42">
        <v>6</v>
      </c>
      <c r="BL42">
        <v>12</v>
      </c>
      <c r="BM42">
        <v>16</v>
      </c>
      <c r="BN42">
        <v>-7</v>
      </c>
      <c r="BO42">
        <v>-1</v>
      </c>
      <c r="BP42">
        <v>-1</v>
      </c>
      <c r="BQ42">
        <v>-7</v>
      </c>
      <c r="BR42">
        <v>-14</v>
      </c>
      <c r="BS42">
        <v>-4</v>
      </c>
      <c r="BT42">
        <v>-10</v>
      </c>
      <c r="BU42">
        <v>-12</v>
      </c>
      <c r="BV42">
        <v>0</v>
      </c>
    </row>
    <row r="43" spans="1:74" x14ac:dyDescent="0.25">
      <c r="A43" t="s">
        <v>377</v>
      </c>
      <c r="B43" t="s">
        <v>146</v>
      </c>
      <c r="C43" t="s">
        <v>31</v>
      </c>
      <c r="D43">
        <v>4.9290000000000003</v>
      </c>
      <c r="E43">
        <v>-44</v>
      </c>
      <c r="F43">
        <v>-16</v>
      </c>
      <c r="G43">
        <v>-2</v>
      </c>
      <c r="H43">
        <v>-9</v>
      </c>
      <c r="I43">
        <v>11</v>
      </c>
      <c r="J43">
        <v>4</v>
      </c>
      <c r="K43">
        <v>6</v>
      </c>
      <c r="L43">
        <v>19</v>
      </c>
      <c r="M43">
        <v>15</v>
      </c>
      <c r="N43">
        <v>17</v>
      </c>
      <c r="O43">
        <v>28</v>
      </c>
      <c r="P43">
        <v>38</v>
      </c>
      <c r="Q43">
        <v>35</v>
      </c>
      <c r="R43">
        <v>33</v>
      </c>
      <c r="S43">
        <v>31</v>
      </c>
      <c r="T43">
        <v>16</v>
      </c>
      <c r="U43">
        <v>12</v>
      </c>
      <c r="V43">
        <v>-17</v>
      </c>
      <c r="W43">
        <v>-26</v>
      </c>
      <c r="X43">
        <v>-17</v>
      </c>
      <c r="Y43">
        <v>-6</v>
      </c>
      <c r="Z43">
        <v>15</v>
      </c>
      <c r="AA43">
        <v>21</v>
      </c>
      <c r="AB43">
        <v>13</v>
      </c>
      <c r="AC43">
        <v>22</v>
      </c>
      <c r="AD43">
        <v>14</v>
      </c>
      <c r="AE43">
        <v>11</v>
      </c>
      <c r="AF43">
        <v>12</v>
      </c>
      <c r="AG43">
        <v>14</v>
      </c>
      <c r="AH43">
        <v>0</v>
      </c>
      <c r="AI43">
        <v>8</v>
      </c>
      <c r="AJ43">
        <v>15</v>
      </c>
      <c r="AK43">
        <v>11</v>
      </c>
      <c r="AL43">
        <v>11</v>
      </c>
      <c r="AM43">
        <v>25</v>
      </c>
      <c r="AN43">
        <v>18</v>
      </c>
      <c r="AO43">
        <v>19</v>
      </c>
      <c r="AP43">
        <v>26</v>
      </c>
      <c r="AQ43">
        <v>25</v>
      </c>
      <c r="AR43">
        <v>22</v>
      </c>
      <c r="AS43">
        <v>14</v>
      </c>
      <c r="AT43">
        <v>29</v>
      </c>
      <c r="AU43">
        <v>18</v>
      </c>
      <c r="AV43">
        <v>22</v>
      </c>
      <c r="AW43">
        <v>16</v>
      </c>
      <c r="AX43">
        <v>11</v>
      </c>
      <c r="AY43">
        <v>14</v>
      </c>
      <c r="AZ43">
        <v>11</v>
      </c>
      <c r="BA43">
        <v>7</v>
      </c>
      <c r="BB43">
        <v>2</v>
      </c>
      <c r="BC43">
        <v>-65</v>
      </c>
      <c r="BD43">
        <v>-31</v>
      </c>
      <c r="BE43">
        <v>-23</v>
      </c>
      <c r="BF43">
        <v>-21</v>
      </c>
      <c r="BG43">
        <v>27</v>
      </c>
      <c r="BH43">
        <v>9</v>
      </c>
      <c r="BI43">
        <v>11</v>
      </c>
      <c r="BJ43">
        <v>-21</v>
      </c>
      <c r="BK43">
        <v>-8</v>
      </c>
      <c r="BL43">
        <v>-9</v>
      </c>
      <c r="BM43">
        <v>-8</v>
      </c>
      <c r="BN43">
        <v>-3</v>
      </c>
      <c r="BO43">
        <v>2</v>
      </c>
      <c r="BP43">
        <v>-8</v>
      </c>
      <c r="BQ43">
        <v>2</v>
      </c>
      <c r="BR43">
        <v>-13</v>
      </c>
      <c r="BS43">
        <v>-21</v>
      </c>
      <c r="BT43">
        <v>-24</v>
      </c>
      <c r="BU43">
        <v>-8</v>
      </c>
      <c r="BV43">
        <v>-17</v>
      </c>
    </row>
    <row r="44" spans="1:74" x14ac:dyDescent="0.25">
      <c r="A44" t="s">
        <v>378</v>
      </c>
      <c r="B44" t="s">
        <v>147</v>
      </c>
      <c r="C44" t="s">
        <v>31</v>
      </c>
      <c r="D44">
        <v>7.2</v>
      </c>
      <c r="E44">
        <v>-20</v>
      </c>
      <c r="F44">
        <v>-4</v>
      </c>
      <c r="G44">
        <v>-7</v>
      </c>
      <c r="H44">
        <v>9</v>
      </c>
      <c r="I44">
        <v>21</v>
      </c>
      <c r="J44">
        <v>0</v>
      </c>
      <c r="K44">
        <v>18</v>
      </c>
      <c r="L44">
        <v>21</v>
      </c>
      <c r="M44">
        <v>18</v>
      </c>
      <c r="N44">
        <v>14</v>
      </c>
      <c r="O44">
        <v>38</v>
      </c>
      <c r="P44">
        <v>16</v>
      </c>
      <c r="Q44">
        <v>19</v>
      </c>
      <c r="R44">
        <v>25</v>
      </c>
      <c r="S44">
        <v>30</v>
      </c>
      <c r="T44">
        <v>9</v>
      </c>
      <c r="U44">
        <v>20</v>
      </c>
      <c r="V44">
        <v>-9</v>
      </c>
      <c r="W44">
        <v>-4</v>
      </c>
      <c r="X44">
        <v>6</v>
      </c>
      <c r="Y44">
        <v>7</v>
      </c>
      <c r="Z44">
        <v>14</v>
      </c>
      <c r="AA44">
        <v>23</v>
      </c>
      <c r="AB44">
        <v>15</v>
      </c>
      <c r="AC44">
        <v>4</v>
      </c>
      <c r="AD44">
        <v>23</v>
      </c>
      <c r="AE44">
        <v>18</v>
      </c>
      <c r="AF44">
        <v>8</v>
      </c>
      <c r="AG44">
        <v>23</v>
      </c>
      <c r="AH44">
        <v>14</v>
      </c>
      <c r="AI44">
        <v>19</v>
      </c>
      <c r="AJ44">
        <v>26</v>
      </c>
      <c r="AK44">
        <v>10</v>
      </c>
      <c r="AL44">
        <v>26</v>
      </c>
      <c r="AM44">
        <v>22</v>
      </c>
      <c r="AN44">
        <v>28</v>
      </c>
      <c r="AO44">
        <v>29</v>
      </c>
      <c r="AP44">
        <v>30</v>
      </c>
      <c r="AQ44">
        <v>32</v>
      </c>
      <c r="AR44">
        <v>27</v>
      </c>
      <c r="AS44">
        <v>30</v>
      </c>
      <c r="AT44">
        <v>33</v>
      </c>
      <c r="AU44">
        <v>36</v>
      </c>
      <c r="AV44">
        <v>29</v>
      </c>
      <c r="AW44">
        <v>27</v>
      </c>
      <c r="AX44">
        <v>25</v>
      </c>
      <c r="AY44">
        <v>19</v>
      </c>
      <c r="AZ44">
        <v>10</v>
      </c>
      <c r="BA44">
        <v>14</v>
      </c>
      <c r="BB44">
        <v>20</v>
      </c>
      <c r="BC44">
        <v>-72</v>
      </c>
      <c r="BD44">
        <v>-38</v>
      </c>
      <c r="BE44">
        <v>-33</v>
      </c>
      <c r="BF44">
        <v>-40</v>
      </c>
      <c r="BG44">
        <v>-2</v>
      </c>
      <c r="BH44">
        <v>-7</v>
      </c>
      <c r="BI44">
        <v>-5</v>
      </c>
      <c r="BJ44">
        <v>-22</v>
      </c>
      <c r="BK44">
        <v>3</v>
      </c>
      <c r="BL44">
        <v>2</v>
      </c>
      <c r="BM44">
        <v>-4</v>
      </c>
      <c r="BN44">
        <v>-6</v>
      </c>
      <c r="BO44">
        <v>-9</v>
      </c>
      <c r="BP44">
        <v>-15</v>
      </c>
      <c r="BQ44">
        <v>-20</v>
      </c>
      <c r="BR44">
        <v>-19</v>
      </c>
      <c r="BS44">
        <v>-17</v>
      </c>
      <c r="BT44">
        <v>-13</v>
      </c>
      <c r="BU44">
        <v>-29</v>
      </c>
      <c r="BV44">
        <v>-11</v>
      </c>
    </row>
    <row r="45" spans="1:74" x14ac:dyDescent="0.25">
      <c r="A45" t="s">
        <v>379</v>
      </c>
      <c r="B45" t="s">
        <v>148</v>
      </c>
      <c r="C45" t="s">
        <v>31</v>
      </c>
      <c r="D45">
        <v>33.985999999999997</v>
      </c>
      <c r="E45">
        <v>-14</v>
      </c>
      <c r="F45">
        <v>6</v>
      </c>
      <c r="G45">
        <v>9</v>
      </c>
      <c r="H45">
        <v>6</v>
      </c>
      <c r="I45">
        <v>17</v>
      </c>
      <c r="J45">
        <v>14</v>
      </c>
      <c r="K45">
        <v>13</v>
      </c>
      <c r="L45">
        <v>29</v>
      </c>
      <c r="M45">
        <v>32</v>
      </c>
      <c r="N45">
        <v>29</v>
      </c>
      <c r="O45">
        <v>43</v>
      </c>
      <c r="P45">
        <v>47</v>
      </c>
      <c r="Q45">
        <v>50</v>
      </c>
      <c r="R45">
        <v>51</v>
      </c>
      <c r="S45">
        <v>49</v>
      </c>
      <c r="T45">
        <v>40</v>
      </c>
      <c r="U45">
        <v>28</v>
      </c>
      <c r="V45">
        <v>7</v>
      </c>
      <c r="W45">
        <v>5</v>
      </c>
      <c r="X45">
        <v>18</v>
      </c>
      <c r="Y45">
        <v>26</v>
      </c>
      <c r="Z45">
        <v>29</v>
      </c>
      <c r="AA45">
        <v>44</v>
      </c>
      <c r="AB45">
        <v>45</v>
      </c>
      <c r="AC45">
        <v>41</v>
      </c>
      <c r="AD45">
        <v>51</v>
      </c>
      <c r="AE45">
        <v>45</v>
      </c>
      <c r="AF45">
        <v>40</v>
      </c>
      <c r="AG45">
        <v>42</v>
      </c>
      <c r="AH45">
        <v>36</v>
      </c>
      <c r="AI45">
        <v>37</v>
      </c>
      <c r="AJ45">
        <v>48</v>
      </c>
      <c r="AK45">
        <v>46</v>
      </c>
      <c r="AL45">
        <v>41</v>
      </c>
      <c r="AM45">
        <v>46</v>
      </c>
      <c r="AN45">
        <v>44</v>
      </c>
      <c r="AO45">
        <v>48</v>
      </c>
      <c r="AP45">
        <v>51</v>
      </c>
      <c r="AQ45">
        <v>49</v>
      </c>
      <c r="AR45">
        <v>50</v>
      </c>
      <c r="AS45">
        <v>54</v>
      </c>
      <c r="AT45">
        <v>52</v>
      </c>
      <c r="AU45">
        <v>54</v>
      </c>
      <c r="AV45">
        <v>63</v>
      </c>
      <c r="AW45">
        <v>62</v>
      </c>
      <c r="AX45">
        <v>56</v>
      </c>
      <c r="AY45">
        <v>61</v>
      </c>
      <c r="AZ45">
        <v>53</v>
      </c>
      <c r="BA45">
        <v>47</v>
      </c>
      <c r="BB45">
        <v>54</v>
      </c>
      <c r="BC45">
        <v>-7</v>
      </c>
      <c r="BD45">
        <v>16</v>
      </c>
      <c r="BE45">
        <v>24</v>
      </c>
      <c r="BF45">
        <v>34</v>
      </c>
      <c r="BG45">
        <v>44</v>
      </c>
      <c r="BH45">
        <v>40</v>
      </c>
      <c r="BI45">
        <v>38</v>
      </c>
      <c r="BJ45">
        <v>27</v>
      </c>
      <c r="BK45">
        <v>38</v>
      </c>
      <c r="BL45">
        <v>44</v>
      </c>
      <c r="BM45">
        <v>26</v>
      </c>
      <c r="BN45">
        <v>32</v>
      </c>
      <c r="BO45">
        <v>28</v>
      </c>
      <c r="BP45">
        <v>18</v>
      </c>
      <c r="BQ45">
        <v>19</v>
      </c>
      <c r="BR45">
        <v>17</v>
      </c>
      <c r="BS45">
        <v>12</v>
      </c>
      <c r="BT45">
        <v>12</v>
      </c>
      <c r="BU45">
        <v>13</v>
      </c>
      <c r="BV45">
        <v>10</v>
      </c>
    </row>
    <row r="46" spans="1:74" x14ac:dyDescent="0.25">
      <c r="A46" t="s">
        <v>380</v>
      </c>
      <c r="B46" t="s">
        <v>149</v>
      </c>
      <c r="C46" t="s">
        <v>31</v>
      </c>
      <c r="D46">
        <v>35.6</v>
      </c>
      <c r="E46">
        <v>12</v>
      </c>
      <c r="F46">
        <v>9</v>
      </c>
      <c r="G46">
        <v>17</v>
      </c>
      <c r="H46">
        <v>14</v>
      </c>
      <c r="I46">
        <v>43</v>
      </c>
      <c r="J46">
        <v>37</v>
      </c>
      <c r="K46">
        <v>35</v>
      </c>
      <c r="L46">
        <v>34</v>
      </c>
      <c r="M46">
        <v>51</v>
      </c>
      <c r="N46">
        <v>40</v>
      </c>
      <c r="O46">
        <v>37</v>
      </c>
      <c r="P46">
        <v>49</v>
      </c>
      <c r="Q46">
        <v>54</v>
      </c>
      <c r="R46">
        <v>58</v>
      </c>
      <c r="S46">
        <v>52</v>
      </c>
      <c r="T46">
        <v>33</v>
      </c>
      <c r="U46">
        <v>26</v>
      </c>
      <c r="V46">
        <v>20</v>
      </c>
      <c r="W46">
        <v>8</v>
      </c>
      <c r="X46">
        <v>24</v>
      </c>
      <c r="Y46">
        <v>28</v>
      </c>
      <c r="Z46">
        <v>30</v>
      </c>
      <c r="AA46">
        <v>32</v>
      </c>
      <c r="AB46">
        <v>53</v>
      </c>
      <c r="AC46">
        <v>35</v>
      </c>
      <c r="AD46">
        <v>49</v>
      </c>
      <c r="AE46">
        <v>39</v>
      </c>
      <c r="AF46">
        <v>35</v>
      </c>
      <c r="AG46">
        <v>37</v>
      </c>
      <c r="AH46">
        <v>29</v>
      </c>
      <c r="AI46">
        <v>40</v>
      </c>
      <c r="AJ46">
        <v>52</v>
      </c>
      <c r="AK46">
        <v>49</v>
      </c>
      <c r="AL46">
        <v>49</v>
      </c>
      <c r="AM46">
        <v>47</v>
      </c>
      <c r="AN46">
        <v>40</v>
      </c>
      <c r="AO46">
        <v>40</v>
      </c>
      <c r="AP46">
        <v>55</v>
      </c>
      <c r="AQ46">
        <v>64</v>
      </c>
      <c r="AR46">
        <v>48</v>
      </c>
      <c r="AS46">
        <v>52</v>
      </c>
      <c r="AT46">
        <v>51</v>
      </c>
      <c r="AU46">
        <v>58</v>
      </c>
      <c r="AV46">
        <v>68</v>
      </c>
      <c r="AW46">
        <v>59</v>
      </c>
      <c r="AX46">
        <v>54</v>
      </c>
      <c r="AY46">
        <v>66</v>
      </c>
      <c r="AZ46">
        <v>60</v>
      </c>
      <c r="BA46">
        <v>27</v>
      </c>
      <c r="BB46">
        <v>45</v>
      </c>
      <c r="BC46">
        <v>-15</v>
      </c>
      <c r="BD46">
        <v>-6</v>
      </c>
      <c r="BE46">
        <v>17</v>
      </c>
      <c r="BF46">
        <v>25</v>
      </c>
      <c r="BG46">
        <v>25</v>
      </c>
      <c r="BH46">
        <v>42</v>
      </c>
      <c r="BI46">
        <v>40</v>
      </c>
      <c r="BJ46">
        <v>34</v>
      </c>
      <c r="BK46">
        <v>43</v>
      </c>
      <c r="BL46">
        <v>42</v>
      </c>
      <c r="BM46">
        <v>23</v>
      </c>
      <c r="BN46">
        <v>32</v>
      </c>
      <c r="BO46">
        <v>28</v>
      </c>
      <c r="BP46">
        <v>27</v>
      </c>
      <c r="BQ46">
        <v>27</v>
      </c>
      <c r="BR46">
        <v>23</v>
      </c>
      <c r="BS46">
        <v>5</v>
      </c>
      <c r="BT46">
        <v>21</v>
      </c>
      <c r="BU46">
        <v>21</v>
      </c>
      <c r="BV46">
        <v>-6</v>
      </c>
    </row>
    <row r="47" spans="1:74" x14ac:dyDescent="0.25">
      <c r="A47" t="s">
        <v>381</v>
      </c>
      <c r="B47" t="s">
        <v>150</v>
      </c>
      <c r="C47" t="s">
        <v>31</v>
      </c>
      <c r="D47">
        <v>32.228999999999999</v>
      </c>
      <c r="E47">
        <v>9</v>
      </c>
      <c r="F47">
        <v>22</v>
      </c>
      <c r="G47">
        <v>22</v>
      </c>
      <c r="H47">
        <v>19</v>
      </c>
      <c r="I47">
        <v>31</v>
      </c>
      <c r="J47">
        <v>14</v>
      </c>
      <c r="K47">
        <v>16</v>
      </c>
      <c r="L47">
        <v>26</v>
      </c>
      <c r="M47">
        <v>31</v>
      </c>
      <c r="N47">
        <v>26</v>
      </c>
      <c r="O47">
        <v>37</v>
      </c>
      <c r="P47">
        <v>35</v>
      </c>
      <c r="Q47">
        <v>27</v>
      </c>
      <c r="R47">
        <v>30</v>
      </c>
      <c r="S47">
        <v>20</v>
      </c>
      <c r="T47">
        <v>17</v>
      </c>
      <c r="U47">
        <v>15</v>
      </c>
      <c r="V47">
        <v>10</v>
      </c>
      <c r="W47">
        <v>21</v>
      </c>
      <c r="X47">
        <v>32</v>
      </c>
      <c r="Y47">
        <v>33</v>
      </c>
      <c r="Z47">
        <v>43</v>
      </c>
      <c r="AA47">
        <v>53</v>
      </c>
      <c r="AB47">
        <v>54</v>
      </c>
      <c r="AC47">
        <v>47</v>
      </c>
      <c r="AD47">
        <v>50</v>
      </c>
      <c r="AE47">
        <v>41</v>
      </c>
      <c r="AF47">
        <v>39</v>
      </c>
      <c r="AG47">
        <v>43</v>
      </c>
      <c r="AH47">
        <v>37</v>
      </c>
      <c r="AI47">
        <v>37</v>
      </c>
      <c r="AJ47">
        <v>43</v>
      </c>
      <c r="AK47">
        <v>43</v>
      </c>
      <c r="AL47">
        <v>40</v>
      </c>
      <c r="AM47">
        <v>45</v>
      </c>
      <c r="AN47">
        <v>41</v>
      </c>
      <c r="AO47">
        <v>39</v>
      </c>
      <c r="AP47">
        <v>44</v>
      </c>
      <c r="AQ47">
        <v>33</v>
      </c>
      <c r="AR47">
        <v>26</v>
      </c>
      <c r="AS47">
        <v>33</v>
      </c>
      <c r="AT47">
        <v>35</v>
      </c>
      <c r="AU47">
        <v>34</v>
      </c>
      <c r="AV47">
        <v>39</v>
      </c>
      <c r="AW47">
        <v>38</v>
      </c>
      <c r="AX47">
        <v>37</v>
      </c>
      <c r="AY47">
        <v>39</v>
      </c>
      <c r="AZ47">
        <v>35</v>
      </c>
      <c r="BA47">
        <v>29</v>
      </c>
      <c r="BB47">
        <v>35</v>
      </c>
      <c r="BC47">
        <v>-10</v>
      </c>
      <c r="BD47">
        <v>19</v>
      </c>
      <c r="BE47">
        <v>24</v>
      </c>
      <c r="BF47">
        <v>24</v>
      </c>
      <c r="BG47">
        <v>37</v>
      </c>
      <c r="BH47">
        <v>40</v>
      </c>
      <c r="BI47">
        <v>35</v>
      </c>
      <c r="BJ47">
        <v>15</v>
      </c>
      <c r="BK47">
        <v>28</v>
      </c>
      <c r="BL47">
        <v>34</v>
      </c>
      <c r="BM47">
        <v>31</v>
      </c>
      <c r="BN47">
        <v>39</v>
      </c>
      <c r="BO47">
        <v>34</v>
      </c>
      <c r="BP47">
        <v>35</v>
      </c>
      <c r="BQ47">
        <v>39</v>
      </c>
      <c r="BR47">
        <v>41</v>
      </c>
      <c r="BS47">
        <v>32</v>
      </c>
      <c r="BT47">
        <v>41</v>
      </c>
      <c r="BU47">
        <v>36</v>
      </c>
      <c r="BV47">
        <v>37</v>
      </c>
    </row>
    <row r="48" spans="1:74" x14ac:dyDescent="0.25">
      <c r="A48" t="s">
        <v>382</v>
      </c>
      <c r="B48" t="s">
        <v>151</v>
      </c>
      <c r="C48" t="s">
        <v>31</v>
      </c>
      <c r="D48">
        <v>32.856999999999999</v>
      </c>
      <c r="E48">
        <v>7</v>
      </c>
      <c r="F48">
        <v>16</v>
      </c>
      <c r="G48">
        <v>21</v>
      </c>
      <c r="H48">
        <v>14</v>
      </c>
      <c r="I48">
        <v>24</v>
      </c>
      <c r="J48">
        <v>20</v>
      </c>
      <c r="K48">
        <v>22</v>
      </c>
      <c r="L48">
        <v>30</v>
      </c>
      <c r="M48">
        <v>35</v>
      </c>
      <c r="N48">
        <v>28</v>
      </c>
      <c r="O48">
        <v>37</v>
      </c>
      <c r="P48">
        <v>33</v>
      </c>
      <c r="Q48">
        <v>24</v>
      </c>
      <c r="R48">
        <v>26</v>
      </c>
      <c r="S48">
        <v>16</v>
      </c>
      <c r="T48">
        <v>17</v>
      </c>
      <c r="U48">
        <v>13</v>
      </c>
      <c r="V48">
        <v>12</v>
      </c>
      <c r="W48">
        <v>29</v>
      </c>
      <c r="X48">
        <v>39</v>
      </c>
      <c r="Y48">
        <v>41</v>
      </c>
      <c r="Z48">
        <v>53</v>
      </c>
      <c r="AA48">
        <v>60</v>
      </c>
      <c r="AB48">
        <v>58</v>
      </c>
      <c r="AC48">
        <v>50</v>
      </c>
      <c r="AD48">
        <v>52</v>
      </c>
      <c r="AE48">
        <v>43</v>
      </c>
      <c r="AF48">
        <v>42</v>
      </c>
      <c r="AG48">
        <v>45</v>
      </c>
      <c r="AH48">
        <v>37</v>
      </c>
      <c r="AI48">
        <v>43</v>
      </c>
      <c r="AJ48">
        <v>49</v>
      </c>
      <c r="AK48">
        <v>45</v>
      </c>
      <c r="AL48">
        <v>40</v>
      </c>
      <c r="AM48">
        <v>44</v>
      </c>
      <c r="AN48">
        <v>42</v>
      </c>
      <c r="AO48">
        <v>40</v>
      </c>
      <c r="AP48">
        <v>44</v>
      </c>
      <c r="AQ48">
        <v>31</v>
      </c>
      <c r="AR48">
        <v>19</v>
      </c>
      <c r="AS48">
        <v>28</v>
      </c>
      <c r="AT48">
        <v>27</v>
      </c>
      <c r="AU48">
        <v>28</v>
      </c>
      <c r="AV48">
        <v>32</v>
      </c>
      <c r="AW48">
        <v>33</v>
      </c>
      <c r="AX48">
        <v>28</v>
      </c>
      <c r="AY48">
        <v>31</v>
      </c>
      <c r="AZ48">
        <v>26</v>
      </c>
      <c r="BA48">
        <v>17</v>
      </c>
      <c r="BB48">
        <v>27</v>
      </c>
      <c r="BC48">
        <v>-5</v>
      </c>
      <c r="BD48">
        <v>15</v>
      </c>
      <c r="BE48">
        <v>21</v>
      </c>
      <c r="BF48">
        <v>23</v>
      </c>
      <c r="BG48">
        <v>32</v>
      </c>
      <c r="BH48">
        <v>39</v>
      </c>
      <c r="BI48">
        <v>34</v>
      </c>
      <c r="BJ48">
        <v>16</v>
      </c>
      <c r="BK48">
        <v>26</v>
      </c>
      <c r="BL48">
        <v>38</v>
      </c>
      <c r="BM48">
        <v>38</v>
      </c>
      <c r="BN48">
        <v>45</v>
      </c>
      <c r="BO48">
        <v>40</v>
      </c>
      <c r="BP48">
        <v>41</v>
      </c>
      <c r="BQ48">
        <v>47</v>
      </c>
      <c r="BR48">
        <v>47</v>
      </c>
      <c r="BS48">
        <v>42</v>
      </c>
      <c r="BT48">
        <v>53</v>
      </c>
      <c r="BU48">
        <v>43</v>
      </c>
      <c r="BV48">
        <v>47</v>
      </c>
    </row>
    <row r="49" spans="1:74" x14ac:dyDescent="0.25">
      <c r="A49" t="s">
        <v>383</v>
      </c>
      <c r="B49" t="s">
        <v>152</v>
      </c>
      <c r="C49" t="s">
        <v>31</v>
      </c>
      <c r="D49">
        <v>37.843000000000004</v>
      </c>
      <c r="E49">
        <v>26</v>
      </c>
      <c r="F49">
        <v>48</v>
      </c>
      <c r="G49">
        <v>31</v>
      </c>
      <c r="H49">
        <v>39</v>
      </c>
      <c r="I49">
        <v>59</v>
      </c>
      <c r="J49">
        <v>7</v>
      </c>
      <c r="K49">
        <v>12</v>
      </c>
      <c r="L49">
        <v>22</v>
      </c>
      <c r="M49">
        <v>24</v>
      </c>
      <c r="N49">
        <v>24</v>
      </c>
      <c r="O49">
        <v>41</v>
      </c>
      <c r="P49">
        <v>45</v>
      </c>
      <c r="Q49">
        <v>43</v>
      </c>
      <c r="R49">
        <v>43</v>
      </c>
      <c r="S49">
        <v>37</v>
      </c>
      <c r="T49">
        <v>16</v>
      </c>
      <c r="U49">
        <v>25</v>
      </c>
      <c r="V49">
        <v>11</v>
      </c>
      <c r="W49">
        <v>27</v>
      </c>
      <c r="X49">
        <v>38</v>
      </c>
      <c r="Y49">
        <v>28</v>
      </c>
      <c r="Z49">
        <v>39</v>
      </c>
      <c r="AA49">
        <v>49</v>
      </c>
      <c r="AB49">
        <v>54</v>
      </c>
      <c r="AC49">
        <v>52</v>
      </c>
      <c r="AD49">
        <v>56</v>
      </c>
      <c r="AE49">
        <v>42</v>
      </c>
      <c r="AF49">
        <v>52</v>
      </c>
      <c r="AG49">
        <v>47</v>
      </c>
      <c r="AH49">
        <v>45</v>
      </c>
      <c r="AI49">
        <v>32</v>
      </c>
      <c r="AJ49">
        <v>32</v>
      </c>
      <c r="AK49">
        <v>39</v>
      </c>
      <c r="AL49">
        <v>41</v>
      </c>
      <c r="AM49">
        <v>49</v>
      </c>
      <c r="AN49">
        <v>27</v>
      </c>
      <c r="AO49">
        <v>28</v>
      </c>
      <c r="AP49">
        <v>44</v>
      </c>
      <c r="AQ49">
        <v>36</v>
      </c>
      <c r="AR49">
        <v>35</v>
      </c>
      <c r="AS49">
        <v>38</v>
      </c>
      <c r="AT49">
        <v>49</v>
      </c>
      <c r="AU49">
        <v>43</v>
      </c>
      <c r="AV49">
        <v>55</v>
      </c>
      <c r="AW49">
        <v>47</v>
      </c>
      <c r="AX49">
        <v>46</v>
      </c>
      <c r="AY49">
        <v>47</v>
      </c>
      <c r="AZ49">
        <v>40</v>
      </c>
      <c r="BA49">
        <v>45</v>
      </c>
      <c r="BB49">
        <v>52</v>
      </c>
      <c r="BC49">
        <v>-8</v>
      </c>
      <c r="BD49">
        <v>36</v>
      </c>
      <c r="BE49">
        <v>37</v>
      </c>
      <c r="BF49">
        <v>37</v>
      </c>
      <c r="BG49">
        <v>45</v>
      </c>
      <c r="BH49">
        <v>52</v>
      </c>
      <c r="BI49">
        <v>37</v>
      </c>
      <c r="BJ49">
        <v>11</v>
      </c>
      <c r="BK49">
        <v>31</v>
      </c>
      <c r="BL49">
        <v>39</v>
      </c>
      <c r="BM49">
        <v>34</v>
      </c>
      <c r="BN49">
        <v>39</v>
      </c>
      <c r="BO49">
        <v>26</v>
      </c>
      <c r="BP49">
        <v>32</v>
      </c>
      <c r="BQ49">
        <v>44</v>
      </c>
      <c r="BR49">
        <v>47</v>
      </c>
      <c r="BS49">
        <v>50</v>
      </c>
      <c r="BT49">
        <v>46</v>
      </c>
      <c r="BU49">
        <v>55</v>
      </c>
      <c r="BV49">
        <v>52</v>
      </c>
    </row>
    <row r="50" spans="1:74" x14ac:dyDescent="0.25">
      <c r="A50" t="s">
        <v>384</v>
      </c>
      <c r="B50" t="s">
        <v>153</v>
      </c>
      <c r="C50" t="s">
        <v>31</v>
      </c>
      <c r="D50">
        <v>30.856999999999999</v>
      </c>
      <c r="E50">
        <v>-7</v>
      </c>
      <c r="F50">
        <v>-3</v>
      </c>
      <c r="G50">
        <v>-6</v>
      </c>
      <c r="H50">
        <v>-7</v>
      </c>
      <c r="I50">
        <v>1</v>
      </c>
      <c r="J50">
        <v>5</v>
      </c>
      <c r="K50">
        <v>5</v>
      </c>
      <c r="L50">
        <v>16</v>
      </c>
      <c r="M50">
        <v>16</v>
      </c>
      <c r="N50">
        <v>18</v>
      </c>
      <c r="O50">
        <v>28</v>
      </c>
      <c r="P50">
        <v>29</v>
      </c>
      <c r="Q50">
        <v>25</v>
      </c>
      <c r="R50">
        <v>25</v>
      </c>
      <c r="S50">
        <v>22</v>
      </c>
      <c r="T50">
        <v>15</v>
      </c>
      <c r="U50">
        <v>18</v>
      </c>
      <c r="V50">
        <v>12</v>
      </c>
      <c r="W50">
        <v>17</v>
      </c>
      <c r="X50">
        <v>17</v>
      </c>
      <c r="Y50">
        <v>23</v>
      </c>
      <c r="Z50">
        <v>34</v>
      </c>
      <c r="AA50">
        <v>42</v>
      </c>
      <c r="AB50">
        <v>49</v>
      </c>
      <c r="AC50">
        <v>45</v>
      </c>
      <c r="AD50">
        <v>42</v>
      </c>
      <c r="AE50">
        <v>46</v>
      </c>
      <c r="AF50">
        <v>44</v>
      </c>
      <c r="AG50">
        <v>46</v>
      </c>
      <c r="AH50">
        <v>43</v>
      </c>
      <c r="AI50">
        <v>47</v>
      </c>
      <c r="AJ50">
        <v>49</v>
      </c>
      <c r="AK50">
        <v>50</v>
      </c>
      <c r="AL50">
        <v>50</v>
      </c>
      <c r="AM50">
        <v>53</v>
      </c>
      <c r="AN50">
        <v>52</v>
      </c>
      <c r="AO50">
        <v>54</v>
      </c>
      <c r="AP50">
        <v>57</v>
      </c>
      <c r="AQ50">
        <v>54</v>
      </c>
      <c r="AR50">
        <v>54</v>
      </c>
      <c r="AS50">
        <v>54</v>
      </c>
      <c r="AT50">
        <v>54</v>
      </c>
      <c r="AU50">
        <v>59</v>
      </c>
      <c r="AV50">
        <v>61</v>
      </c>
      <c r="AW50">
        <v>60</v>
      </c>
      <c r="AX50">
        <v>60</v>
      </c>
      <c r="AY50">
        <v>59</v>
      </c>
      <c r="AZ50">
        <v>60</v>
      </c>
      <c r="BA50">
        <v>55</v>
      </c>
      <c r="BB50">
        <v>54</v>
      </c>
      <c r="BC50">
        <v>4</v>
      </c>
      <c r="BD50">
        <v>31</v>
      </c>
      <c r="BE50">
        <v>28</v>
      </c>
      <c r="BF50">
        <v>29</v>
      </c>
      <c r="BG50">
        <v>45</v>
      </c>
      <c r="BH50">
        <v>42</v>
      </c>
      <c r="BI50">
        <v>32</v>
      </c>
      <c r="BJ50">
        <v>10</v>
      </c>
      <c r="BK50">
        <v>16</v>
      </c>
      <c r="BL50">
        <v>16</v>
      </c>
      <c r="BM50">
        <v>12</v>
      </c>
      <c r="BN50">
        <v>12</v>
      </c>
      <c r="BO50">
        <v>14</v>
      </c>
      <c r="BP50">
        <v>15</v>
      </c>
      <c r="BQ50">
        <v>19</v>
      </c>
      <c r="BR50">
        <v>20</v>
      </c>
      <c r="BS50">
        <v>19</v>
      </c>
      <c r="BT50">
        <v>17</v>
      </c>
      <c r="BU50">
        <v>10</v>
      </c>
      <c r="BV50">
        <v>13</v>
      </c>
    </row>
    <row r="51" spans="1:74" x14ac:dyDescent="0.25">
      <c r="A51" t="s">
        <v>385</v>
      </c>
      <c r="B51" t="s">
        <v>154</v>
      </c>
      <c r="C51" t="s">
        <v>31</v>
      </c>
      <c r="D51">
        <v>31.170999999999999</v>
      </c>
      <c r="E51">
        <v>19</v>
      </c>
      <c r="F51">
        <v>31</v>
      </c>
      <c r="G51">
        <v>33</v>
      </c>
      <c r="H51">
        <v>33</v>
      </c>
      <c r="I51">
        <v>14</v>
      </c>
      <c r="J51">
        <v>13</v>
      </c>
      <c r="K51">
        <v>9</v>
      </c>
      <c r="L51">
        <v>33</v>
      </c>
      <c r="M51">
        <v>24</v>
      </c>
      <c r="N51">
        <v>30</v>
      </c>
      <c r="O51">
        <v>43</v>
      </c>
      <c r="P51">
        <v>42</v>
      </c>
      <c r="Q51">
        <v>52</v>
      </c>
      <c r="R51">
        <v>57</v>
      </c>
      <c r="S51">
        <v>42</v>
      </c>
      <c r="T51">
        <v>26</v>
      </c>
      <c r="U51">
        <v>31</v>
      </c>
      <c r="V51">
        <v>-3</v>
      </c>
      <c r="W51">
        <v>0</v>
      </c>
      <c r="X51">
        <v>20</v>
      </c>
      <c r="Y51">
        <v>35</v>
      </c>
      <c r="Z51">
        <v>36</v>
      </c>
      <c r="AA51">
        <v>43</v>
      </c>
      <c r="AB51">
        <v>46</v>
      </c>
      <c r="AC51">
        <v>41</v>
      </c>
      <c r="AD51">
        <v>47</v>
      </c>
      <c r="AE51">
        <v>48</v>
      </c>
      <c r="AF51">
        <v>37</v>
      </c>
      <c r="AG51">
        <v>41</v>
      </c>
      <c r="AH51">
        <v>31</v>
      </c>
      <c r="AI51">
        <v>41</v>
      </c>
      <c r="AJ51">
        <v>44</v>
      </c>
      <c r="AK51">
        <v>55</v>
      </c>
      <c r="AL51">
        <v>36</v>
      </c>
      <c r="AM51">
        <v>46</v>
      </c>
      <c r="AN51">
        <v>30</v>
      </c>
      <c r="AO51">
        <v>40</v>
      </c>
      <c r="AP51">
        <v>37</v>
      </c>
      <c r="AQ51">
        <v>35</v>
      </c>
      <c r="AR51">
        <v>33</v>
      </c>
      <c r="AS51">
        <v>43</v>
      </c>
      <c r="AT51">
        <v>39</v>
      </c>
      <c r="AU51">
        <v>42</v>
      </c>
      <c r="AV51">
        <v>57</v>
      </c>
      <c r="AW51">
        <v>51</v>
      </c>
      <c r="AX51">
        <v>54</v>
      </c>
      <c r="AY51">
        <v>60</v>
      </c>
      <c r="AZ51">
        <v>57</v>
      </c>
      <c r="BA51">
        <v>40</v>
      </c>
      <c r="BB51">
        <v>44</v>
      </c>
      <c r="BC51">
        <v>-14</v>
      </c>
      <c r="BD51">
        <v>2</v>
      </c>
      <c r="BE51">
        <v>16</v>
      </c>
      <c r="BF51">
        <v>12</v>
      </c>
      <c r="BG51">
        <v>34</v>
      </c>
      <c r="BH51">
        <v>37</v>
      </c>
      <c r="BI51">
        <v>24</v>
      </c>
      <c r="BJ51">
        <v>18</v>
      </c>
      <c r="BK51">
        <v>22</v>
      </c>
      <c r="BL51">
        <v>29</v>
      </c>
      <c r="BM51">
        <v>23</v>
      </c>
      <c r="BN51">
        <v>11</v>
      </c>
      <c r="BO51">
        <v>13</v>
      </c>
      <c r="BP51">
        <v>2</v>
      </c>
      <c r="BQ51">
        <v>10</v>
      </c>
      <c r="BR51">
        <v>23</v>
      </c>
      <c r="BS51">
        <v>25</v>
      </c>
      <c r="BT51">
        <v>21</v>
      </c>
      <c r="BU51">
        <v>18</v>
      </c>
      <c r="BV51">
        <v>18</v>
      </c>
    </row>
    <row r="52" spans="1:74" x14ac:dyDescent="0.25">
      <c r="A52" t="s">
        <v>386</v>
      </c>
      <c r="B52" t="s">
        <v>155</v>
      </c>
      <c r="C52" t="s">
        <v>31</v>
      </c>
      <c r="D52">
        <v>15.257</v>
      </c>
      <c r="E52">
        <v>-9</v>
      </c>
      <c r="F52">
        <v>5</v>
      </c>
      <c r="G52">
        <v>8</v>
      </c>
      <c r="H52">
        <v>0</v>
      </c>
      <c r="I52">
        <v>15</v>
      </c>
      <c r="J52">
        <v>2</v>
      </c>
      <c r="K52">
        <v>10</v>
      </c>
      <c r="L52">
        <v>27</v>
      </c>
      <c r="M52">
        <v>32</v>
      </c>
      <c r="N52">
        <v>24</v>
      </c>
      <c r="O52">
        <v>38</v>
      </c>
      <c r="P52">
        <v>39</v>
      </c>
      <c r="Q52">
        <v>38</v>
      </c>
      <c r="R52">
        <v>39</v>
      </c>
      <c r="S52">
        <v>31</v>
      </c>
      <c r="T52">
        <v>23</v>
      </c>
      <c r="U52">
        <v>15</v>
      </c>
      <c r="V52">
        <v>-4</v>
      </c>
      <c r="W52">
        <v>-7</v>
      </c>
      <c r="X52">
        <v>8</v>
      </c>
      <c r="Y52">
        <v>8</v>
      </c>
      <c r="Z52">
        <v>17</v>
      </c>
      <c r="AA52">
        <v>27</v>
      </c>
      <c r="AB52">
        <v>24</v>
      </c>
      <c r="AC52">
        <v>30</v>
      </c>
      <c r="AD52">
        <v>35</v>
      </c>
      <c r="AE52">
        <v>32</v>
      </c>
      <c r="AF52">
        <v>25</v>
      </c>
      <c r="AG52">
        <v>32</v>
      </c>
      <c r="AH52">
        <v>22</v>
      </c>
      <c r="AI52">
        <v>19</v>
      </c>
      <c r="AJ52">
        <v>34</v>
      </c>
      <c r="AK52">
        <v>24</v>
      </c>
      <c r="AL52">
        <v>26</v>
      </c>
      <c r="AM52">
        <v>27</v>
      </c>
      <c r="AN52">
        <v>27</v>
      </c>
      <c r="AO52">
        <v>35</v>
      </c>
      <c r="AP52">
        <v>34</v>
      </c>
      <c r="AQ52">
        <v>29</v>
      </c>
      <c r="AR52">
        <v>30</v>
      </c>
      <c r="AS52">
        <v>26</v>
      </c>
      <c r="AT52">
        <v>31</v>
      </c>
      <c r="AU52">
        <v>30</v>
      </c>
      <c r="AV52">
        <v>39</v>
      </c>
      <c r="AW52">
        <v>30</v>
      </c>
      <c r="AX52">
        <v>32</v>
      </c>
      <c r="AY52">
        <v>32</v>
      </c>
      <c r="AZ52">
        <v>22</v>
      </c>
      <c r="BA52">
        <v>21</v>
      </c>
      <c r="BB52">
        <v>22</v>
      </c>
      <c r="BC52">
        <v>-58</v>
      </c>
      <c r="BD52">
        <v>-34</v>
      </c>
      <c r="BE52">
        <v>-25</v>
      </c>
      <c r="BF52">
        <v>-26</v>
      </c>
      <c r="BG52">
        <v>0</v>
      </c>
      <c r="BH52">
        <v>7</v>
      </c>
      <c r="BI52">
        <v>13</v>
      </c>
      <c r="BJ52">
        <v>7</v>
      </c>
      <c r="BK52">
        <v>18</v>
      </c>
      <c r="BL52">
        <v>15</v>
      </c>
      <c r="BM52">
        <v>6</v>
      </c>
      <c r="BN52">
        <v>8</v>
      </c>
      <c r="BO52">
        <v>10</v>
      </c>
      <c r="BP52">
        <v>3</v>
      </c>
      <c r="BQ52">
        <v>3</v>
      </c>
      <c r="BR52">
        <v>1</v>
      </c>
      <c r="BS52">
        <v>-11</v>
      </c>
      <c r="BT52">
        <v>-2</v>
      </c>
      <c r="BU52">
        <v>-10</v>
      </c>
      <c r="BV52">
        <v>-13</v>
      </c>
    </row>
    <row r="53" spans="1:74" x14ac:dyDescent="0.25">
      <c r="A53" t="s">
        <v>387</v>
      </c>
      <c r="B53" t="s">
        <v>156</v>
      </c>
      <c r="C53" t="s">
        <v>31</v>
      </c>
      <c r="D53">
        <v>18</v>
      </c>
      <c r="E53">
        <v>-16</v>
      </c>
      <c r="F53">
        <v>-13</v>
      </c>
      <c r="G53">
        <v>-3</v>
      </c>
      <c r="H53">
        <v>-3</v>
      </c>
      <c r="I53">
        <v>-10</v>
      </c>
      <c r="J53">
        <v>-4</v>
      </c>
      <c r="K53">
        <v>3</v>
      </c>
      <c r="L53">
        <v>11</v>
      </c>
      <c r="M53">
        <v>20</v>
      </c>
      <c r="N53">
        <v>21</v>
      </c>
      <c r="O53">
        <v>33</v>
      </c>
      <c r="P53">
        <v>43</v>
      </c>
      <c r="Q53">
        <v>34</v>
      </c>
      <c r="R53">
        <v>42</v>
      </c>
      <c r="S53">
        <v>22</v>
      </c>
      <c r="T53">
        <v>22</v>
      </c>
      <c r="U53">
        <v>15</v>
      </c>
      <c r="V53">
        <v>-8</v>
      </c>
      <c r="W53">
        <v>-2</v>
      </c>
      <c r="X53">
        <v>-3</v>
      </c>
      <c r="Y53">
        <v>12</v>
      </c>
      <c r="Z53">
        <v>26</v>
      </c>
      <c r="AA53">
        <v>25</v>
      </c>
      <c r="AB53">
        <v>35</v>
      </c>
      <c r="AC53">
        <v>35</v>
      </c>
      <c r="AD53">
        <v>47</v>
      </c>
      <c r="AE53">
        <v>34</v>
      </c>
      <c r="AF53">
        <v>30</v>
      </c>
      <c r="AG53">
        <v>40</v>
      </c>
      <c r="AH53">
        <v>26</v>
      </c>
      <c r="AI53">
        <v>40</v>
      </c>
      <c r="AJ53">
        <v>38</v>
      </c>
      <c r="AK53">
        <v>27</v>
      </c>
      <c r="AL53">
        <v>30</v>
      </c>
      <c r="AM53">
        <v>31</v>
      </c>
      <c r="AN53">
        <v>31</v>
      </c>
      <c r="AO53">
        <v>35</v>
      </c>
      <c r="AP53">
        <v>39</v>
      </c>
      <c r="AQ53">
        <v>24</v>
      </c>
      <c r="AR53">
        <v>41</v>
      </c>
      <c r="AS53">
        <v>46</v>
      </c>
      <c r="AT53">
        <v>38</v>
      </c>
      <c r="AU53">
        <v>49</v>
      </c>
      <c r="AV53">
        <v>47</v>
      </c>
      <c r="AW53">
        <v>45</v>
      </c>
      <c r="AX53">
        <v>44</v>
      </c>
      <c r="AY53">
        <v>45</v>
      </c>
      <c r="AZ53">
        <v>41</v>
      </c>
      <c r="BA53">
        <v>36</v>
      </c>
      <c r="BB53">
        <v>42</v>
      </c>
      <c r="BC53">
        <v>-44</v>
      </c>
      <c r="BD53">
        <v>-23</v>
      </c>
      <c r="BE53">
        <v>-26</v>
      </c>
      <c r="BF53">
        <v>-7</v>
      </c>
      <c r="BG53">
        <v>20</v>
      </c>
      <c r="BH53">
        <v>10</v>
      </c>
      <c r="BI53">
        <v>17</v>
      </c>
      <c r="BJ53">
        <v>11</v>
      </c>
      <c r="BK53">
        <v>14</v>
      </c>
      <c r="BL53">
        <v>20</v>
      </c>
      <c r="BM53">
        <v>13</v>
      </c>
      <c r="BN53">
        <v>6</v>
      </c>
      <c r="BO53">
        <v>-4</v>
      </c>
      <c r="BP53">
        <v>-2</v>
      </c>
      <c r="BQ53">
        <v>-8</v>
      </c>
      <c r="BR53">
        <v>-5</v>
      </c>
      <c r="BS53">
        <v>3</v>
      </c>
      <c r="BT53">
        <v>-8</v>
      </c>
      <c r="BU53">
        <v>-7</v>
      </c>
      <c r="BV53">
        <v>-3</v>
      </c>
    </row>
    <row r="54" spans="1:74" x14ac:dyDescent="0.25">
      <c r="A54" t="s">
        <v>388</v>
      </c>
      <c r="B54" t="s">
        <v>157</v>
      </c>
      <c r="C54" t="s">
        <v>31</v>
      </c>
      <c r="D54">
        <v>14.670999999999999</v>
      </c>
      <c r="E54">
        <v>-6</v>
      </c>
      <c r="F54">
        <v>-7</v>
      </c>
      <c r="G54">
        <v>-16</v>
      </c>
      <c r="H54">
        <v>16</v>
      </c>
      <c r="I54">
        <v>25</v>
      </c>
      <c r="J54">
        <v>1</v>
      </c>
      <c r="K54">
        <v>23</v>
      </c>
      <c r="L54">
        <v>34</v>
      </c>
      <c r="M54">
        <v>40</v>
      </c>
      <c r="N54">
        <v>68</v>
      </c>
      <c r="O54">
        <v>68</v>
      </c>
      <c r="P54">
        <v>68</v>
      </c>
      <c r="Q54">
        <v>63</v>
      </c>
      <c r="R54">
        <v>58</v>
      </c>
      <c r="S54">
        <v>52</v>
      </c>
      <c r="T54">
        <v>32</v>
      </c>
      <c r="U54">
        <v>-11</v>
      </c>
      <c r="V54">
        <v>-46</v>
      </c>
      <c r="W54">
        <v>-24</v>
      </c>
      <c r="X54">
        <v>-15</v>
      </c>
      <c r="Y54">
        <v>8</v>
      </c>
      <c r="Z54">
        <v>51</v>
      </c>
      <c r="AA54">
        <v>56</v>
      </c>
      <c r="AB54">
        <v>52</v>
      </c>
      <c r="AC54">
        <v>61</v>
      </c>
      <c r="AD54">
        <v>52</v>
      </c>
      <c r="AE54">
        <v>29</v>
      </c>
      <c r="AF54">
        <v>24</v>
      </c>
      <c r="AG54">
        <v>6</v>
      </c>
      <c r="AH54">
        <v>-3</v>
      </c>
      <c r="AI54">
        <v>27</v>
      </c>
      <c r="AJ54">
        <v>26</v>
      </c>
      <c r="AK54">
        <v>21</v>
      </c>
      <c r="AL54">
        <v>27</v>
      </c>
      <c r="AM54">
        <v>24</v>
      </c>
      <c r="AN54">
        <v>21</v>
      </c>
      <c r="AO54">
        <v>35</v>
      </c>
      <c r="AP54">
        <v>35</v>
      </c>
      <c r="AQ54">
        <v>27</v>
      </c>
      <c r="AR54">
        <v>33</v>
      </c>
      <c r="AS54">
        <v>37</v>
      </c>
      <c r="AT54">
        <v>30</v>
      </c>
      <c r="AU54">
        <v>43</v>
      </c>
      <c r="AV54">
        <v>36</v>
      </c>
      <c r="AW54">
        <v>39</v>
      </c>
      <c r="AX54">
        <v>29</v>
      </c>
      <c r="AY54">
        <v>22</v>
      </c>
      <c r="AZ54">
        <v>13</v>
      </c>
      <c r="BA54">
        <v>-6</v>
      </c>
      <c r="BB54">
        <v>-7</v>
      </c>
      <c r="BC54">
        <v>-57</v>
      </c>
      <c r="BD54">
        <v>-39</v>
      </c>
      <c r="BE54">
        <v>-27</v>
      </c>
      <c r="BF54">
        <v>-4</v>
      </c>
      <c r="BG54">
        <v>32</v>
      </c>
      <c r="BH54">
        <v>22</v>
      </c>
      <c r="BI54">
        <v>28</v>
      </c>
      <c r="BJ54">
        <v>1</v>
      </c>
      <c r="BK54">
        <v>11</v>
      </c>
      <c r="BL54">
        <v>10</v>
      </c>
      <c r="BM54">
        <v>-6</v>
      </c>
      <c r="BN54">
        <v>-20</v>
      </c>
      <c r="BO54">
        <v>-27</v>
      </c>
      <c r="BP54">
        <v>-32</v>
      </c>
      <c r="BQ54">
        <v>-33</v>
      </c>
      <c r="BR54">
        <v>-23</v>
      </c>
      <c r="BS54">
        <v>-25</v>
      </c>
      <c r="BT54">
        <v>-23</v>
      </c>
      <c r="BU54">
        <v>-25</v>
      </c>
      <c r="BV54">
        <v>-7</v>
      </c>
    </row>
    <row r="55" spans="1:74" x14ac:dyDescent="0.25">
      <c r="A55" t="s">
        <v>389</v>
      </c>
      <c r="B55" t="s">
        <v>158</v>
      </c>
      <c r="C55" t="s">
        <v>31</v>
      </c>
      <c r="D55">
        <v>7.343</v>
      </c>
      <c r="E55">
        <v>-35</v>
      </c>
      <c r="F55">
        <v>-27</v>
      </c>
      <c r="G55">
        <v>-4</v>
      </c>
      <c r="H55">
        <v>-7</v>
      </c>
      <c r="I55">
        <v>-1</v>
      </c>
      <c r="J55">
        <v>-2</v>
      </c>
      <c r="K55">
        <v>-4</v>
      </c>
      <c r="L55">
        <v>0</v>
      </c>
      <c r="M55">
        <v>6</v>
      </c>
      <c r="N55">
        <v>0</v>
      </c>
      <c r="O55">
        <v>7</v>
      </c>
      <c r="P55">
        <v>10</v>
      </c>
      <c r="Q55">
        <v>13</v>
      </c>
      <c r="R55">
        <v>18</v>
      </c>
      <c r="S55">
        <v>14</v>
      </c>
      <c r="T55">
        <v>8</v>
      </c>
      <c r="U55">
        <v>-7</v>
      </c>
      <c r="V55">
        <v>-26</v>
      </c>
      <c r="W55">
        <v>-28</v>
      </c>
      <c r="X55">
        <v>-13</v>
      </c>
      <c r="Y55">
        <v>-2</v>
      </c>
      <c r="Z55">
        <v>17</v>
      </c>
      <c r="AA55">
        <v>22</v>
      </c>
      <c r="AB55">
        <v>25</v>
      </c>
      <c r="AC55">
        <v>32</v>
      </c>
      <c r="AD55">
        <v>34</v>
      </c>
      <c r="AE55">
        <v>28</v>
      </c>
      <c r="AF55">
        <v>40</v>
      </c>
      <c r="AG55">
        <v>34</v>
      </c>
      <c r="AH55">
        <v>29</v>
      </c>
      <c r="AI55">
        <v>29</v>
      </c>
      <c r="AJ55">
        <v>28</v>
      </c>
      <c r="AK55">
        <v>36</v>
      </c>
      <c r="AL55">
        <v>32</v>
      </c>
      <c r="AM55">
        <v>31</v>
      </c>
      <c r="AN55">
        <v>29</v>
      </c>
      <c r="AO55">
        <v>36</v>
      </c>
      <c r="AP55">
        <v>32</v>
      </c>
      <c r="AQ55">
        <v>19</v>
      </c>
      <c r="AR55">
        <v>26</v>
      </c>
      <c r="AS55">
        <v>26</v>
      </c>
      <c r="AT55">
        <v>35</v>
      </c>
      <c r="AU55">
        <v>39</v>
      </c>
      <c r="AV55">
        <v>42</v>
      </c>
      <c r="AW55">
        <v>43</v>
      </c>
      <c r="AX55">
        <v>44</v>
      </c>
      <c r="AY55">
        <v>33</v>
      </c>
      <c r="AZ55">
        <v>15</v>
      </c>
      <c r="BA55">
        <v>27</v>
      </c>
      <c r="BB55">
        <v>24</v>
      </c>
      <c r="BC55">
        <v>-98</v>
      </c>
      <c r="BD55">
        <v>-91</v>
      </c>
      <c r="BE55">
        <v>-93</v>
      </c>
      <c r="BF55">
        <v>-92</v>
      </c>
      <c r="BG55">
        <v>-66</v>
      </c>
      <c r="BH55">
        <v>-72</v>
      </c>
      <c r="BI55">
        <v>-27</v>
      </c>
      <c r="BJ55">
        <v>-3</v>
      </c>
      <c r="BK55">
        <v>15</v>
      </c>
      <c r="BL55">
        <v>36</v>
      </c>
      <c r="BM55">
        <v>36</v>
      </c>
      <c r="BN55">
        <v>36</v>
      </c>
      <c r="BO55">
        <v>33</v>
      </c>
      <c r="BP55">
        <v>31</v>
      </c>
      <c r="BQ55">
        <v>27</v>
      </c>
      <c r="BR55">
        <v>19</v>
      </c>
      <c r="BS55">
        <v>23</v>
      </c>
      <c r="BT55">
        <v>20</v>
      </c>
      <c r="BU55">
        <v>-22</v>
      </c>
      <c r="BV55">
        <v>-5</v>
      </c>
    </row>
    <row r="56" spans="1:74" x14ac:dyDescent="0.25">
      <c r="A56" t="s">
        <v>390</v>
      </c>
      <c r="B56" t="s">
        <v>159</v>
      </c>
      <c r="C56" t="s">
        <v>31</v>
      </c>
      <c r="D56">
        <v>42.070999999999998</v>
      </c>
      <c r="E56">
        <v>-1</v>
      </c>
      <c r="F56">
        <v>-2</v>
      </c>
      <c r="G56">
        <v>-1</v>
      </c>
      <c r="H56">
        <v>3</v>
      </c>
      <c r="I56">
        <v>16</v>
      </c>
      <c r="J56">
        <v>-2</v>
      </c>
      <c r="K56">
        <v>7</v>
      </c>
      <c r="L56">
        <v>20</v>
      </c>
      <c r="M56">
        <v>14</v>
      </c>
      <c r="N56">
        <v>24</v>
      </c>
      <c r="O56">
        <v>38</v>
      </c>
      <c r="P56">
        <v>36</v>
      </c>
      <c r="Q56">
        <v>37</v>
      </c>
      <c r="R56">
        <v>46</v>
      </c>
      <c r="S56">
        <v>37</v>
      </c>
      <c r="T56">
        <v>28</v>
      </c>
      <c r="U56">
        <v>17</v>
      </c>
      <c r="V56">
        <v>-2</v>
      </c>
      <c r="W56">
        <v>10</v>
      </c>
      <c r="X56">
        <v>18</v>
      </c>
      <c r="Y56">
        <v>28</v>
      </c>
      <c r="Z56">
        <v>34</v>
      </c>
      <c r="AA56">
        <v>38</v>
      </c>
      <c r="AB56">
        <v>45</v>
      </c>
      <c r="AC56">
        <v>43</v>
      </c>
      <c r="AD56">
        <v>51</v>
      </c>
      <c r="AE56">
        <v>47</v>
      </c>
      <c r="AF56">
        <v>46</v>
      </c>
      <c r="AG56">
        <v>42</v>
      </c>
      <c r="AH56">
        <v>42</v>
      </c>
      <c r="AI56">
        <v>40</v>
      </c>
      <c r="AJ56">
        <v>57</v>
      </c>
      <c r="AK56">
        <v>52</v>
      </c>
      <c r="AL56">
        <v>56</v>
      </c>
      <c r="AM56">
        <v>59</v>
      </c>
      <c r="AN56">
        <v>65</v>
      </c>
      <c r="AO56">
        <v>60</v>
      </c>
      <c r="AP56">
        <v>59</v>
      </c>
      <c r="AQ56">
        <v>61</v>
      </c>
      <c r="AR56">
        <v>60</v>
      </c>
      <c r="AS56">
        <v>57</v>
      </c>
      <c r="AT56">
        <v>55</v>
      </c>
      <c r="AU56">
        <v>61</v>
      </c>
      <c r="AV56">
        <v>60</v>
      </c>
      <c r="AW56">
        <v>61</v>
      </c>
      <c r="AX56">
        <v>60</v>
      </c>
      <c r="AY56">
        <v>59</v>
      </c>
      <c r="AZ56">
        <v>59</v>
      </c>
      <c r="BA56">
        <v>54</v>
      </c>
      <c r="BB56">
        <v>58</v>
      </c>
      <c r="BC56">
        <v>30</v>
      </c>
      <c r="BD56">
        <v>44</v>
      </c>
      <c r="BE56">
        <v>51</v>
      </c>
      <c r="BF56">
        <v>46</v>
      </c>
      <c r="BG56">
        <v>57</v>
      </c>
      <c r="BH56">
        <v>57</v>
      </c>
      <c r="BI56">
        <v>54</v>
      </c>
      <c r="BJ56">
        <v>49</v>
      </c>
      <c r="BK56">
        <v>54</v>
      </c>
      <c r="BL56">
        <v>59</v>
      </c>
      <c r="BM56">
        <v>58</v>
      </c>
      <c r="BN56">
        <v>54</v>
      </c>
      <c r="BO56">
        <v>56</v>
      </c>
      <c r="BP56">
        <v>55</v>
      </c>
      <c r="BQ56">
        <v>55</v>
      </c>
      <c r="BR56">
        <v>55</v>
      </c>
      <c r="BS56">
        <v>53</v>
      </c>
      <c r="BT56">
        <v>50</v>
      </c>
      <c r="BU56">
        <v>46</v>
      </c>
      <c r="BV56">
        <v>50</v>
      </c>
    </row>
    <row r="57" spans="1:74" x14ac:dyDescent="0.25">
      <c r="A57" t="s">
        <v>391</v>
      </c>
      <c r="B57" t="s">
        <v>160</v>
      </c>
      <c r="C57" t="s">
        <v>31</v>
      </c>
      <c r="D57">
        <v>27.143000000000001</v>
      </c>
      <c r="E57">
        <v>-2</v>
      </c>
      <c r="F57">
        <v>8</v>
      </c>
      <c r="G57">
        <v>7</v>
      </c>
      <c r="H57">
        <v>11</v>
      </c>
      <c r="I57">
        <v>16</v>
      </c>
      <c r="J57">
        <v>1</v>
      </c>
      <c r="K57">
        <v>10</v>
      </c>
      <c r="L57">
        <v>29</v>
      </c>
      <c r="M57">
        <v>35</v>
      </c>
      <c r="N57">
        <v>34</v>
      </c>
      <c r="O57">
        <v>44</v>
      </c>
      <c r="P57">
        <v>48</v>
      </c>
      <c r="Q57">
        <v>40</v>
      </c>
      <c r="R57">
        <v>47</v>
      </c>
      <c r="S57">
        <v>37</v>
      </c>
      <c r="T57">
        <v>28</v>
      </c>
      <c r="U57">
        <v>23</v>
      </c>
      <c r="V57">
        <v>2</v>
      </c>
      <c r="W57">
        <v>1</v>
      </c>
      <c r="X57">
        <v>13</v>
      </c>
      <c r="Y57">
        <v>21</v>
      </c>
      <c r="Z57">
        <v>31</v>
      </c>
      <c r="AA57">
        <v>36</v>
      </c>
      <c r="AB57">
        <v>48</v>
      </c>
      <c r="AC57">
        <v>42</v>
      </c>
      <c r="AD57">
        <v>44</v>
      </c>
      <c r="AE57">
        <v>46</v>
      </c>
      <c r="AF57">
        <v>36</v>
      </c>
      <c r="AG57">
        <v>37</v>
      </c>
      <c r="AH57">
        <v>30</v>
      </c>
      <c r="AI57">
        <v>31</v>
      </c>
      <c r="AJ57">
        <v>38</v>
      </c>
      <c r="AK57">
        <v>37</v>
      </c>
      <c r="AL57">
        <v>39</v>
      </c>
      <c r="AM57">
        <v>39</v>
      </c>
      <c r="AN57">
        <v>39</v>
      </c>
      <c r="AO57">
        <v>40</v>
      </c>
      <c r="AP57">
        <v>44</v>
      </c>
      <c r="AQ57">
        <v>42</v>
      </c>
      <c r="AR57">
        <v>43</v>
      </c>
      <c r="AS57">
        <v>42</v>
      </c>
      <c r="AT57">
        <v>45</v>
      </c>
      <c r="AU57">
        <v>45</v>
      </c>
      <c r="AV57">
        <v>54</v>
      </c>
      <c r="AW57">
        <v>49</v>
      </c>
      <c r="AX57">
        <v>52</v>
      </c>
      <c r="AY57">
        <v>49</v>
      </c>
      <c r="AZ57">
        <v>43</v>
      </c>
      <c r="BA57">
        <v>33</v>
      </c>
      <c r="BB57">
        <v>38</v>
      </c>
      <c r="BC57">
        <v>-24</v>
      </c>
      <c r="BD57">
        <v>-2</v>
      </c>
      <c r="BE57">
        <v>3</v>
      </c>
      <c r="BF57">
        <v>11</v>
      </c>
      <c r="BG57">
        <v>29</v>
      </c>
      <c r="BH57">
        <v>24</v>
      </c>
      <c r="BI57">
        <v>24</v>
      </c>
      <c r="BJ57">
        <v>22</v>
      </c>
      <c r="BK57">
        <v>30</v>
      </c>
      <c r="BL57">
        <v>26</v>
      </c>
      <c r="BM57">
        <v>15</v>
      </c>
      <c r="BN57">
        <v>17</v>
      </c>
      <c r="BO57">
        <v>15</v>
      </c>
      <c r="BP57">
        <v>7</v>
      </c>
      <c r="BQ57">
        <v>15</v>
      </c>
      <c r="BR57">
        <v>8</v>
      </c>
      <c r="BS57">
        <v>13</v>
      </c>
      <c r="BT57">
        <v>12</v>
      </c>
      <c r="BU57">
        <v>4</v>
      </c>
      <c r="BV57">
        <v>6</v>
      </c>
    </row>
    <row r="58" spans="1:74" x14ac:dyDescent="0.25">
      <c r="A58" t="s">
        <v>392</v>
      </c>
      <c r="B58" t="s">
        <v>244</v>
      </c>
      <c r="C58" t="s">
        <v>31</v>
      </c>
      <c r="D58">
        <v>35.942999999999998</v>
      </c>
      <c r="E58">
        <v>-3</v>
      </c>
      <c r="F58">
        <v>2</v>
      </c>
      <c r="G58">
        <v>-10</v>
      </c>
      <c r="H58">
        <v>-3</v>
      </c>
      <c r="I58">
        <v>6</v>
      </c>
      <c r="J58">
        <v>-2</v>
      </c>
      <c r="K58">
        <v>7</v>
      </c>
      <c r="L58">
        <v>19</v>
      </c>
      <c r="M58">
        <v>22</v>
      </c>
      <c r="N58">
        <v>33</v>
      </c>
      <c r="O58">
        <v>43</v>
      </c>
      <c r="P58">
        <v>51</v>
      </c>
      <c r="Q58">
        <v>47</v>
      </c>
      <c r="R58">
        <v>46</v>
      </c>
      <c r="S58">
        <v>49</v>
      </c>
      <c r="T58">
        <v>44</v>
      </c>
      <c r="U58">
        <v>29</v>
      </c>
      <c r="V58">
        <v>5</v>
      </c>
      <c r="W58">
        <v>9</v>
      </c>
      <c r="X58">
        <v>16</v>
      </c>
      <c r="Y58">
        <v>17</v>
      </c>
      <c r="Z58">
        <v>34</v>
      </c>
      <c r="AA58">
        <v>41</v>
      </c>
      <c r="AB58">
        <v>45</v>
      </c>
      <c r="AC58">
        <v>48</v>
      </c>
      <c r="AD58">
        <v>53</v>
      </c>
      <c r="AE58">
        <v>51</v>
      </c>
      <c r="AF58">
        <v>48</v>
      </c>
      <c r="AG58">
        <v>45</v>
      </c>
      <c r="AH58">
        <v>40</v>
      </c>
      <c r="AI58">
        <v>42</v>
      </c>
      <c r="AJ58">
        <v>49</v>
      </c>
      <c r="AK58">
        <v>48</v>
      </c>
      <c r="AL58">
        <v>45</v>
      </c>
      <c r="AM58">
        <v>47</v>
      </c>
      <c r="AN58">
        <v>44</v>
      </c>
      <c r="AO58">
        <v>50</v>
      </c>
      <c r="AP58">
        <v>57</v>
      </c>
      <c r="AQ58">
        <v>51</v>
      </c>
      <c r="AR58">
        <v>56</v>
      </c>
      <c r="AS58">
        <v>57</v>
      </c>
      <c r="AT58">
        <v>56</v>
      </c>
      <c r="AU58">
        <v>61</v>
      </c>
      <c r="AV58">
        <v>64</v>
      </c>
      <c r="AW58">
        <v>62</v>
      </c>
      <c r="AX58">
        <v>66</v>
      </c>
      <c r="AY58">
        <v>66</v>
      </c>
      <c r="AZ58">
        <v>56</v>
      </c>
      <c r="BA58">
        <v>55</v>
      </c>
      <c r="BB58">
        <v>55</v>
      </c>
      <c r="BC58">
        <v>8</v>
      </c>
      <c r="BD58">
        <v>24</v>
      </c>
      <c r="BE58">
        <v>30</v>
      </c>
      <c r="BF58">
        <v>34</v>
      </c>
      <c r="BG58">
        <v>45</v>
      </c>
      <c r="BH58">
        <v>45</v>
      </c>
      <c r="BI58">
        <v>46</v>
      </c>
      <c r="BJ58">
        <v>36</v>
      </c>
      <c r="BK58">
        <v>43</v>
      </c>
      <c r="BL58">
        <v>39</v>
      </c>
      <c r="BM58">
        <v>33</v>
      </c>
      <c r="BN58">
        <v>34</v>
      </c>
      <c r="BO58">
        <v>28</v>
      </c>
      <c r="BP58">
        <v>24</v>
      </c>
      <c r="BQ58">
        <v>24</v>
      </c>
      <c r="BR58">
        <v>20</v>
      </c>
      <c r="BS58">
        <v>19</v>
      </c>
      <c r="BT58">
        <v>26</v>
      </c>
      <c r="BU58">
        <v>18</v>
      </c>
      <c r="BV58">
        <v>21</v>
      </c>
    </row>
    <row r="59" spans="1:74" x14ac:dyDescent="0.25">
      <c r="A59" t="s">
        <v>393</v>
      </c>
      <c r="B59" t="s">
        <v>245</v>
      </c>
      <c r="C59" t="s">
        <v>31</v>
      </c>
      <c r="D59">
        <v>23.971</v>
      </c>
      <c r="E59">
        <v>-6</v>
      </c>
      <c r="F59">
        <v>8</v>
      </c>
      <c r="G59">
        <v>12</v>
      </c>
      <c r="H59">
        <v>12</v>
      </c>
      <c r="I59">
        <v>22</v>
      </c>
      <c r="J59">
        <v>18</v>
      </c>
      <c r="K59">
        <v>13</v>
      </c>
      <c r="L59">
        <v>28</v>
      </c>
      <c r="M59">
        <v>41</v>
      </c>
      <c r="N59">
        <v>24</v>
      </c>
      <c r="O59">
        <v>34</v>
      </c>
      <c r="P59">
        <v>55</v>
      </c>
      <c r="Q59">
        <v>44</v>
      </c>
      <c r="R59">
        <v>40</v>
      </c>
      <c r="S59">
        <v>45</v>
      </c>
      <c r="T59">
        <v>30</v>
      </c>
      <c r="U59">
        <v>22</v>
      </c>
      <c r="V59">
        <v>-7</v>
      </c>
      <c r="W59">
        <v>14</v>
      </c>
      <c r="X59">
        <v>3</v>
      </c>
      <c r="Y59">
        <v>11</v>
      </c>
      <c r="Z59">
        <v>32</v>
      </c>
      <c r="AA59">
        <v>33</v>
      </c>
      <c r="AB59">
        <v>47</v>
      </c>
      <c r="AC59">
        <v>36</v>
      </c>
      <c r="AD59">
        <v>49</v>
      </c>
      <c r="AE59">
        <v>49</v>
      </c>
      <c r="AF59">
        <v>39</v>
      </c>
      <c r="AG59">
        <v>36</v>
      </c>
      <c r="AH59">
        <v>24</v>
      </c>
      <c r="AI59">
        <v>28</v>
      </c>
      <c r="AJ59">
        <v>30</v>
      </c>
      <c r="AK59">
        <v>43</v>
      </c>
      <c r="AL59">
        <v>34</v>
      </c>
      <c r="AM59">
        <v>28</v>
      </c>
      <c r="AN59">
        <v>30</v>
      </c>
      <c r="AO59">
        <v>30</v>
      </c>
      <c r="AP59">
        <v>42</v>
      </c>
      <c r="AQ59">
        <v>38</v>
      </c>
      <c r="AR59">
        <v>28</v>
      </c>
      <c r="AS59">
        <v>33</v>
      </c>
      <c r="AT59">
        <v>35</v>
      </c>
      <c r="AU59">
        <v>46</v>
      </c>
      <c r="AV59">
        <v>46</v>
      </c>
      <c r="AW59">
        <v>42</v>
      </c>
      <c r="AX59">
        <v>45</v>
      </c>
      <c r="AY59">
        <v>40</v>
      </c>
      <c r="AZ59">
        <v>35</v>
      </c>
      <c r="BA59">
        <v>35</v>
      </c>
      <c r="BB59">
        <v>26</v>
      </c>
      <c r="BC59">
        <v>-23</v>
      </c>
      <c r="BD59">
        <v>-9</v>
      </c>
      <c r="BE59">
        <v>3</v>
      </c>
      <c r="BF59">
        <v>3</v>
      </c>
      <c r="BG59">
        <v>23</v>
      </c>
      <c r="BH59">
        <v>19</v>
      </c>
      <c r="BI59">
        <v>21</v>
      </c>
      <c r="BJ59">
        <v>9</v>
      </c>
      <c r="BK59">
        <v>17</v>
      </c>
      <c r="BL59">
        <v>17</v>
      </c>
      <c r="BM59">
        <v>14</v>
      </c>
      <c r="BN59">
        <v>13</v>
      </c>
      <c r="BO59">
        <v>12</v>
      </c>
      <c r="BP59">
        <v>7</v>
      </c>
      <c r="BQ59">
        <v>16</v>
      </c>
      <c r="BR59">
        <v>5</v>
      </c>
      <c r="BS59">
        <v>-1</v>
      </c>
      <c r="BT59">
        <v>2</v>
      </c>
      <c r="BU59">
        <v>2</v>
      </c>
      <c r="BV59">
        <v>6</v>
      </c>
    </row>
    <row r="60" spans="1:74" x14ac:dyDescent="0.25">
      <c r="A60" t="s">
        <v>394</v>
      </c>
      <c r="B60" t="s">
        <v>246</v>
      </c>
      <c r="C60" t="s">
        <v>31</v>
      </c>
      <c r="D60">
        <v>28.257000000000001</v>
      </c>
      <c r="E60">
        <v>-4</v>
      </c>
      <c r="F60">
        <v>19</v>
      </c>
      <c r="G60">
        <v>12</v>
      </c>
      <c r="H60">
        <v>23</v>
      </c>
      <c r="I60">
        <v>22</v>
      </c>
      <c r="J60">
        <v>17</v>
      </c>
      <c r="K60">
        <v>19</v>
      </c>
      <c r="L60">
        <v>40</v>
      </c>
      <c r="M60">
        <v>37</v>
      </c>
      <c r="N60">
        <v>40</v>
      </c>
      <c r="O60">
        <v>52</v>
      </c>
      <c r="P60">
        <v>47</v>
      </c>
      <c r="Q60">
        <v>46</v>
      </c>
      <c r="R60">
        <v>41</v>
      </c>
      <c r="S60">
        <v>40</v>
      </c>
      <c r="T60">
        <v>37</v>
      </c>
      <c r="U60">
        <v>26</v>
      </c>
      <c r="V60">
        <v>-1</v>
      </c>
      <c r="W60">
        <v>4</v>
      </c>
      <c r="X60">
        <v>11</v>
      </c>
      <c r="Y60">
        <v>21</v>
      </c>
      <c r="Z60">
        <v>34</v>
      </c>
      <c r="AA60">
        <v>41</v>
      </c>
      <c r="AB60">
        <v>38</v>
      </c>
      <c r="AC60">
        <v>39</v>
      </c>
      <c r="AD60">
        <v>36</v>
      </c>
      <c r="AE60">
        <v>41</v>
      </c>
      <c r="AF60">
        <v>31</v>
      </c>
      <c r="AG60">
        <v>31</v>
      </c>
      <c r="AH60">
        <v>36</v>
      </c>
      <c r="AI60">
        <v>35</v>
      </c>
      <c r="AJ60">
        <v>39</v>
      </c>
      <c r="AK60">
        <v>41</v>
      </c>
      <c r="AL60">
        <v>36</v>
      </c>
      <c r="AM60">
        <v>39</v>
      </c>
      <c r="AN60">
        <v>40</v>
      </c>
      <c r="AO60">
        <v>43</v>
      </c>
      <c r="AP60">
        <v>43</v>
      </c>
      <c r="AQ60">
        <v>43</v>
      </c>
      <c r="AR60">
        <v>48</v>
      </c>
      <c r="AS60">
        <v>47</v>
      </c>
      <c r="AT60">
        <v>43</v>
      </c>
      <c r="AU60">
        <v>49</v>
      </c>
      <c r="AV60">
        <v>49</v>
      </c>
      <c r="AW60">
        <v>53</v>
      </c>
      <c r="AX60">
        <v>56</v>
      </c>
      <c r="AY60">
        <v>52</v>
      </c>
      <c r="AZ60">
        <v>47</v>
      </c>
      <c r="BA60">
        <v>39</v>
      </c>
      <c r="BB60">
        <v>34</v>
      </c>
      <c r="BC60">
        <v>-27</v>
      </c>
      <c r="BD60">
        <v>-5</v>
      </c>
      <c r="BE60">
        <v>-7</v>
      </c>
      <c r="BF60">
        <v>-4</v>
      </c>
      <c r="BG60">
        <v>20</v>
      </c>
      <c r="BH60">
        <v>15</v>
      </c>
      <c r="BI60">
        <v>20</v>
      </c>
      <c r="BJ60">
        <v>14</v>
      </c>
      <c r="BK60">
        <v>23</v>
      </c>
      <c r="BL60">
        <v>28</v>
      </c>
      <c r="BM60">
        <v>22</v>
      </c>
      <c r="BN60">
        <v>20</v>
      </c>
      <c r="BO60">
        <v>23</v>
      </c>
      <c r="BP60">
        <v>16</v>
      </c>
      <c r="BQ60">
        <v>21</v>
      </c>
      <c r="BR60">
        <v>15</v>
      </c>
      <c r="BS60">
        <v>12</v>
      </c>
      <c r="BT60">
        <v>8</v>
      </c>
      <c r="BU60">
        <v>4</v>
      </c>
      <c r="BV60">
        <v>8</v>
      </c>
    </row>
    <row r="61" spans="1:74" x14ac:dyDescent="0.25">
      <c r="A61" t="s">
        <v>395</v>
      </c>
      <c r="B61" t="s">
        <v>164</v>
      </c>
      <c r="C61" t="s">
        <v>31</v>
      </c>
      <c r="D61">
        <v>21.870999999999999</v>
      </c>
      <c r="E61">
        <v>-9</v>
      </c>
      <c r="F61">
        <v>0</v>
      </c>
      <c r="G61">
        <v>-5</v>
      </c>
      <c r="H61">
        <v>-8</v>
      </c>
      <c r="I61">
        <v>6</v>
      </c>
      <c r="J61">
        <v>-15</v>
      </c>
      <c r="K61">
        <v>-3</v>
      </c>
      <c r="L61">
        <v>5</v>
      </c>
      <c r="M61">
        <v>19</v>
      </c>
      <c r="N61">
        <v>21</v>
      </c>
      <c r="O61">
        <v>30</v>
      </c>
      <c r="P61">
        <v>37</v>
      </c>
      <c r="Q61">
        <v>42</v>
      </c>
      <c r="R61">
        <v>42</v>
      </c>
      <c r="S61">
        <v>16</v>
      </c>
      <c r="T61">
        <v>22</v>
      </c>
      <c r="U61">
        <v>7</v>
      </c>
      <c r="V61">
        <v>16</v>
      </c>
      <c r="W61">
        <v>4</v>
      </c>
      <c r="X61">
        <v>16</v>
      </c>
      <c r="Y61">
        <v>19</v>
      </c>
      <c r="Z61">
        <v>28</v>
      </c>
      <c r="AA61">
        <v>36</v>
      </c>
      <c r="AB61">
        <v>27</v>
      </c>
      <c r="AC61">
        <v>34</v>
      </c>
      <c r="AD61">
        <v>30</v>
      </c>
      <c r="AE61">
        <v>33</v>
      </c>
      <c r="AF61">
        <v>33</v>
      </c>
      <c r="AG61">
        <v>20</v>
      </c>
      <c r="AH61">
        <v>22</v>
      </c>
      <c r="AI61">
        <v>28</v>
      </c>
      <c r="AJ61">
        <v>21</v>
      </c>
      <c r="AK61">
        <v>29</v>
      </c>
      <c r="AL61">
        <v>34</v>
      </c>
      <c r="AM61">
        <v>30</v>
      </c>
      <c r="AN61">
        <v>49</v>
      </c>
      <c r="AO61">
        <v>51</v>
      </c>
      <c r="AP61">
        <v>46</v>
      </c>
      <c r="AQ61">
        <v>39</v>
      </c>
      <c r="AR61">
        <v>48</v>
      </c>
      <c r="AS61">
        <v>45</v>
      </c>
      <c r="AT61">
        <v>57</v>
      </c>
      <c r="AU61">
        <v>52</v>
      </c>
      <c r="AV61">
        <v>54</v>
      </c>
      <c r="AW61">
        <v>35</v>
      </c>
      <c r="AX61">
        <v>45</v>
      </c>
      <c r="AY61">
        <v>39</v>
      </c>
      <c r="AZ61">
        <v>49</v>
      </c>
      <c r="BA61">
        <v>35</v>
      </c>
      <c r="BB61">
        <v>39</v>
      </c>
      <c r="BC61">
        <v>-14</v>
      </c>
      <c r="BD61">
        <v>14</v>
      </c>
      <c r="BE61">
        <v>-2</v>
      </c>
      <c r="BF61">
        <v>1</v>
      </c>
      <c r="BG61">
        <v>10</v>
      </c>
      <c r="BH61">
        <v>23</v>
      </c>
      <c r="BI61">
        <v>13</v>
      </c>
      <c r="BJ61">
        <v>11</v>
      </c>
      <c r="BK61">
        <v>21</v>
      </c>
      <c r="BL61">
        <v>21</v>
      </c>
      <c r="BM61">
        <v>25</v>
      </c>
      <c r="BN61">
        <v>19</v>
      </c>
      <c r="BO61">
        <v>0</v>
      </c>
      <c r="BP61">
        <v>10</v>
      </c>
      <c r="BQ61">
        <v>-1</v>
      </c>
      <c r="BR61">
        <v>17</v>
      </c>
      <c r="BS61">
        <v>7</v>
      </c>
      <c r="BT61">
        <v>-3</v>
      </c>
      <c r="BU61">
        <v>5</v>
      </c>
      <c r="BV61">
        <v>4</v>
      </c>
    </row>
    <row r="62" spans="1:74" x14ac:dyDescent="0.25">
      <c r="A62" t="s">
        <v>396</v>
      </c>
      <c r="B62" t="s">
        <v>165</v>
      </c>
      <c r="C62" t="s">
        <v>31</v>
      </c>
      <c r="D62">
        <v>24.614000000000001</v>
      </c>
      <c r="E62">
        <v>-19</v>
      </c>
      <c r="F62">
        <v>-4</v>
      </c>
      <c r="G62">
        <v>-4</v>
      </c>
      <c r="H62">
        <v>-9</v>
      </c>
      <c r="I62">
        <v>-16</v>
      </c>
      <c r="J62">
        <v>-8</v>
      </c>
      <c r="K62">
        <v>6</v>
      </c>
      <c r="L62">
        <v>5</v>
      </c>
      <c r="M62">
        <v>-2</v>
      </c>
      <c r="N62">
        <v>8</v>
      </c>
      <c r="O62">
        <v>24</v>
      </c>
      <c r="P62">
        <v>23</v>
      </c>
      <c r="Q62">
        <v>23</v>
      </c>
      <c r="R62">
        <v>23</v>
      </c>
      <c r="S62">
        <v>14</v>
      </c>
      <c r="T62">
        <v>19</v>
      </c>
      <c r="U62">
        <v>9</v>
      </c>
      <c r="V62">
        <v>3</v>
      </c>
      <c r="W62">
        <v>-1</v>
      </c>
      <c r="X62">
        <v>12</v>
      </c>
      <c r="Y62">
        <v>8</v>
      </c>
      <c r="Z62">
        <v>20</v>
      </c>
      <c r="AA62">
        <v>19</v>
      </c>
      <c r="AB62">
        <v>34</v>
      </c>
      <c r="AC62">
        <v>41</v>
      </c>
      <c r="AD62">
        <v>38</v>
      </c>
      <c r="AE62">
        <v>40</v>
      </c>
      <c r="AF62">
        <v>30</v>
      </c>
      <c r="AG62">
        <v>27</v>
      </c>
      <c r="AH62">
        <v>16</v>
      </c>
      <c r="AI62">
        <v>26</v>
      </c>
      <c r="AJ62">
        <v>32</v>
      </c>
      <c r="AK62">
        <v>28</v>
      </c>
      <c r="AL62">
        <v>34</v>
      </c>
      <c r="AM62">
        <v>33</v>
      </c>
      <c r="AN62">
        <v>38</v>
      </c>
      <c r="AO62">
        <v>35</v>
      </c>
      <c r="AP62">
        <v>39</v>
      </c>
      <c r="AQ62">
        <v>44</v>
      </c>
      <c r="AR62">
        <v>44</v>
      </c>
      <c r="AS62">
        <v>37</v>
      </c>
      <c r="AT62">
        <v>44</v>
      </c>
      <c r="AU62">
        <v>48</v>
      </c>
      <c r="AV62">
        <v>45</v>
      </c>
      <c r="AW62">
        <v>56</v>
      </c>
      <c r="AX62">
        <v>50</v>
      </c>
      <c r="AY62">
        <v>58</v>
      </c>
      <c r="AZ62">
        <v>52</v>
      </c>
      <c r="BA62">
        <v>55</v>
      </c>
      <c r="BB62">
        <v>50</v>
      </c>
      <c r="BC62">
        <v>-3</v>
      </c>
      <c r="BD62">
        <v>38</v>
      </c>
      <c r="BE62">
        <v>28</v>
      </c>
      <c r="BF62">
        <v>34</v>
      </c>
      <c r="BG62">
        <v>41</v>
      </c>
      <c r="BH62">
        <v>41</v>
      </c>
      <c r="BI62">
        <v>43</v>
      </c>
      <c r="BJ62">
        <v>30</v>
      </c>
      <c r="BK62">
        <v>31</v>
      </c>
      <c r="BL62">
        <v>29</v>
      </c>
      <c r="BM62">
        <v>29</v>
      </c>
      <c r="BN62">
        <v>18</v>
      </c>
      <c r="BO62">
        <v>22</v>
      </c>
      <c r="BP62">
        <v>15</v>
      </c>
      <c r="BQ62">
        <v>13</v>
      </c>
      <c r="BR62">
        <v>16</v>
      </c>
      <c r="BS62">
        <v>20</v>
      </c>
      <c r="BT62">
        <v>20</v>
      </c>
      <c r="BU62">
        <v>12</v>
      </c>
      <c r="BV62">
        <v>19</v>
      </c>
    </row>
    <row r="63" spans="1:74" x14ac:dyDescent="0.25">
      <c r="A63" t="s">
        <v>397</v>
      </c>
      <c r="B63" t="s">
        <v>166</v>
      </c>
      <c r="C63" t="s">
        <v>31</v>
      </c>
      <c r="D63">
        <v>11.157</v>
      </c>
      <c r="E63">
        <v>-35</v>
      </c>
      <c r="F63">
        <v>-18</v>
      </c>
      <c r="G63">
        <v>-10</v>
      </c>
      <c r="H63">
        <v>-23</v>
      </c>
      <c r="I63">
        <v>-12</v>
      </c>
      <c r="J63">
        <v>-41</v>
      </c>
      <c r="K63">
        <v>1</v>
      </c>
      <c r="L63">
        <v>15</v>
      </c>
      <c r="M63">
        <v>9</v>
      </c>
      <c r="N63">
        <v>1</v>
      </c>
      <c r="O63">
        <v>32</v>
      </c>
      <c r="P63">
        <v>33</v>
      </c>
      <c r="Q63">
        <v>27</v>
      </c>
      <c r="R63">
        <v>37</v>
      </c>
      <c r="S63">
        <v>26</v>
      </c>
      <c r="T63">
        <v>24</v>
      </c>
      <c r="U63">
        <v>26</v>
      </c>
      <c r="V63">
        <v>21</v>
      </c>
      <c r="W63">
        <v>13</v>
      </c>
      <c r="X63">
        <v>7</v>
      </c>
      <c r="Y63">
        <v>4</v>
      </c>
      <c r="Z63">
        <v>5</v>
      </c>
      <c r="AA63">
        <v>1</v>
      </c>
      <c r="AB63">
        <v>-3</v>
      </c>
      <c r="AC63">
        <v>-8</v>
      </c>
      <c r="AD63">
        <v>15</v>
      </c>
      <c r="AE63">
        <v>12</v>
      </c>
      <c r="AF63">
        <v>9</v>
      </c>
      <c r="AG63">
        <v>-3</v>
      </c>
      <c r="AH63">
        <v>11</v>
      </c>
      <c r="AI63">
        <v>12</v>
      </c>
      <c r="AJ63">
        <v>15</v>
      </c>
      <c r="AK63">
        <v>32</v>
      </c>
      <c r="AL63">
        <v>28</v>
      </c>
      <c r="AM63">
        <v>11</v>
      </c>
      <c r="AN63">
        <v>23</v>
      </c>
      <c r="AO63">
        <v>36</v>
      </c>
      <c r="AP63">
        <v>26</v>
      </c>
      <c r="AQ63">
        <v>31</v>
      </c>
      <c r="AR63">
        <v>45</v>
      </c>
      <c r="AS63">
        <v>41</v>
      </c>
      <c r="AT63">
        <v>36</v>
      </c>
      <c r="AU63">
        <v>45</v>
      </c>
      <c r="AV63">
        <v>38</v>
      </c>
      <c r="AW63">
        <v>45</v>
      </c>
      <c r="AX63">
        <v>34</v>
      </c>
      <c r="AY63">
        <v>39</v>
      </c>
      <c r="AZ63">
        <v>36</v>
      </c>
      <c r="BA63">
        <v>38</v>
      </c>
      <c r="BB63">
        <v>40</v>
      </c>
      <c r="BC63">
        <v>-59</v>
      </c>
      <c r="BD63">
        <v>-14</v>
      </c>
      <c r="BE63">
        <v>-30</v>
      </c>
      <c r="BF63">
        <v>-25</v>
      </c>
      <c r="BG63">
        <v>1</v>
      </c>
      <c r="BH63">
        <v>0</v>
      </c>
      <c r="BI63">
        <v>6</v>
      </c>
      <c r="BJ63">
        <v>-3</v>
      </c>
      <c r="BK63">
        <v>6</v>
      </c>
      <c r="BL63">
        <v>14</v>
      </c>
      <c r="BM63">
        <v>9</v>
      </c>
      <c r="BN63">
        <v>15</v>
      </c>
      <c r="BO63">
        <v>9</v>
      </c>
      <c r="BP63">
        <v>5</v>
      </c>
      <c r="BQ63">
        <v>3</v>
      </c>
      <c r="BR63">
        <v>1</v>
      </c>
      <c r="BS63">
        <v>6</v>
      </c>
      <c r="BT63">
        <v>4</v>
      </c>
      <c r="BU63">
        <v>-2</v>
      </c>
      <c r="BV63">
        <v>8</v>
      </c>
    </row>
    <row r="64" spans="1:74" x14ac:dyDescent="0.25">
      <c r="A64" t="s">
        <v>398</v>
      </c>
      <c r="B64" t="s">
        <v>167</v>
      </c>
      <c r="C64" t="s">
        <v>31</v>
      </c>
      <c r="D64">
        <v>23.670999999999999</v>
      </c>
      <c r="E64">
        <v>-16</v>
      </c>
      <c r="F64">
        <v>-4</v>
      </c>
      <c r="G64">
        <v>-9</v>
      </c>
      <c r="H64">
        <v>-9</v>
      </c>
      <c r="I64">
        <v>12</v>
      </c>
      <c r="J64">
        <v>5</v>
      </c>
      <c r="K64">
        <v>-8</v>
      </c>
      <c r="L64">
        <v>3</v>
      </c>
      <c r="M64">
        <v>23</v>
      </c>
      <c r="N64">
        <v>16</v>
      </c>
      <c r="O64">
        <v>24</v>
      </c>
      <c r="P64">
        <v>35</v>
      </c>
      <c r="Q64">
        <v>22</v>
      </c>
      <c r="R64">
        <v>32</v>
      </c>
      <c r="S64">
        <v>34</v>
      </c>
      <c r="T64">
        <v>29</v>
      </c>
      <c r="U64">
        <v>31</v>
      </c>
      <c r="V64">
        <v>26</v>
      </c>
      <c r="W64">
        <v>25</v>
      </c>
      <c r="X64">
        <v>35</v>
      </c>
      <c r="Y64">
        <v>39</v>
      </c>
      <c r="Z64">
        <v>28</v>
      </c>
      <c r="AA64">
        <v>36</v>
      </c>
      <c r="AB64">
        <v>42</v>
      </c>
      <c r="AC64">
        <v>40</v>
      </c>
      <c r="AD64">
        <v>34</v>
      </c>
      <c r="AE64">
        <v>45</v>
      </c>
      <c r="AF64">
        <v>33</v>
      </c>
      <c r="AG64">
        <v>36</v>
      </c>
      <c r="AH64">
        <v>22</v>
      </c>
      <c r="AI64">
        <v>27</v>
      </c>
      <c r="AJ64">
        <v>35</v>
      </c>
      <c r="AK64">
        <v>49</v>
      </c>
      <c r="AL64">
        <v>39</v>
      </c>
      <c r="AM64">
        <v>40</v>
      </c>
      <c r="AN64">
        <v>49</v>
      </c>
      <c r="AO64">
        <v>42</v>
      </c>
      <c r="AP64">
        <v>51</v>
      </c>
      <c r="AQ64">
        <v>52</v>
      </c>
      <c r="AR64">
        <v>55</v>
      </c>
      <c r="AS64">
        <v>54</v>
      </c>
      <c r="AT64">
        <v>48</v>
      </c>
      <c r="AU64">
        <v>44</v>
      </c>
      <c r="AV64">
        <v>46</v>
      </c>
      <c r="AW64">
        <v>48</v>
      </c>
      <c r="AX64">
        <v>40</v>
      </c>
      <c r="AY64">
        <v>46</v>
      </c>
      <c r="AZ64">
        <v>34</v>
      </c>
      <c r="BA64">
        <v>38</v>
      </c>
      <c r="BB64">
        <v>33</v>
      </c>
      <c r="BC64">
        <v>-11</v>
      </c>
      <c r="BD64">
        <v>11</v>
      </c>
      <c r="BE64">
        <v>-1</v>
      </c>
      <c r="BF64">
        <v>-1</v>
      </c>
      <c r="BG64">
        <v>15</v>
      </c>
      <c r="BH64">
        <v>11</v>
      </c>
      <c r="BI64">
        <v>8</v>
      </c>
      <c r="BJ64">
        <v>-11</v>
      </c>
      <c r="BK64">
        <v>-5</v>
      </c>
      <c r="BL64">
        <v>2</v>
      </c>
      <c r="BM64">
        <v>3</v>
      </c>
      <c r="BN64">
        <v>-8</v>
      </c>
      <c r="BO64">
        <v>9</v>
      </c>
      <c r="BP64">
        <v>19</v>
      </c>
      <c r="BQ64">
        <v>14</v>
      </c>
      <c r="BR64">
        <v>16</v>
      </c>
      <c r="BS64">
        <v>16</v>
      </c>
      <c r="BT64">
        <v>19</v>
      </c>
      <c r="BU64">
        <v>13</v>
      </c>
      <c r="BV64">
        <v>7</v>
      </c>
    </row>
    <row r="65" spans="1:74" x14ac:dyDescent="0.25">
      <c r="A65" t="s">
        <v>399</v>
      </c>
      <c r="B65" t="s">
        <v>247</v>
      </c>
      <c r="C65" t="s">
        <v>31</v>
      </c>
      <c r="D65">
        <v>8.9290000000000003</v>
      </c>
      <c r="E65">
        <v>-14</v>
      </c>
      <c r="F65">
        <v>-7</v>
      </c>
      <c r="G65">
        <v>-13</v>
      </c>
      <c r="H65">
        <v>-10</v>
      </c>
      <c r="I65">
        <v>-1</v>
      </c>
      <c r="J65">
        <v>-14</v>
      </c>
      <c r="K65">
        <v>-9</v>
      </c>
      <c r="L65">
        <v>1</v>
      </c>
      <c r="M65">
        <v>13</v>
      </c>
      <c r="N65">
        <v>0</v>
      </c>
      <c r="O65">
        <v>18</v>
      </c>
      <c r="P65">
        <v>20</v>
      </c>
      <c r="Q65">
        <v>11</v>
      </c>
      <c r="R65">
        <v>29</v>
      </c>
      <c r="S65">
        <v>14</v>
      </c>
      <c r="T65">
        <v>5</v>
      </c>
      <c r="U65">
        <v>8</v>
      </c>
      <c r="V65">
        <v>3</v>
      </c>
      <c r="W65">
        <v>4</v>
      </c>
      <c r="X65">
        <v>15</v>
      </c>
      <c r="Y65">
        <v>8</v>
      </c>
      <c r="Z65">
        <v>10</v>
      </c>
      <c r="AA65">
        <v>27</v>
      </c>
      <c r="AB65">
        <v>23</v>
      </c>
      <c r="AC65">
        <v>25</v>
      </c>
      <c r="AD65">
        <v>37</v>
      </c>
      <c r="AE65">
        <v>30</v>
      </c>
      <c r="AF65">
        <v>27</v>
      </c>
      <c r="AG65">
        <v>37</v>
      </c>
      <c r="AH65">
        <v>18</v>
      </c>
      <c r="AI65">
        <v>27</v>
      </c>
      <c r="AJ65">
        <v>28</v>
      </c>
      <c r="AK65">
        <v>33</v>
      </c>
      <c r="AL65">
        <v>27</v>
      </c>
      <c r="AM65">
        <v>35</v>
      </c>
      <c r="AN65">
        <v>33</v>
      </c>
      <c r="AO65">
        <v>33</v>
      </c>
      <c r="AP65">
        <v>30</v>
      </c>
      <c r="AQ65">
        <v>32</v>
      </c>
      <c r="AR65">
        <v>25</v>
      </c>
      <c r="AS65">
        <v>28</v>
      </c>
      <c r="AT65">
        <v>41</v>
      </c>
      <c r="AU65">
        <v>40</v>
      </c>
      <c r="AV65">
        <v>35</v>
      </c>
      <c r="AW65">
        <v>35</v>
      </c>
      <c r="AX65">
        <v>33</v>
      </c>
      <c r="AY65">
        <v>33</v>
      </c>
      <c r="AZ65">
        <v>28</v>
      </c>
      <c r="BA65">
        <v>24</v>
      </c>
      <c r="BB65">
        <v>38</v>
      </c>
      <c r="BC65">
        <v>-77</v>
      </c>
      <c r="BD65">
        <v>-53</v>
      </c>
      <c r="BE65">
        <v>-74</v>
      </c>
      <c r="BF65">
        <v>-76</v>
      </c>
      <c r="BG65">
        <v>-23</v>
      </c>
      <c r="BH65">
        <v>-54</v>
      </c>
      <c r="BI65">
        <v>-19</v>
      </c>
      <c r="BJ65">
        <v>-8</v>
      </c>
      <c r="BK65">
        <v>3</v>
      </c>
      <c r="BL65">
        <v>6</v>
      </c>
      <c r="BM65">
        <v>13</v>
      </c>
      <c r="BN65">
        <v>12</v>
      </c>
      <c r="BO65">
        <v>13</v>
      </c>
      <c r="BP65">
        <v>7</v>
      </c>
      <c r="BQ65">
        <v>7</v>
      </c>
      <c r="BR65">
        <v>0</v>
      </c>
      <c r="BS65">
        <v>-3</v>
      </c>
      <c r="BT65">
        <v>5</v>
      </c>
      <c r="BU65">
        <v>-4</v>
      </c>
      <c r="BV65">
        <v>-3</v>
      </c>
    </row>
    <row r="66" spans="1:74" x14ac:dyDescent="0.25">
      <c r="A66" t="s">
        <v>400</v>
      </c>
      <c r="B66" t="s">
        <v>169</v>
      </c>
      <c r="C66" t="s">
        <v>31</v>
      </c>
      <c r="D66">
        <v>18.385999999999999</v>
      </c>
      <c r="E66">
        <v>-14</v>
      </c>
      <c r="F66">
        <v>-14</v>
      </c>
      <c r="G66">
        <v>5</v>
      </c>
      <c r="H66">
        <v>-3</v>
      </c>
      <c r="I66">
        <v>15</v>
      </c>
      <c r="J66">
        <v>3</v>
      </c>
      <c r="K66">
        <v>5</v>
      </c>
      <c r="L66">
        <v>14</v>
      </c>
      <c r="M66">
        <v>7</v>
      </c>
      <c r="N66">
        <v>16</v>
      </c>
      <c r="O66">
        <v>32</v>
      </c>
      <c r="P66">
        <v>21</v>
      </c>
      <c r="Q66">
        <v>26</v>
      </c>
      <c r="R66">
        <v>20</v>
      </c>
      <c r="S66">
        <v>18</v>
      </c>
      <c r="T66">
        <v>21</v>
      </c>
      <c r="U66">
        <v>24</v>
      </c>
      <c r="V66">
        <v>3</v>
      </c>
      <c r="W66">
        <v>2</v>
      </c>
      <c r="X66">
        <v>10</v>
      </c>
      <c r="Y66">
        <v>8</v>
      </c>
      <c r="Z66">
        <v>29</v>
      </c>
      <c r="AA66">
        <v>28</v>
      </c>
      <c r="AB66">
        <v>15</v>
      </c>
      <c r="AC66">
        <v>34</v>
      </c>
      <c r="AD66">
        <v>32</v>
      </c>
      <c r="AE66">
        <v>23</v>
      </c>
      <c r="AF66">
        <v>36</v>
      </c>
      <c r="AG66">
        <v>32</v>
      </c>
      <c r="AH66">
        <v>15</v>
      </c>
      <c r="AI66">
        <v>25</v>
      </c>
      <c r="AJ66">
        <v>28</v>
      </c>
      <c r="AK66">
        <v>33</v>
      </c>
      <c r="AL66">
        <v>29</v>
      </c>
      <c r="AM66">
        <v>40</v>
      </c>
      <c r="AN66">
        <v>28</v>
      </c>
      <c r="AO66">
        <v>35</v>
      </c>
      <c r="AP66">
        <v>39</v>
      </c>
      <c r="AQ66">
        <v>40</v>
      </c>
      <c r="AR66">
        <v>45</v>
      </c>
      <c r="AS66">
        <v>33</v>
      </c>
      <c r="AT66">
        <v>42</v>
      </c>
      <c r="AU66">
        <v>46</v>
      </c>
      <c r="AV66">
        <v>41</v>
      </c>
      <c r="AW66">
        <v>40</v>
      </c>
      <c r="AX66">
        <v>37</v>
      </c>
      <c r="AY66">
        <v>43</v>
      </c>
      <c r="AZ66">
        <v>33</v>
      </c>
      <c r="BA66">
        <v>29</v>
      </c>
      <c r="BB66">
        <v>31</v>
      </c>
      <c r="BC66">
        <v>-34</v>
      </c>
      <c r="BD66">
        <v>-11</v>
      </c>
      <c r="BE66">
        <v>-20</v>
      </c>
      <c r="BF66">
        <v>-27</v>
      </c>
      <c r="BG66">
        <v>12</v>
      </c>
      <c r="BH66">
        <v>5</v>
      </c>
      <c r="BI66">
        <v>2</v>
      </c>
      <c r="BJ66">
        <v>6</v>
      </c>
      <c r="BK66">
        <v>15</v>
      </c>
      <c r="BL66">
        <v>22</v>
      </c>
      <c r="BM66">
        <v>16</v>
      </c>
      <c r="BN66">
        <v>19</v>
      </c>
      <c r="BO66">
        <v>20</v>
      </c>
      <c r="BP66">
        <v>16</v>
      </c>
      <c r="BQ66">
        <v>17</v>
      </c>
      <c r="BR66">
        <v>6</v>
      </c>
      <c r="BS66">
        <v>14</v>
      </c>
      <c r="BT66">
        <v>15</v>
      </c>
      <c r="BU66">
        <v>1</v>
      </c>
      <c r="BV66">
        <v>13</v>
      </c>
    </row>
    <row r="67" spans="1:74" x14ac:dyDescent="0.25">
      <c r="A67" t="s">
        <v>401</v>
      </c>
      <c r="B67" t="s">
        <v>170</v>
      </c>
      <c r="C67" t="s">
        <v>31</v>
      </c>
      <c r="D67">
        <v>27.513999999999999</v>
      </c>
      <c r="E67">
        <v>-24</v>
      </c>
      <c r="F67">
        <v>-2</v>
      </c>
      <c r="G67">
        <v>6</v>
      </c>
      <c r="H67">
        <v>4</v>
      </c>
      <c r="I67">
        <v>18</v>
      </c>
      <c r="J67">
        <v>12</v>
      </c>
      <c r="K67">
        <v>13</v>
      </c>
      <c r="L67">
        <v>27</v>
      </c>
      <c r="M67">
        <v>28</v>
      </c>
      <c r="N67">
        <v>26</v>
      </c>
      <c r="O67">
        <v>39</v>
      </c>
      <c r="P67">
        <v>43</v>
      </c>
      <c r="Q67">
        <v>44</v>
      </c>
      <c r="R67">
        <v>46</v>
      </c>
      <c r="S67">
        <v>44</v>
      </c>
      <c r="T67">
        <v>33</v>
      </c>
      <c r="U67">
        <v>24</v>
      </c>
      <c r="V67">
        <v>3</v>
      </c>
      <c r="W67">
        <v>-1</v>
      </c>
      <c r="X67">
        <v>12</v>
      </c>
      <c r="Y67">
        <v>18</v>
      </c>
      <c r="Z67">
        <v>26</v>
      </c>
      <c r="AA67">
        <v>38</v>
      </c>
      <c r="AB67">
        <v>38</v>
      </c>
      <c r="AC67">
        <v>35</v>
      </c>
      <c r="AD67">
        <v>42</v>
      </c>
      <c r="AE67">
        <v>37</v>
      </c>
      <c r="AF67">
        <v>32</v>
      </c>
      <c r="AG67">
        <v>36</v>
      </c>
      <c r="AH67">
        <v>27</v>
      </c>
      <c r="AI67">
        <v>32</v>
      </c>
      <c r="AJ67">
        <v>41</v>
      </c>
      <c r="AK67">
        <v>38</v>
      </c>
      <c r="AL67">
        <v>36</v>
      </c>
      <c r="AM67">
        <v>41</v>
      </c>
      <c r="AN67">
        <v>38</v>
      </c>
      <c r="AO67">
        <v>41</v>
      </c>
      <c r="AP67">
        <v>46</v>
      </c>
      <c r="AQ67">
        <v>44</v>
      </c>
      <c r="AR67">
        <v>43</v>
      </c>
      <c r="AS67">
        <v>46</v>
      </c>
      <c r="AT67">
        <v>46</v>
      </c>
      <c r="AU67">
        <v>47</v>
      </c>
      <c r="AV67">
        <v>54</v>
      </c>
      <c r="AW67">
        <v>52</v>
      </c>
      <c r="AX67">
        <v>47</v>
      </c>
      <c r="AY67">
        <v>51</v>
      </c>
      <c r="AZ67">
        <v>44</v>
      </c>
      <c r="BA67">
        <v>38</v>
      </c>
      <c r="BB67">
        <v>43</v>
      </c>
      <c r="BC67">
        <v>-19</v>
      </c>
      <c r="BD67">
        <v>6</v>
      </c>
      <c r="BE67">
        <v>14</v>
      </c>
      <c r="BF67">
        <v>20</v>
      </c>
      <c r="BG67">
        <v>38</v>
      </c>
      <c r="BH67">
        <v>33</v>
      </c>
      <c r="BI67">
        <v>31</v>
      </c>
      <c r="BJ67">
        <v>17</v>
      </c>
      <c r="BK67">
        <v>30</v>
      </c>
      <c r="BL67">
        <v>33</v>
      </c>
      <c r="BM67">
        <v>20</v>
      </c>
      <c r="BN67">
        <v>25</v>
      </c>
      <c r="BO67">
        <v>23</v>
      </c>
      <c r="BP67">
        <v>13</v>
      </c>
      <c r="BQ67">
        <v>14</v>
      </c>
      <c r="BR67">
        <v>12</v>
      </c>
      <c r="BS67">
        <v>5</v>
      </c>
      <c r="BT67">
        <v>7</v>
      </c>
      <c r="BU67">
        <v>7</v>
      </c>
      <c r="BV67">
        <v>5</v>
      </c>
    </row>
    <row r="68" spans="1:74" x14ac:dyDescent="0.25">
      <c r="A68" t="s">
        <v>402</v>
      </c>
      <c r="B68" t="s">
        <v>45</v>
      </c>
      <c r="C68" t="s">
        <v>100</v>
      </c>
      <c r="D68">
        <v>1.986</v>
      </c>
      <c r="E68">
        <v>5</v>
      </c>
      <c r="F68">
        <v>11</v>
      </c>
      <c r="G68">
        <v>3</v>
      </c>
      <c r="H68">
        <v>4</v>
      </c>
      <c r="I68">
        <v>5</v>
      </c>
      <c r="J68">
        <v>-1</v>
      </c>
      <c r="K68">
        <v>3</v>
      </c>
      <c r="L68">
        <v>17</v>
      </c>
      <c r="M68">
        <v>20</v>
      </c>
      <c r="N68">
        <v>10</v>
      </c>
      <c r="O68">
        <v>18</v>
      </c>
      <c r="P68">
        <v>25</v>
      </c>
      <c r="Q68">
        <v>15</v>
      </c>
      <c r="R68">
        <v>11</v>
      </c>
      <c r="S68">
        <v>7</v>
      </c>
      <c r="T68">
        <v>-7</v>
      </c>
      <c r="U68">
        <v>-35</v>
      </c>
      <c r="V68">
        <v>-27</v>
      </c>
      <c r="W68">
        <v>0</v>
      </c>
      <c r="X68">
        <v>5</v>
      </c>
      <c r="Y68">
        <v>19</v>
      </c>
      <c r="Z68">
        <v>22</v>
      </c>
      <c r="AA68">
        <v>24</v>
      </c>
      <c r="AB68">
        <v>25</v>
      </c>
      <c r="AC68">
        <v>7</v>
      </c>
      <c r="AD68">
        <v>5</v>
      </c>
      <c r="AE68">
        <v>11</v>
      </c>
      <c r="AF68">
        <v>-4</v>
      </c>
      <c r="AG68">
        <v>2</v>
      </c>
      <c r="AH68">
        <v>9</v>
      </c>
      <c r="AI68">
        <v>11</v>
      </c>
      <c r="AJ68">
        <v>17</v>
      </c>
      <c r="AK68">
        <v>18</v>
      </c>
      <c r="AL68">
        <v>6</v>
      </c>
      <c r="AM68">
        <v>7</v>
      </c>
      <c r="AN68">
        <v>13</v>
      </c>
      <c r="AO68">
        <v>9</v>
      </c>
      <c r="AP68">
        <v>11</v>
      </c>
      <c r="AQ68">
        <v>12</v>
      </c>
      <c r="AR68">
        <v>9</v>
      </c>
      <c r="AS68">
        <v>11</v>
      </c>
      <c r="AT68">
        <v>16</v>
      </c>
      <c r="AU68">
        <v>14</v>
      </c>
      <c r="AV68">
        <v>18</v>
      </c>
      <c r="AW68">
        <v>17</v>
      </c>
      <c r="AX68">
        <v>11</v>
      </c>
      <c r="AY68">
        <v>7</v>
      </c>
      <c r="AZ68">
        <v>5</v>
      </c>
      <c r="BA68">
        <v>-7</v>
      </c>
      <c r="BB68">
        <v>-2</v>
      </c>
      <c r="BC68">
        <v>-44</v>
      </c>
      <c r="BD68">
        <v>-7</v>
      </c>
      <c r="BE68">
        <v>-9</v>
      </c>
      <c r="BF68">
        <v>1</v>
      </c>
      <c r="BG68">
        <v>10</v>
      </c>
      <c r="BH68">
        <v>5</v>
      </c>
      <c r="BI68">
        <v>-14</v>
      </c>
      <c r="BJ68">
        <v>-44</v>
      </c>
      <c r="BK68">
        <v>-14</v>
      </c>
      <c r="BL68">
        <v>-5</v>
      </c>
      <c r="BM68">
        <v>-22</v>
      </c>
      <c r="BN68">
        <v>-21</v>
      </c>
      <c r="BO68">
        <v>-10</v>
      </c>
      <c r="BP68">
        <v>-18</v>
      </c>
      <c r="BQ68">
        <v>-17</v>
      </c>
      <c r="BR68">
        <v>-10</v>
      </c>
      <c r="BS68">
        <v>-12</v>
      </c>
      <c r="BT68">
        <v>-9</v>
      </c>
      <c r="BU68">
        <v>-20</v>
      </c>
      <c r="BV68">
        <v>-13</v>
      </c>
    </row>
    <row r="69" spans="1:74" x14ac:dyDescent="0.25">
      <c r="A69" t="s">
        <v>403</v>
      </c>
      <c r="B69" t="s">
        <v>110</v>
      </c>
      <c r="C69" t="s">
        <v>100</v>
      </c>
      <c r="D69">
        <v>4.9710000000000001</v>
      </c>
      <c r="E69">
        <v>13</v>
      </c>
      <c r="F69">
        <v>18</v>
      </c>
      <c r="G69">
        <v>8</v>
      </c>
      <c r="H69">
        <v>11</v>
      </c>
      <c r="I69">
        <v>9</v>
      </c>
      <c r="J69">
        <v>2</v>
      </c>
      <c r="K69">
        <v>8</v>
      </c>
      <c r="L69">
        <v>22</v>
      </c>
      <c r="M69">
        <v>23</v>
      </c>
      <c r="N69">
        <v>15</v>
      </c>
      <c r="O69">
        <v>25</v>
      </c>
      <c r="P69">
        <v>27</v>
      </c>
      <c r="Q69">
        <v>17</v>
      </c>
      <c r="R69">
        <v>14</v>
      </c>
      <c r="S69">
        <v>8</v>
      </c>
      <c r="T69">
        <v>-10</v>
      </c>
      <c r="U69">
        <v>-46</v>
      </c>
      <c r="V69">
        <v>-31</v>
      </c>
      <c r="W69">
        <v>9</v>
      </c>
      <c r="X69">
        <v>16</v>
      </c>
      <c r="Y69">
        <v>31</v>
      </c>
      <c r="Z69">
        <v>30</v>
      </c>
      <c r="AA69">
        <v>32</v>
      </c>
      <c r="AB69">
        <v>30</v>
      </c>
      <c r="AC69">
        <v>5</v>
      </c>
      <c r="AD69">
        <v>4</v>
      </c>
      <c r="AE69">
        <v>12</v>
      </c>
      <c r="AF69">
        <v>-9</v>
      </c>
      <c r="AG69">
        <v>2</v>
      </c>
      <c r="AH69">
        <v>10</v>
      </c>
      <c r="AI69">
        <v>14</v>
      </c>
      <c r="AJ69">
        <v>24</v>
      </c>
      <c r="AK69">
        <v>22</v>
      </c>
      <c r="AL69">
        <v>7</v>
      </c>
      <c r="AM69">
        <v>11</v>
      </c>
      <c r="AN69">
        <v>17</v>
      </c>
      <c r="AO69">
        <v>12</v>
      </c>
      <c r="AP69">
        <v>16</v>
      </c>
      <c r="AQ69">
        <v>15</v>
      </c>
      <c r="AR69">
        <v>13</v>
      </c>
      <c r="AS69">
        <v>17</v>
      </c>
      <c r="AT69">
        <v>21</v>
      </c>
      <c r="AU69">
        <v>18</v>
      </c>
      <c r="AV69">
        <v>24</v>
      </c>
      <c r="AW69">
        <v>20</v>
      </c>
      <c r="AX69">
        <v>12</v>
      </c>
      <c r="AY69">
        <v>6</v>
      </c>
      <c r="AZ69">
        <v>1</v>
      </c>
      <c r="BA69">
        <v>-15</v>
      </c>
      <c r="BB69">
        <v>-5</v>
      </c>
      <c r="BC69">
        <v>-43</v>
      </c>
      <c r="BD69">
        <v>5</v>
      </c>
      <c r="BE69">
        <v>8</v>
      </c>
      <c r="BF69">
        <v>16</v>
      </c>
      <c r="BG69">
        <v>17</v>
      </c>
      <c r="BH69">
        <v>12</v>
      </c>
      <c r="BI69">
        <v>-23</v>
      </c>
      <c r="BJ69">
        <v>-46</v>
      </c>
      <c r="BK69">
        <v>-12</v>
      </c>
      <c r="BL69">
        <v>-6</v>
      </c>
      <c r="BM69">
        <v>-26</v>
      </c>
      <c r="BN69">
        <v>-21</v>
      </c>
      <c r="BO69">
        <v>-11</v>
      </c>
      <c r="BP69">
        <v>-19</v>
      </c>
      <c r="BQ69">
        <v>-17</v>
      </c>
      <c r="BR69">
        <v>-8</v>
      </c>
      <c r="BS69">
        <v>-9</v>
      </c>
      <c r="BT69">
        <v>-4</v>
      </c>
      <c r="BU69">
        <v>-16</v>
      </c>
      <c r="BV69">
        <v>-4</v>
      </c>
    </row>
    <row r="70" spans="1:74" x14ac:dyDescent="0.25">
      <c r="A70" t="s">
        <v>404</v>
      </c>
      <c r="B70" t="s">
        <v>111</v>
      </c>
      <c r="C70" t="s">
        <v>100</v>
      </c>
      <c r="D70">
        <v>-12.529</v>
      </c>
      <c r="E70">
        <v>-19</v>
      </c>
      <c r="F70">
        <v>-15</v>
      </c>
      <c r="G70">
        <v>-1</v>
      </c>
      <c r="H70">
        <v>-23</v>
      </c>
      <c r="I70">
        <v>-17</v>
      </c>
      <c r="J70">
        <v>-11</v>
      </c>
      <c r="K70">
        <v>-21</v>
      </c>
      <c r="L70">
        <v>6</v>
      </c>
      <c r="M70">
        <v>21</v>
      </c>
      <c r="N70">
        <v>10</v>
      </c>
      <c r="O70">
        <v>13</v>
      </c>
      <c r="P70">
        <v>18</v>
      </c>
      <c r="Q70">
        <v>-9</v>
      </c>
      <c r="R70">
        <v>-11</v>
      </c>
      <c r="S70">
        <v>-8</v>
      </c>
      <c r="T70">
        <v>-27</v>
      </c>
      <c r="U70">
        <v>-56</v>
      </c>
      <c r="V70">
        <v>-28</v>
      </c>
      <c r="W70">
        <v>-14</v>
      </c>
      <c r="X70">
        <v>-19</v>
      </c>
      <c r="Y70">
        <v>4</v>
      </c>
      <c r="Z70">
        <v>-5</v>
      </c>
      <c r="AA70">
        <v>9</v>
      </c>
      <c r="AB70">
        <v>19</v>
      </c>
      <c r="AC70">
        <v>-19</v>
      </c>
      <c r="AD70">
        <v>-13</v>
      </c>
      <c r="AE70">
        <v>1</v>
      </c>
      <c r="AF70">
        <v>-19</v>
      </c>
      <c r="AG70">
        <v>-15</v>
      </c>
      <c r="AH70">
        <v>-3</v>
      </c>
      <c r="AI70">
        <v>-14</v>
      </c>
      <c r="AJ70">
        <v>-13</v>
      </c>
      <c r="AK70">
        <v>-1</v>
      </c>
      <c r="AL70">
        <v>-11</v>
      </c>
      <c r="AM70">
        <v>-13</v>
      </c>
      <c r="AN70">
        <v>0</v>
      </c>
      <c r="AO70">
        <v>-18</v>
      </c>
      <c r="AP70">
        <v>2</v>
      </c>
      <c r="AQ70">
        <v>-5</v>
      </c>
      <c r="AR70">
        <v>0</v>
      </c>
      <c r="AS70">
        <v>-1</v>
      </c>
      <c r="AT70">
        <v>23</v>
      </c>
      <c r="AU70">
        <v>0</v>
      </c>
      <c r="AV70">
        <v>5</v>
      </c>
      <c r="AW70">
        <v>11</v>
      </c>
      <c r="AX70">
        <v>-6</v>
      </c>
      <c r="AY70">
        <v>-10</v>
      </c>
      <c r="AZ70">
        <v>-1</v>
      </c>
      <c r="BA70">
        <v>-8</v>
      </c>
      <c r="BB70">
        <v>-5</v>
      </c>
      <c r="BC70">
        <v>-52</v>
      </c>
      <c r="BD70">
        <v>-30</v>
      </c>
      <c r="BE70">
        <v>-16</v>
      </c>
      <c r="BF70">
        <v>3</v>
      </c>
      <c r="BG70">
        <v>-1</v>
      </c>
      <c r="BH70">
        <v>2</v>
      </c>
      <c r="BI70">
        <v>-40</v>
      </c>
      <c r="BJ70">
        <v>-75</v>
      </c>
      <c r="BK70">
        <v>-43</v>
      </c>
      <c r="BL70">
        <v>-35</v>
      </c>
      <c r="BM70">
        <v>-61</v>
      </c>
      <c r="BN70">
        <v>-47</v>
      </c>
      <c r="BO70">
        <v>-24</v>
      </c>
      <c r="BP70">
        <v>-38</v>
      </c>
      <c r="BQ70">
        <v>-44</v>
      </c>
      <c r="BR70">
        <v>-1</v>
      </c>
      <c r="BS70">
        <v>-8</v>
      </c>
      <c r="BT70">
        <v>-7</v>
      </c>
      <c r="BU70">
        <v>-17</v>
      </c>
      <c r="BV70">
        <v>-26</v>
      </c>
    </row>
    <row r="71" spans="1:74" x14ac:dyDescent="0.25">
      <c r="A71" t="s">
        <v>405</v>
      </c>
      <c r="B71" t="s">
        <v>112</v>
      </c>
      <c r="C71" t="s">
        <v>100</v>
      </c>
      <c r="D71">
        <v>3.1709999999999998</v>
      </c>
      <c r="E71">
        <v>4</v>
      </c>
      <c r="F71">
        <v>6</v>
      </c>
      <c r="G71">
        <v>6</v>
      </c>
      <c r="H71">
        <v>6</v>
      </c>
      <c r="I71">
        <v>9</v>
      </c>
      <c r="J71">
        <v>1</v>
      </c>
      <c r="K71">
        <v>3</v>
      </c>
      <c r="L71">
        <v>7</v>
      </c>
      <c r="M71">
        <v>19</v>
      </c>
      <c r="N71">
        <v>14</v>
      </c>
      <c r="O71">
        <v>24</v>
      </c>
      <c r="P71">
        <v>23</v>
      </c>
      <c r="Q71">
        <v>15</v>
      </c>
      <c r="R71">
        <v>11</v>
      </c>
      <c r="S71">
        <v>3</v>
      </c>
      <c r="T71">
        <v>-3</v>
      </c>
      <c r="U71">
        <v>-13</v>
      </c>
      <c r="V71">
        <v>-13</v>
      </c>
      <c r="W71">
        <v>7</v>
      </c>
      <c r="X71">
        <v>4</v>
      </c>
      <c r="Y71">
        <v>14</v>
      </c>
      <c r="Z71">
        <v>10</v>
      </c>
      <c r="AA71">
        <v>13</v>
      </c>
      <c r="AB71">
        <v>13</v>
      </c>
      <c r="AC71">
        <v>11</v>
      </c>
      <c r="AD71">
        <v>9</v>
      </c>
      <c r="AE71">
        <v>17</v>
      </c>
      <c r="AF71">
        <v>4</v>
      </c>
      <c r="AG71">
        <v>8</v>
      </c>
      <c r="AH71">
        <v>12</v>
      </c>
      <c r="AI71">
        <v>10</v>
      </c>
      <c r="AJ71">
        <v>14</v>
      </c>
      <c r="AK71">
        <v>15</v>
      </c>
      <c r="AL71">
        <v>5</v>
      </c>
      <c r="AM71">
        <v>8</v>
      </c>
      <c r="AN71">
        <v>13</v>
      </c>
      <c r="AO71">
        <v>7</v>
      </c>
      <c r="AP71">
        <v>19</v>
      </c>
      <c r="AQ71">
        <v>19</v>
      </c>
      <c r="AR71">
        <v>12</v>
      </c>
      <c r="AS71">
        <v>16</v>
      </c>
      <c r="AT71">
        <v>14</v>
      </c>
      <c r="AU71">
        <v>14</v>
      </c>
      <c r="AV71">
        <v>16</v>
      </c>
      <c r="AW71">
        <v>16</v>
      </c>
      <c r="AX71">
        <v>7</v>
      </c>
      <c r="AY71">
        <v>5</v>
      </c>
      <c r="AZ71">
        <v>10</v>
      </c>
      <c r="BA71">
        <v>3</v>
      </c>
      <c r="BB71">
        <v>12</v>
      </c>
      <c r="BC71">
        <v>-33</v>
      </c>
      <c r="BD71">
        <v>1</v>
      </c>
      <c r="BE71">
        <v>1</v>
      </c>
      <c r="BF71">
        <v>6</v>
      </c>
      <c r="BG71">
        <v>1</v>
      </c>
      <c r="BH71">
        <v>-3</v>
      </c>
      <c r="BI71">
        <v>-31</v>
      </c>
      <c r="BJ71">
        <v>-48</v>
      </c>
      <c r="BK71">
        <v>-24</v>
      </c>
      <c r="BL71">
        <v>-12</v>
      </c>
      <c r="BM71">
        <v>-16</v>
      </c>
      <c r="BN71">
        <v>-19</v>
      </c>
      <c r="BO71">
        <v>-5</v>
      </c>
      <c r="BP71">
        <v>-6</v>
      </c>
      <c r="BQ71">
        <v>-7</v>
      </c>
      <c r="BR71">
        <v>-14</v>
      </c>
      <c r="BS71">
        <v>-8</v>
      </c>
      <c r="BT71">
        <v>-11</v>
      </c>
      <c r="BU71">
        <v>-20</v>
      </c>
      <c r="BV71">
        <v>-9</v>
      </c>
    </row>
    <row r="72" spans="1:74" x14ac:dyDescent="0.25">
      <c r="A72" t="s">
        <v>406</v>
      </c>
      <c r="B72" t="s">
        <v>113</v>
      </c>
      <c r="C72" t="s">
        <v>100</v>
      </c>
      <c r="D72">
        <v>2.1429999999999998</v>
      </c>
      <c r="E72">
        <v>5</v>
      </c>
      <c r="F72">
        <v>7</v>
      </c>
      <c r="G72">
        <v>3</v>
      </c>
      <c r="H72">
        <v>-4</v>
      </c>
      <c r="I72">
        <v>4</v>
      </c>
      <c r="J72">
        <v>-7</v>
      </c>
      <c r="K72">
        <v>6</v>
      </c>
      <c r="L72">
        <v>14</v>
      </c>
      <c r="M72">
        <v>11</v>
      </c>
      <c r="N72">
        <v>3</v>
      </c>
      <c r="O72">
        <v>9</v>
      </c>
      <c r="P72">
        <v>31</v>
      </c>
      <c r="Q72">
        <v>0</v>
      </c>
      <c r="R72">
        <v>-1</v>
      </c>
      <c r="S72">
        <v>-3</v>
      </c>
      <c r="T72">
        <v>-17</v>
      </c>
      <c r="U72">
        <v>-28</v>
      </c>
      <c r="V72">
        <v>-31</v>
      </c>
      <c r="W72">
        <v>-12</v>
      </c>
      <c r="X72">
        <v>-7</v>
      </c>
      <c r="Y72">
        <v>8</v>
      </c>
      <c r="Z72">
        <v>1</v>
      </c>
      <c r="AA72">
        <v>2</v>
      </c>
      <c r="AB72">
        <v>6</v>
      </c>
      <c r="AC72">
        <v>-9</v>
      </c>
      <c r="AD72">
        <v>7</v>
      </c>
      <c r="AE72">
        <v>6</v>
      </c>
      <c r="AF72">
        <v>4</v>
      </c>
      <c r="AG72">
        <v>8</v>
      </c>
      <c r="AH72">
        <v>14</v>
      </c>
      <c r="AI72">
        <v>2</v>
      </c>
      <c r="AJ72">
        <v>16</v>
      </c>
      <c r="AK72">
        <v>23</v>
      </c>
      <c r="AL72">
        <v>14</v>
      </c>
      <c r="AM72">
        <v>16</v>
      </c>
      <c r="AN72">
        <v>23</v>
      </c>
      <c r="AO72">
        <v>15</v>
      </c>
      <c r="AP72">
        <v>18</v>
      </c>
      <c r="AQ72">
        <v>24</v>
      </c>
      <c r="AR72">
        <v>15</v>
      </c>
      <c r="AS72">
        <v>18</v>
      </c>
      <c r="AT72">
        <v>28</v>
      </c>
      <c r="AU72">
        <v>13</v>
      </c>
      <c r="AV72">
        <v>24</v>
      </c>
      <c r="AW72">
        <v>32</v>
      </c>
      <c r="AX72">
        <v>16</v>
      </c>
      <c r="AY72">
        <v>18</v>
      </c>
      <c r="AZ72">
        <v>20</v>
      </c>
      <c r="BA72">
        <v>11</v>
      </c>
      <c r="BB72">
        <v>10</v>
      </c>
      <c r="BC72">
        <v>-48</v>
      </c>
      <c r="BD72">
        <v>2</v>
      </c>
      <c r="BE72">
        <v>0</v>
      </c>
      <c r="BF72">
        <v>13</v>
      </c>
      <c r="BG72">
        <v>25</v>
      </c>
      <c r="BH72">
        <v>12</v>
      </c>
      <c r="BI72">
        <v>7</v>
      </c>
      <c r="BJ72">
        <v>-62</v>
      </c>
      <c r="BK72">
        <v>-15</v>
      </c>
      <c r="BL72">
        <v>3</v>
      </c>
      <c r="BM72">
        <v>-26</v>
      </c>
      <c r="BN72">
        <v>-20</v>
      </c>
      <c r="BO72">
        <v>-2</v>
      </c>
      <c r="BP72">
        <v>-23</v>
      </c>
      <c r="BQ72">
        <v>-16</v>
      </c>
      <c r="BR72">
        <v>-17</v>
      </c>
      <c r="BS72">
        <v>-12</v>
      </c>
      <c r="BT72">
        <v>-16</v>
      </c>
      <c r="BU72">
        <v>-21</v>
      </c>
      <c r="BV72">
        <v>-20</v>
      </c>
    </row>
    <row r="73" spans="1:74" x14ac:dyDescent="0.25">
      <c r="A73" t="s">
        <v>407</v>
      </c>
      <c r="B73" t="s">
        <v>114</v>
      </c>
      <c r="C73" t="s">
        <v>100</v>
      </c>
      <c r="D73">
        <v>1.3859999999999999</v>
      </c>
      <c r="E73">
        <v>7</v>
      </c>
      <c r="F73">
        <v>9</v>
      </c>
      <c r="G73">
        <v>-3</v>
      </c>
      <c r="H73">
        <v>2</v>
      </c>
      <c r="I73">
        <v>6</v>
      </c>
      <c r="J73">
        <v>1</v>
      </c>
      <c r="K73">
        <v>7</v>
      </c>
      <c r="L73">
        <v>15</v>
      </c>
      <c r="M73">
        <v>11</v>
      </c>
      <c r="N73">
        <v>0</v>
      </c>
      <c r="O73">
        <v>19</v>
      </c>
      <c r="P73">
        <v>27</v>
      </c>
      <c r="Q73">
        <v>15</v>
      </c>
      <c r="R73">
        <v>13</v>
      </c>
      <c r="S73">
        <v>8</v>
      </c>
      <c r="T73">
        <v>-13</v>
      </c>
      <c r="U73">
        <v>-42</v>
      </c>
      <c r="V73">
        <v>-37</v>
      </c>
      <c r="W73">
        <v>7</v>
      </c>
      <c r="X73">
        <v>17</v>
      </c>
      <c r="Y73">
        <v>23</v>
      </c>
      <c r="Z73">
        <v>28</v>
      </c>
      <c r="AA73">
        <v>29</v>
      </c>
      <c r="AB73">
        <v>28</v>
      </c>
      <c r="AC73">
        <v>10</v>
      </c>
      <c r="AD73">
        <v>1</v>
      </c>
      <c r="AE73">
        <v>9</v>
      </c>
      <c r="AF73">
        <v>1</v>
      </c>
      <c r="AG73">
        <v>6</v>
      </c>
      <c r="AH73">
        <v>11</v>
      </c>
      <c r="AI73">
        <v>17</v>
      </c>
      <c r="AJ73">
        <v>23</v>
      </c>
      <c r="AK73">
        <v>19</v>
      </c>
      <c r="AL73">
        <v>4</v>
      </c>
      <c r="AM73">
        <v>6</v>
      </c>
      <c r="AN73">
        <v>11</v>
      </c>
      <c r="AO73">
        <v>9</v>
      </c>
      <c r="AP73">
        <v>13</v>
      </c>
      <c r="AQ73">
        <v>12</v>
      </c>
      <c r="AR73">
        <v>9</v>
      </c>
      <c r="AS73">
        <v>14</v>
      </c>
      <c r="AT73">
        <v>9</v>
      </c>
      <c r="AU73">
        <v>11</v>
      </c>
      <c r="AV73">
        <v>9</v>
      </c>
      <c r="AW73">
        <v>7</v>
      </c>
      <c r="AX73">
        <v>8</v>
      </c>
      <c r="AY73">
        <v>4</v>
      </c>
      <c r="AZ73">
        <v>-6</v>
      </c>
      <c r="BA73">
        <v>-16</v>
      </c>
      <c r="BB73">
        <v>-5</v>
      </c>
      <c r="BC73">
        <v>-39</v>
      </c>
      <c r="BD73">
        <v>-4</v>
      </c>
      <c r="BE73">
        <v>-6</v>
      </c>
      <c r="BF73">
        <v>0</v>
      </c>
      <c r="BG73">
        <v>20</v>
      </c>
      <c r="BH73">
        <v>11</v>
      </c>
      <c r="BI73">
        <v>-20</v>
      </c>
      <c r="BJ73">
        <v>-53</v>
      </c>
      <c r="BK73">
        <v>-18</v>
      </c>
      <c r="BL73">
        <v>-11</v>
      </c>
      <c r="BM73">
        <v>-31</v>
      </c>
      <c r="BN73">
        <v>-23</v>
      </c>
      <c r="BO73">
        <v>-14</v>
      </c>
      <c r="BP73">
        <v>-20</v>
      </c>
      <c r="BQ73">
        <v>-12</v>
      </c>
      <c r="BR73">
        <v>-14</v>
      </c>
      <c r="BS73">
        <v>-8</v>
      </c>
      <c r="BT73">
        <v>-9</v>
      </c>
      <c r="BU73">
        <v>-17</v>
      </c>
      <c r="BV73">
        <v>-8</v>
      </c>
    </row>
    <row r="74" spans="1:74" x14ac:dyDescent="0.25">
      <c r="A74" t="s">
        <v>408</v>
      </c>
      <c r="B74" t="s">
        <v>115</v>
      </c>
      <c r="C74" t="s">
        <v>100</v>
      </c>
      <c r="D74">
        <v>1.7430000000000001</v>
      </c>
      <c r="E74">
        <v>12</v>
      </c>
      <c r="F74">
        <v>12</v>
      </c>
      <c r="G74">
        <v>3</v>
      </c>
      <c r="H74">
        <v>5</v>
      </c>
      <c r="I74">
        <v>7</v>
      </c>
      <c r="J74">
        <v>2</v>
      </c>
      <c r="K74">
        <v>7</v>
      </c>
      <c r="L74">
        <v>11</v>
      </c>
      <c r="M74">
        <v>8</v>
      </c>
      <c r="N74">
        <v>0</v>
      </c>
      <c r="O74">
        <v>21</v>
      </c>
      <c r="P74">
        <v>26</v>
      </c>
      <c r="Q74">
        <v>9</v>
      </c>
      <c r="R74">
        <v>5</v>
      </c>
      <c r="S74">
        <v>8</v>
      </c>
      <c r="T74">
        <v>-14</v>
      </c>
      <c r="U74">
        <v>-39</v>
      </c>
      <c r="V74">
        <v>-34</v>
      </c>
      <c r="W74">
        <v>12</v>
      </c>
      <c r="X74">
        <v>22</v>
      </c>
      <c r="Y74">
        <v>23</v>
      </c>
      <c r="Z74">
        <v>33</v>
      </c>
      <c r="AA74">
        <v>28</v>
      </c>
      <c r="AB74">
        <v>26</v>
      </c>
      <c r="AC74">
        <v>9</v>
      </c>
      <c r="AD74">
        <v>-2</v>
      </c>
      <c r="AE74">
        <v>9</v>
      </c>
      <c r="AF74">
        <v>-5</v>
      </c>
      <c r="AG74">
        <v>1</v>
      </c>
      <c r="AH74">
        <v>14</v>
      </c>
      <c r="AI74">
        <v>14</v>
      </c>
      <c r="AJ74">
        <v>22</v>
      </c>
      <c r="AK74">
        <v>18</v>
      </c>
      <c r="AL74">
        <v>0</v>
      </c>
      <c r="AM74">
        <v>12</v>
      </c>
      <c r="AN74">
        <v>16</v>
      </c>
      <c r="AO74">
        <v>9</v>
      </c>
      <c r="AP74">
        <v>13</v>
      </c>
      <c r="AQ74">
        <v>12</v>
      </c>
      <c r="AR74">
        <v>10</v>
      </c>
      <c r="AS74">
        <v>19</v>
      </c>
      <c r="AT74">
        <v>15</v>
      </c>
      <c r="AU74">
        <v>11</v>
      </c>
      <c r="AV74">
        <v>9</v>
      </c>
      <c r="AW74">
        <v>8</v>
      </c>
      <c r="AX74">
        <v>12</v>
      </c>
      <c r="AY74">
        <v>5</v>
      </c>
      <c r="AZ74">
        <v>-6</v>
      </c>
      <c r="BA74">
        <v>-12</v>
      </c>
      <c r="BB74">
        <v>-7</v>
      </c>
      <c r="BC74">
        <v>-42</v>
      </c>
      <c r="BD74">
        <v>1</v>
      </c>
      <c r="BE74">
        <v>-3</v>
      </c>
      <c r="BF74">
        <v>0</v>
      </c>
      <c r="BG74">
        <v>11</v>
      </c>
      <c r="BH74">
        <v>7</v>
      </c>
      <c r="BI74">
        <v>-29</v>
      </c>
      <c r="BJ74">
        <v>-58</v>
      </c>
      <c r="BK74">
        <v>-26</v>
      </c>
      <c r="BL74">
        <v>-15</v>
      </c>
      <c r="BM74">
        <v>-32</v>
      </c>
      <c r="BN74">
        <v>-21</v>
      </c>
      <c r="BO74">
        <v>-15</v>
      </c>
      <c r="BP74">
        <v>-14</v>
      </c>
      <c r="BQ74">
        <v>-5</v>
      </c>
      <c r="BR74">
        <v>-9</v>
      </c>
      <c r="BS74">
        <v>-2</v>
      </c>
      <c r="BT74">
        <v>-5</v>
      </c>
      <c r="BU74">
        <v>-12</v>
      </c>
      <c r="BV74">
        <v>-8</v>
      </c>
    </row>
    <row r="75" spans="1:74" x14ac:dyDescent="0.25">
      <c r="A75" t="s">
        <v>409</v>
      </c>
      <c r="B75" t="s">
        <v>116</v>
      </c>
      <c r="C75" t="s">
        <v>100</v>
      </c>
      <c r="D75">
        <v>-3.7709999999999999</v>
      </c>
      <c r="E75">
        <v>-7</v>
      </c>
      <c r="F75">
        <v>4</v>
      </c>
      <c r="G75">
        <v>0</v>
      </c>
      <c r="H75">
        <v>-8</v>
      </c>
      <c r="I75">
        <v>-2</v>
      </c>
      <c r="J75">
        <v>3</v>
      </c>
      <c r="K75">
        <v>-12</v>
      </c>
      <c r="L75">
        <v>17</v>
      </c>
      <c r="M75">
        <v>16</v>
      </c>
      <c r="N75">
        <v>-1</v>
      </c>
      <c r="O75">
        <v>15</v>
      </c>
      <c r="P75">
        <v>15</v>
      </c>
      <c r="Q75">
        <v>-11</v>
      </c>
      <c r="R75">
        <v>-2</v>
      </c>
      <c r="S75">
        <v>4</v>
      </c>
      <c r="T75">
        <v>-18</v>
      </c>
      <c r="U75">
        <v>-46</v>
      </c>
      <c r="V75">
        <v>-50</v>
      </c>
      <c r="W75">
        <v>-8</v>
      </c>
      <c r="X75">
        <v>2</v>
      </c>
      <c r="Y75">
        <v>27</v>
      </c>
      <c r="Z75">
        <v>25</v>
      </c>
      <c r="AA75">
        <v>39</v>
      </c>
      <c r="AB75">
        <v>30</v>
      </c>
      <c r="AC75">
        <v>4</v>
      </c>
      <c r="AD75">
        <v>-4</v>
      </c>
      <c r="AE75">
        <v>15</v>
      </c>
      <c r="AF75">
        <v>-17</v>
      </c>
      <c r="AG75">
        <v>3</v>
      </c>
      <c r="AH75">
        <v>12</v>
      </c>
      <c r="AI75">
        <v>4</v>
      </c>
      <c r="AJ75">
        <v>12</v>
      </c>
      <c r="AK75">
        <v>32</v>
      </c>
      <c r="AL75">
        <v>1</v>
      </c>
      <c r="AM75">
        <v>6</v>
      </c>
      <c r="AN75">
        <v>20</v>
      </c>
      <c r="AO75">
        <v>6</v>
      </c>
      <c r="AP75">
        <v>13</v>
      </c>
      <c r="AQ75">
        <v>16</v>
      </c>
      <c r="AR75">
        <v>12</v>
      </c>
      <c r="AS75">
        <v>19</v>
      </c>
      <c r="AT75">
        <v>22</v>
      </c>
      <c r="AU75">
        <v>7</v>
      </c>
      <c r="AV75">
        <v>15</v>
      </c>
      <c r="AW75">
        <v>27</v>
      </c>
      <c r="AX75">
        <v>9</v>
      </c>
      <c r="AY75">
        <v>5</v>
      </c>
      <c r="AZ75">
        <v>4</v>
      </c>
      <c r="BA75">
        <v>-16</v>
      </c>
      <c r="BB75">
        <v>0</v>
      </c>
      <c r="BC75">
        <v>-50</v>
      </c>
      <c r="BD75">
        <v>-12</v>
      </c>
      <c r="BE75">
        <v>-9</v>
      </c>
      <c r="BF75">
        <v>2</v>
      </c>
      <c r="BG75">
        <v>-8</v>
      </c>
      <c r="BH75">
        <v>-2</v>
      </c>
      <c r="BI75">
        <v>-35</v>
      </c>
      <c r="BJ75">
        <v>-67</v>
      </c>
      <c r="BK75">
        <v>-41</v>
      </c>
      <c r="BL75">
        <v>-32</v>
      </c>
      <c r="BM75">
        <v>-50</v>
      </c>
      <c r="BN75">
        <v>-41</v>
      </c>
      <c r="BO75">
        <v>-27</v>
      </c>
      <c r="BP75">
        <v>-33</v>
      </c>
      <c r="BQ75">
        <v>-25</v>
      </c>
      <c r="BR75">
        <v>-17</v>
      </c>
      <c r="BS75">
        <v>-13</v>
      </c>
      <c r="BT75">
        <v>-14</v>
      </c>
      <c r="BU75">
        <v>-25</v>
      </c>
      <c r="BV75">
        <v>-24</v>
      </c>
    </row>
    <row r="76" spans="1:74" x14ac:dyDescent="0.25">
      <c r="A76" t="s">
        <v>410</v>
      </c>
      <c r="B76" t="s">
        <v>117</v>
      </c>
      <c r="C76" t="s">
        <v>100</v>
      </c>
      <c r="D76">
        <v>4.2290000000000001</v>
      </c>
      <c r="E76">
        <v>27</v>
      </c>
      <c r="F76">
        <v>28</v>
      </c>
      <c r="G76">
        <v>11</v>
      </c>
      <c r="H76">
        <v>14</v>
      </c>
      <c r="I76">
        <v>5</v>
      </c>
      <c r="J76">
        <v>3</v>
      </c>
      <c r="K76">
        <v>11</v>
      </c>
      <c r="L76">
        <v>25</v>
      </c>
      <c r="M76">
        <v>17</v>
      </c>
      <c r="N76">
        <v>20</v>
      </c>
      <c r="O76">
        <v>32</v>
      </c>
      <c r="P76">
        <v>26</v>
      </c>
      <c r="Q76">
        <v>12</v>
      </c>
      <c r="R76">
        <v>23</v>
      </c>
      <c r="S76">
        <v>9</v>
      </c>
      <c r="T76">
        <v>0</v>
      </c>
      <c r="U76">
        <v>-44</v>
      </c>
      <c r="V76">
        <v>-21</v>
      </c>
      <c r="W76">
        <v>13</v>
      </c>
      <c r="X76">
        <v>14</v>
      </c>
      <c r="Y76">
        <v>24</v>
      </c>
      <c r="Z76">
        <v>24</v>
      </c>
      <c r="AA76">
        <v>34</v>
      </c>
      <c r="AB76">
        <v>18</v>
      </c>
      <c r="AC76">
        <v>2</v>
      </c>
      <c r="AD76">
        <v>9</v>
      </c>
      <c r="AE76">
        <v>15</v>
      </c>
      <c r="AF76">
        <v>-6</v>
      </c>
      <c r="AG76">
        <v>2</v>
      </c>
      <c r="AH76">
        <v>3</v>
      </c>
      <c r="AI76">
        <v>8</v>
      </c>
      <c r="AJ76">
        <v>22</v>
      </c>
      <c r="AK76">
        <v>13</v>
      </c>
      <c r="AL76">
        <v>11</v>
      </c>
      <c r="AM76">
        <v>3</v>
      </c>
      <c r="AN76">
        <v>9</v>
      </c>
      <c r="AO76">
        <v>18</v>
      </c>
      <c r="AP76">
        <v>18</v>
      </c>
      <c r="AQ76">
        <v>20</v>
      </c>
      <c r="AR76">
        <v>12</v>
      </c>
      <c r="AS76">
        <v>17</v>
      </c>
      <c r="AT76">
        <v>12</v>
      </c>
      <c r="AU76">
        <v>18</v>
      </c>
      <c r="AV76">
        <v>26</v>
      </c>
      <c r="AW76">
        <v>16</v>
      </c>
      <c r="AX76">
        <v>19</v>
      </c>
      <c r="AY76">
        <v>4</v>
      </c>
      <c r="AZ76">
        <v>3</v>
      </c>
      <c r="BA76">
        <v>-9</v>
      </c>
      <c r="BB76">
        <v>-7</v>
      </c>
      <c r="BC76">
        <v>-37</v>
      </c>
      <c r="BD76">
        <v>7</v>
      </c>
      <c r="BE76">
        <v>-2</v>
      </c>
      <c r="BF76">
        <v>14</v>
      </c>
      <c r="BG76">
        <v>22</v>
      </c>
      <c r="BH76">
        <v>6</v>
      </c>
      <c r="BI76">
        <v>-32</v>
      </c>
      <c r="BJ76">
        <v>-54</v>
      </c>
      <c r="BK76">
        <v>-21</v>
      </c>
      <c r="BL76">
        <v>1</v>
      </c>
      <c r="BM76">
        <v>-25</v>
      </c>
      <c r="BN76">
        <v>-14</v>
      </c>
      <c r="BO76">
        <v>-6</v>
      </c>
      <c r="BP76">
        <v>-14</v>
      </c>
      <c r="BQ76">
        <v>-21</v>
      </c>
      <c r="BR76">
        <v>-18</v>
      </c>
      <c r="BS76">
        <v>-20</v>
      </c>
      <c r="BT76">
        <v>-12</v>
      </c>
      <c r="BU76">
        <v>-33</v>
      </c>
      <c r="BV76">
        <v>-28</v>
      </c>
    </row>
    <row r="77" spans="1:74" x14ac:dyDescent="0.25">
      <c r="A77" t="s">
        <v>411</v>
      </c>
      <c r="B77" t="s">
        <v>118</v>
      </c>
      <c r="C77" t="s">
        <v>100</v>
      </c>
      <c r="D77">
        <v>-3.786</v>
      </c>
      <c r="E77">
        <v>9</v>
      </c>
      <c r="F77">
        <v>12</v>
      </c>
      <c r="G77">
        <v>-4</v>
      </c>
      <c r="H77">
        <v>6</v>
      </c>
      <c r="I77">
        <v>1</v>
      </c>
      <c r="J77">
        <v>-4</v>
      </c>
      <c r="K77">
        <v>7</v>
      </c>
      <c r="L77">
        <v>16</v>
      </c>
      <c r="M77">
        <v>16</v>
      </c>
      <c r="N77">
        <v>10</v>
      </c>
      <c r="O77">
        <v>14</v>
      </c>
      <c r="P77">
        <v>23</v>
      </c>
      <c r="Q77">
        <v>17</v>
      </c>
      <c r="R77">
        <v>2</v>
      </c>
      <c r="S77">
        <v>6</v>
      </c>
      <c r="T77">
        <v>-13</v>
      </c>
      <c r="U77">
        <v>-40</v>
      </c>
      <c r="V77">
        <v>-39</v>
      </c>
      <c r="W77">
        <v>2</v>
      </c>
      <c r="X77">
        <v>-5</v>
      </c>
      <c r="Y77">
        <v>9</v>
      </c>
      <c r="Z77">
        <v>20</v>
      </c>
      <c r="AA77">
        <v>11</v>
      </c>
      <c r="AB77">
        <v>11</v>
      </c>
      <c r="AC77">
        <v>3</v>
      </c>
      <c r="AD77">
        <v>-6</v>
      </c>
      <c r="AE77">
        <v>7</v>
      </c>
      <c r="AF77">
        <v>-3</v>
      </c>
      <c r="AG77">
        <v>5</v>
      </c>
      <c r="AH77">
        <v>6</v>
      </c>
      <c r="AI77">
        <v>5</v>
      </c>
      <c r="AJ77">
        <v>0</v>
      </c>
      <c r="AK77">
        <v>1</v>
      </c>
      <c r="AL77">
        <v>2</v>
      </c>
      <c r="AM77">
        <v>-5</v>
      </c>
      <c r="AN77">
        <v>4</v>
      </c>
      <c r="AO77">
        <v>8</v>
      </c>
      <c r="AP77">
        <v>7</v>
      </c>
      <c r="AQ77">
        <v>0</v>
      </c>
      <c r="AR77">
        <v>6</v>
      </c>
      <c r="AS77">
        <v>1</v>
      </c>
      <c r="AT77">
        <v>9</v>
      </c>
      <c r="AU77">
        <v>4</v>
      </c>
      <c r="AV77">
        <v>2</v>
      </c>
      <c r="AW77">
        <v>6</v>
      </c>
      <c r="AX77">
        <v>11</v>
      </c>
      <c r="AY77">
        <v>1</v>
      </c>
      <c r="AZ77">
        <v>4</v>
      </c>
      <c r="BA77">
        <v>-11</v>
      </c>
      <c r="BB77">
        <v>-9</v>
      </c>
      <c r="BC77">
        <v>-46</v>
      </c>
      <c r="BD77">
        <v>-4</v>
      </c>
      <c r="BE77">
        <v>-22</v>
      </c>
      <c r="BF77">
        <v>5</v>
      </c>
      <c r="BG77">
        <v>16</v>
      </c>
      <c r="BH77">
        <v>-6</v>
      </c>
      <c r="BI77">
        <v>-23</v>
      </c>
      <c r="BJ77">
        <v>-47</v>
      </c>
      <c r="BK77">
        <v>-23</v>
      </c>
      <c r="BL77">
        <v>-7</v>
      </c>
      <c r="BM77">
        <v>-29</v>
      </c>
      <c r="BN77">
        <v>-32</v>
      </c>
      <c r="BO77">
        <v>-15</v>
      </c>
      <c r="BP77">
        <v>-23</v>
      </c>
      <c r="BQ77">
        <v>-31</v>
      </c>
      <c r="BR77">
        <v>-28</v>
      </c>
      <c r="BS77">
        <v>-24</v>
      </c>
      <c r="BT77">
        <v>-23</v>
      </c>
      <c r="BU77">
        <v>-33</v>
      </c>
      <c r="BV77">
        <v>-15</v>
      </c>
    </row>
    <row r="78" spans="1:74" x14ac:dyDescent="0.25">
      <c r="A78" t="s">
        <v>412</v>
      </c>
      <c r="B78" t="s">
        <v>119</v>
      </c>
      <c r="C78" t="s">
        <v>100</v>
      </c>
      <c r="D78">
        <v>10.943</v>
      </c>
      <c r="E78">
        <v>28</v>
      </c>
      <c r="F78">
        <v>26</v>
      </c>
      <c r="G78">
        <v>14</v>
      </c>
      <c r="H78">
        <v>18</v>
      </c>
      <c r="I78">
        <v>21</v>
      </c>
      <c r="J78">
        <v>17</v>
      </c>
      <c r="K78">
        <v>15</v>
      </c>
      <c r="L78">
        <v>33</v>
      </c>
      <c r="M78">
        <v>29</v>
      </c>
      <c r="N78">
        <v>18</v>
      </c>
      <c r="O78">
        <v>26</v>
      </c>
      <c r="P78">
        <v>29</v>
      </c>
      <c r="Q78">
        <v>23</v>
      </c>
      <c r="R78">
        <v>18</v>
      </c>
      <c r="S78">
        <v>9</v>
      </c>
      <c r="T78">
        <v>-7</v>
      </c>
      <c r="U78">
        <v>-43</v>
      </c>
      <c r="V78">
        <v>-6</v>
      </c>
      <c r="W78">
        <v>24</v>
      </c>
      <c r="X78">
        <v>36</v>
      </c>
      <c r="Y78">
        <v>38</v>
      </c>
      <c r="Z78">
        <v>27</v>
      </c>
      <c r="AA78">
        <v>30</v>
      </c>
      <c r="AB78">
        <v>25</v>
      </c>
      <c r="AC78">
        <v>2</v>
      </c>
      <c r="AD78">
        <v>7</v>
      </c>
      <c r="AE78">
        <v>19</v>
      </c>
      <c r="AF78">
        <v>0</v>
      </c>
      <c r="AG78">
        <v>12</v>
      </c>
      <c r="AH78">
        <v>18</v>
      </c>
      <c r="AI78">
        <v>22</v>
      </c>
      <c r="AJ78">
        <v>34</v>
      </c>
      <c r="AK78">
        <v>29</v>
      </c>
      <c r="AL78">
        <v>8</v>
      </c>
      <c r="AM78">
        <v>20</v>
      </c>
      <c r="AN78">
        <v>26</v>
      </c>
      <c r="AO78">
        <v>23</v>
      </c>
      <c r="AP78">
        <v>25</v>
      </c>
      <c r="AQ78">
        <v>24</v>
      </c>
      <c r="AR78">
        <v>15</v>
      </c>
      <c r="AS78">
        <v>25</v>
      </c>
      <c r="AT78">
        <v>23</v>
      </c>
      <c r="AU78">
        <v>22</v>
      </c>
      <c r="AV78">
        <v>31</v>
      </c>
      <c r="AW78">
        <v>18</v>
      </c>
      <c r="AX78">
        <v>17</v>
      </c>
      <c r="AY78">
        <v>13</v>
      </c>
      <c r="AZ78">
        <v>10</v>
      </c>
      <c r="BA78">
        <v>-8</v>
      </c>
      <c r="BB78">
        <v>13</v>
      </c>
      <c r="BC78">
        <v>-39</v>
      </c>
      <c r="BD78">
        <v>19</v>
      </c>
      <c r="BE78">
        <v>19</v>
      </c>
      <c r="BF78">
        <v>21</v>
      </c>
      <c r="BG78">
        <v>14</v>
      </c>
      <c r="BH78">
        <v>7</v>
      </c>
      <c r="BI78">
        <v>-29</v>
      </c>
      <c r="BJ78">
        <v>-53</v>
      </c>
      <c r="BK78">
        <v>-14</v>
      </c>
      <c r="BL78">
        <v>-1</v>
      </c>
      <c r="BM78">
        <v>-16</v>
      </c>
      <c r="BN78">
        <v>-10</v>
      </c>
      <c r="BO78">
        <v>4</v>
      </c>
      <c r="BP78">
        <v>-9</v>
      </c>
      <c r="BQ78">
        <v>-10</v>
      </c>
      <c r="BR78">
        <v>-3</v>
      </c>
      <c r="BS78">
        <v>-10</v>
      </c>
      <c r="BT78">
        <v>-4</v>
      </c>
      <c r="BU78">
        <v>-18</v>
      </c>
      <c r="BV78">
        <v>2</v>
      </c>
    </row>
    <row r="79" spans="1:74" x14ac:dyDescent="0.25">
      <c r="A79" t="s">
        <v>413</v>
      </c>
      <c r="B79" t="s">
        <v>120</v>
      </c>
      <c r="C79" t="s">
        <v>100</v>
      </c>
      <c r="D79">
        <v>14.957000000000001</v>
      </c>
      <c r="E79">
        <v>-3</v>
      </c>
      <c r="F79">
        <v>-8</v>
      </c>
      <c r="G79">
        <v>-2</v>
      </c>
      <c r="H79">
        <v>3</v>
      </c>
      <c r="I79">
        <v>18</v>
      </c>
      <c r="J79">
        <v>33</v>
      </c>
      <c r="K79">
        <v>26</v>
      </c>
      <c r="L79">
        <v>20</v>
      </c>
      <c r="M79">
        <v>21</v>
      </c>
      <c r="N79">
        <v>13</v>
      </c>
      <c r="O79">
        <v>22</v>
      </c>
      <c r="P79">
        <v>36</v>
      </c>
      <c r="Q79">
        <v>33</v>
      </c>
      <c r="R79">
        <v>34</v>
      </c>
      <c r="S79">
        <v>36</v>
      </c>
      <c r="T79">
        <v>15</v>
      </c>
      <c r="U79">
        <v>-9</v>
      </c>
      <c r="V79">
        <v>-19</v>
      </c>
      <c r="W79">
        <v>26</v>
      </c>
      <c r="X79">
        <v>32</v>
      </c>
      <c r="Y79">
        <v>27</v>
      </c>
      <c r="Z79">
        <v>24</v>
      </c>
      <c r="AA79">
        <v>21</v>
      </c>
      <c r="AB79">
        <v>26</v>
      </c>
      <c r="AC79">
        <v>19</v>
      </c>
      <c r="AD79">
        <v>30</v>
      </c>
      <c r="AE79">
        <v>11</v>
      </c>
      <c r="AF79">
        <v>12</v>
      </c>
      <c r="AG79">
        <v>25</v>
      </c>
      <c r="AH79">
        <v>20</v>
      </c>
      <c r="AI79">
        <v>20</v>
      </c>
      <c r="AJ79">
        <v>27</v>
      </c>
      <c r="AK79">
        <v>22</v>
      </c>
      <c r="AL79">
        <v>8</v>
      </c>
      <c r="AM79">
        <v>10</v>
      </c>
      <c r="AN79">
        <v>18</v>
      </c>
      <c r="AO79">
        <v>11</v>
      </c>
      <c r="AP79">
        <v>26</v>
      </c>
      <c r="AQ79">
        <v>23</v>
      </c>
      <c r="AR79">
        <v>12</v>
      </c>
      <c r="AS79">
        <v>17</v>
      </c>
      <c r="AT79">
        <v>22</v>
      </c>
      <c r="AU79">
        <v>26</v>
      </c>
      <c r="AV79">
        <v>26</v>
      </c>
      <c r="AW79">
        <v>28</v>
      </c>
      <c r="AX79">
        <v>20</v>
      </c>
      <c r="AY79">
        <v>2</v>
      </c>
      <c r="AZ79">
        <v>20</v>
      </c>
      <c r="BA79">
        <v>17</v>
      </c>
      <c r="BB79">
        <v>18</v>
      </c>
      <c r="BC79">
        <v>-21</v>
      </c>
      <c r="BD79">
        <v>3</v>
      </c>
      <c r="BE79">
        <v>12</v>
      </c>
      <c r="BF79">
        <v>8</v>
      </c>
      <c r="BG79">
        <v>28</v>
      </c>
      <c r="BH79">
        <v>32</v>
      </c>
      <c r="BI79">
        <v>3</v>
      </c>
      <c r="BJ79">
        <v>-33</v>
      </c>
      <c r="BK79">
        <v>0</v>
      </c>
      <c r="BL79">
        <v>5</v>
      </c>
      <c r="BM79">
        <v>1</v>
      </c>
      <c r="BN79">
        <v>16</v>
      </c>
      <c r="BO79">
        <v>16</v>
      </c>
      <c r="BP79">
        <v>21</v>
      </c>
      <c r="BQ79">
        <v>23</v>
      </c>
      <c r="BR79">
        <v>11</v>
      </c>
      <c r="BS79">
        <v>-5</v>
      </c>
      <c r="BT79">
        <v>9</v>
      </c>
      <c r="BU79">
        <v>5</v>
      </c>
      <c r="BV79">
        <v>-2</v>
      </c>
    </row>
    <row r="80" spans="1:74" x14ac:dyDescent="0.25">
      <c r="A80" t="s">
        <v>414</v>
      </c>
      <c r="B80" t="s">
        <v>121</v>
      </c>
      <c r="C80" t="s">
        <v>100</v>
      </c>
      <c r="D80">
        <v>5.1710000000000003</v>
      </c>
      <c r="E80">
        <v>22</v>
      </c>
      <c r="F80">
        <v>27</v>
      </c>
      <c r="G80">
        <v>6</v>
      </c>
      <c r="H80">
        <v>10</v>
      </c>
      <c r="I80">
        <v>6</v>
      </c>
      <c r="J80">
        <v>-8</v>
      </c>
      <c r="K80">
        <v>8</v>
      </c>
      <c r="L80">
        <v>23</v>
      </c>
      <c r="M80">
        <v>21</v>
      </c>
      <c r="N80">
        <v>13</v>
      </c>
      <c r="O80">
        <v>25</v>
      </c>
      <c r="P80">
        <v>29</v>
      </c>
      <c r="Q80">
        <v>17</v>
      </c>
      <c r="R80">
        <v>17</v>
      </c>
      <c r="S80">
        <v>12</v>
      </c>
      <c r="T80">
        <v>-9</v>
      </c>
      <c r="U80">
        <v>-50</v>
      </c>
      <c r="V80">
        <v>-31</v>
      </c>
      <c r="W80">
        <v>17</v>
      </c>
      <c r="X80">
        <v>28</v>
      </c>
      <c r="Y80">
        <v>37</v>
      </c>
      <c r="Z80">
        <v>30</v>
      </c>
      <c r="AA80">
        <v>32</v>
      </c>
      <c r="AB80">
        <v>28</v>
      </c>
      <c r="AC80">
        <v>3</v>
      </c>
      <c r="AD80">
        <v>6</v>
      </c>
      <c r="AE80">
        <v>10</v>
      </c>
      <c r="AF80">
        <v>-10</v>
      </c>
      <c r="AG80">
        <v>2</v>
      </c>
      <c r="AH80">
        <v>9</v>
      </c>
      <c r="AI80">
        <v>17</v>
      </c>
      <c r="AJ80">
        <v>30</v>
      </c>
      <c r="AK80">
        <v>29</v>
      </c>
      <c r="AL80">
        <v>5</v>
      </c>
      <c r="AM80">
        <v>15</v>
      </c>
      <c r="AN80">
        <v>18</v>
      </c>
      <c r="AO80">
        <v>15</v>
      </c>
      <c r="AP80">
        <v>19</v>
      </c>
      <c r="AQ80">
        <v>15</v>
      </c>
      <c r="AR80">
        <v>16</v>
      </c>
      <c r="AS80">
        <v>21</v>
      </c>
      <c r="AT80">
        <v>23</v>
      </c>
      <c r="AU80">
        <v>19</v>
      </c>
      <c r="AV80">
        <v>28</v>
      </c>
      <c r="AW80">
        <v>21</v>
      </c>
      <c r="AX80">
        <v>9</v>
      </c>
      <c r="AY80">
        <v>8</v>
      </c>
      <c r="AZ80">
        <v>0</v>
      </c>
      <c r="BA80">
        <v>-20</v>
      </c>
      <c r="BB80">
        <v>-4</v>
      </c>
      <c r="BC80">
        <v>-51</v>
      </c>
      <c r="BD80">
        <v>11</v>
      </c>
      <c r="BE80">
        <v>11</v>
      </c>
      <c r="BF80">
        <v>8</v>
      </c>
      <c r="BG80">
        <v>10</v>
      </c>
      <c r="BH80">
        <v>9</v>
      </c>
      <c r="BI80">
        <v>-33</v>
      </c>
      <c r="BJ80">
        <v>-53</v>
      </c>
      <c r="BK80">
        <v>-14</v>
      </c>
      <c r="BL80">
        <v>-4</v>
      </c>
      <c r="BM80">
        <v>-27</v>
      </c>
      <c r="BN80">
        <v>-22</v>
      </c>
      <c r="BO80">
        <v>-13</v>
      </c>
      <c r="BP80">
        <v>-21</v>
      </c>
      <c r="BQ80">
        <v>-18</v>
      </c>
      <c r="BR80">
        <v>-5</v>
      </c>
      <c r="BS80">
        <v>-11</v>
      </c>
      <c r="BT80">
        <v>-1</v>
      </c>
      <c r="BU80">
        <v>-22</v>
      </c>
      <c r="BV80">
        <v>-6</v>
      </c>
    </row>
    <row r="81" spans="1:74" x14ac:dyDescent="0.25">
      <c r="A81" t="s">
        <v>415</v>
      </c>
      <c r="B81" t="s">
        <v>122</v>
      </c>
      <c r="C81" t="s">
        <v>100</v>
      </c>
      <c r="D81">
        <v>-2.6859999999999999</v>
      </c>
      <c r="E81">
        <v>-5</v>
      </c>
      <c r="F81">
        <v>1</v>
      </c>
      <c r="G81">
        <v>0</v>
      </c>
      <c r="H81">
        <v>-1</v>
      </c>
      <c r="I81">
        <v>-11</v>
      </c>
      <c r="J81">
        <v>-7</v>
      </c>
      <c r="K81">
        <v>-11</v>
      </c>
      <c r="L81">
        <v>13</v>
      </c>
      <c r="M81">
        <v>24</v>
      </c>
      <c r="N81">
        <v>4</v>
      </c>
      <c r="O81">
        <v>23</v>
      </c>
      <c r="P81">
        <v>25</v>
      </c>
      <c r="Q81">
        <v>7</v>
      </c>
      <c r="R81">
        <v>2</v>
      </c>
      <c r="S81">
        <v>2</v>
      </c>
      <c r="T81">
        <v>-15</v>
      </c>
      <c r="U81">
        <v>-48</v>
      </c>
      <c r="V81">
        <v>-20</v>
      </c>
      <c r="W81">
        <v>-12</v>
      </c>
      <c r="X81">
        <v>-1</v>
      </c>
      <c r="Y81">
        <v>18</v>
      </c>
      <c r="Z81">
        <v>13</v>
      </c>
      <c r="AA81">
        <v>21</v>
      </c>
      <c r="AB81">
        <v>30</v>
      </c>
      <c r="AC81">
        <v>0</v>
      </c>
      <c r="AD81">
        <v>0</v>
      </c>
      <c r="AE81">
        <v>16</v>
      </c>
      <c r="AF81">
        <v>-10</v>
      </c>
      <c r="AG81">
        <v>6</v>
      </c>
      <c r="AH81">
        <v>21</v>
      </c>
      <c r="AI81">
        <v>9</v>
      </c>
      <c r="AJ81">
        <v>19</v>
      </c>
      <c r="AK81">
        <v>27</v>
      </c>
      <c r="AL81">
        <v>-6</v>
      </c>
      <c r="AM81">
        <v>2</v>
      </c>
      <c r="AN81">
        <v>14</v>
      </c>
      <c r="AO81">
        <v>8</v>
      </c>
      <c r="AP81">
        <v>15</v>
      </c>
      <c r="AQ81">
        <v>19</v>
      </c>
      <c r="AR81">
        <v>10</v>
      </c>
      <c r="AS81">
        <v>20</v>
      </c>
      <c r="AT81">
        <v>24</v>
      </c>
      <c r="AU81">
        <v>12</v>
      </c>
      <c r="AV81">
        <v>22</v>
      </c>
      <c r="AW81">
        <v>25</v>
      </c>
      <c r="AX81">
        <v>7</v>
      </c>
      <c r="AY81">
        <v>3</v>
      </c>
      <c r="AZ81">
        <v>9</v>
      </c>
      <c r="BA81">
        <v>-13</v>
      </c>
      <c r="BB81">
        <v>-3</v>
      </c>
      <c r="BC81">
        <v>-39</v>
      </c>
      <c r="BD81">
        <v>-13</v>
      </c>
      <c r="BE81">
        <v>-9</v>
      </c>
      <c r="BF81">
        <v>8</v>
      </c>
      <c r="BG81">
        <v>0</v>
      </c>
      <c r="BH81">
        <v>-3</v>
      </c>
      <c r="BI81">
        <v>-35</v>
      </c>
      <c r="BJ81">
        <v>-65</v>
      </c>
      <c r="BK81">
        <v>-37</v>
      </c>
      <c r="BL81">
        <v>-35</v>
      </c>
      <c r="BM81">
        <v>-56</v>
      </c>
      <c r="BN81">
        <v>-49</v>
      </c>
      <c r="BO81">
        <v>-25</v>
      </c>
      <c r="BP81">
        <v>-39</v>
      </c>
      <c r="BQ81">
        <v>-27</v>
      </c>
      <c r="BR81">
        <v>-15</v>
      </c>
      <c r="BS81">
        <v>-21</v>
      </c>
      <c r="BT81">
        <v>-5</v>
      </c>
      <c r="BU81">
        <v>-21</v>
      </c>
      <c r="BV81">
        <v>-10</v>
      </c>
    </row>
    <row r="82" spans="1:74" x14ac:dyDescent="0.25">
      <c r="A82" t="s">
        <v>416</v>
      </c>
      <c r="B82" t="s">
        <v>123</v>
      </c>
      <c r="C82" t="s">
        <v>100</v>
      </c>
      <c r="D82">
        <v>0.35699999999999998</v>
      </c>
      <c r="E82">
        <v>20</v>
      </c>
      <c r="F82">
        <v>25</v>
      </c>
      <c r="G82">
        <v>19</v>
      </c>
      <c r="H82">
        <v>13</v>
      </c>
      <c r="I82">
        <v>10</v>
      </c>
      <c r="J82">
        <v>-13</v>
      </c>
      <c r="K82">
        <v>2</v>
      </c>
      <c r="L82">
        <v>16</v>
      </c>
      <c r="M82">
        <v>20</v>
      </c>
      <c r="N82">
        <v>10</v>
      </c>
      <c r="O82">
        <v>18</v>
      </c>
      <c r="P82">
        <v>18</v>
      </c>
      <c r="Q82">
        <v>8</v>
      </c>
      <c r="R82">
        <v>3</v>
      </c>
      <c r="S82">
        <v>-1</v>
      </c>
      <c r="T82">
        <v>-22</v>
      </c>
      <c r="U82">
        <v>-60</v>
      </c>
      <c r="V82">
        <v>-19</v>
      </c>
      <c r="W82">
        <v>21</v>
      </c>
      <c r="X82">
        <v>20</v>
      </c>
      <c r="Y82">
        <v>32</v>
      </c>
      <c r="Z82">
        <v>31</v>
      </c>
      <c r="AA82">
        <v>38</v>
      </c>
      <c r="AB82">
        <v>31</v>
      </c>
      <c r="AC82">
        <v>-9</v>
      </c>
      <c r="AD82">
        <v>-5</v>
      </c>
      <c r="AE82">
        <v>-3</v>
      </c>
      <c r="AF82">
        <v>-23</v>
      </c>
      <c r="AG82">
        <v>-8</v>
      </c>
      <c r="AH82">
        <v>2</v>
      </c>
      <c r="AI82">
        <v>14</v>
      </c>
      <c r="AJ82">
        <v>27</v>
      </c>
      <c r="AK82">
        <v>14</v>
      </c>
      <c r="AL82">
        <v>1</v>
      </c>
      <c r="AM82">
        <v>3</v>
      </c>
      <c r="AN82">
        <v>12</v>
      </c>
      <c r="AO82">
        <v>-4</v>
      </c>
      <c r="AP82">
        <v>0</v>
      </c>
      <c r="AQ82">
        <v>1</v>
      </c>
      <c r="AR82">
        <v>4</v>
      </c>
      <c r="AS82">
        <v>5</v>
      </c>
      <c r="AT82">
        <v>11</v>
      </c>
      <c r="AU82">
        <v>14</v>
      </c>
      <c r="AV82">
        <v>25</v>
      </c>
      <c r="AW82">
        <v>8</v>
      </c>
      <c r="AX82">
        <v>-3</v>
      </c>
      <c r="AY82">
        <v>-11</v>
      </c>
      <c r="AZ82">
        <v>-25</v>
      </c>
      <c r="BA82">
        <v>-35</v>
      </c>
      <c r="BB82">
        <v>-25</v>
      </c>
      <c r="BC82">
        <v>-46</v>
      </c>
      <c r="BD82">
        <v>16</v>
      </c>
      <c r="BE82">
        <v>26</v>
      </c>
      <c r="BF82">
        <v>23</v>
      </c>
      <c r="BG82">
        <v>18</v>
      </c>
      <c r="BH82">
        <v>18</v>
      </c>
      <c r="BI82">
        <v>-38</v>
      </c>
      <c r="BJ82">
        <v>-53</v>
      </c>
      <c r="BK82">
        <v>-11</v>
      </c>
      <c r="BL82">
        <v>-15</v>
      </c>
      <c r="BM82">
        <v>-36</v>
      </c>
      <c r="BN82">
        <v>-25</v>
      </c>
      <c r="BO82">
        <v>-15</v>
      </c>
      <c r="BP82">
        <v>-22</v>
      </c>
      <c r="BQ82">
        <v>-23</v>
      </c>
      <c r="BR82">
        <v>-9</v>
      </c>
      <c r="BS82">
        <v>-4</v>
      </c>
      <c r="BT82">
        <v>0</v>
      </c>
      <c r="BU82">
        <v>-10</v>
      </c>
      <c r="BV82">
        <v>1</v>
      </c>
    </row>
    <row r="83" spans="1:74" x14ac:dyDescent="0.25">
      <c r="A83" t="s">
        <v>417</v>
      </c>
      <c r="B83" t="s">
        <v>124</v>
      </c>
      <c r="C83" t="s">
        <v>100</v>
      </c>
      <c r="D83">
        <v>2</v>
      </c>
      <c r="E83">
        <v>14</v>
      </c>
      <c r="F83">
        <v>18</v>
      </c>
      <c r="G83">
        <v>5</v>
      </c>
      <c r="H83">
        <v>11</v>
      </c>
      <c r="I83">
        <v>6</v>
      </c>
      <c r="J83">
        <v>-1</v>
      </c>
      <c r="K83">
        <v>5</v>
      </c>
      <c r="L83">
        <v>22</v>
      </c>
      <c r="M83">
        <v>24</v>
      </c>
      <c r="N83">
        <v>11</v>
      </c>
      <c r="O83">
        <v>23</v>
      </c>
      <c r="P83">
        <v>30</v>
      </c>
      <c r="Q83">
        <v>15</v>
      </c>
      <c r="R83">
        <v>11</v>
      </c>
      <c r="S83">
        <v>4</v>
      </c>
      <c r="T83">
        <v>-19</v>
      </c>
      <c r="U83">
        <v>-58</v>
      </c>
      <c r="V83">
        <v>-39</v>
      </c>
      <c r="W83">
        <v>9</v>
      </c>
      <c r="X83">
        <v>19</v>
      </c>
      <c r="Y83">
        <v>32</v>
      </c>
      <c r="Z83">
        <v>28</v>
      </c>
      <c r="AA83">
        <v>33</v>
      </c>
      <c r="AB83">
        <v>36</v>
      </c>
      <c r="AC83">
        <v>0</v>
      </c>
      <c r="AD83">
        <v>-2</v>
      </c>
      <c r="AE83">
        <v>8</v>
      </c>
      <c r="AF83">
        <v>-18</v>
      </c>
      <c r="AG83">
        <v>-3</v>
      </c>
      <c r="AH83">
        <v>6</v>
      </c>
      <c r="AI83">
        <v>14</v>
      </c>
      <c r="AJ83">
        <v>27</v>
      </c>
      <c r="AK83">
        <v>22</v>
      </c>
      <c r="AL83">
        <v>3</v>
      </c>
      <c r="AM83">
        <v>10</v>
      </c>
      <c r="AN83">
        <v>20</v>
      </c>
      <c r="AO83">
        <v>8</v>
      </c>
      <c r="AP83">
        <v>14</v>
      </c>
      <c r="AQ83">
        <v>13</v>
      </c>
      <c r="AR83">
        <v>7</v>
      </c>
      <c r="AS83">
        <v>13</v>
      </c>
      <c r="AT83">
        <v>19</v>
      </c>
      <c r="AU83">
        <v>18</v>
      </c>
      <c r="AV83">
        <v>26</v>
      </c>
      <c r="AW83">
        <v>16</v>
      </c>
      <c r="AX83">
        <v>10</v>
      </c>
      <c r="AY83">
        <v>-1</v>
      </c>
      <c r="AZ83">
        <v>-5</v>
      </c>
      <c r="BA83">
        <v>-27</v>
      </c>
      <c r="BB83">
        <v>-14</v>
      </c>
      <c r="BC83">
        <v>-43</v>
      </c>
      <c r="BD83">
        <v>4</v>
      </c>
      <c r="BE83">
        <v>12</v>
      </c>
      <c r="BF83">
        <v>16</v>
      </c>
      <c r="BG83">
        <v>12</v>
      </c>
      <c r="BH83">
        <v>10</v>
      </c>
      <c r="BI83">
        <v>-29</v>
      </c>
      <c r="BJ83">
        <v>-53</v>
      </c>
      <c r="BK83">
        <v>-16</v>
      </c>
      <c r="BL83">
        <v>-6</v>
      </c>
      <c r="BM83">
        <v>-33</v>
      </c>
      <c r="BN83">
        <v>-28</v>
      </c>
      <c r="BO83">
        <v>-20</v>
      </c>
      <c r="BP83">
        <v>-32</v>
      </c>
      <c r="BQ83">
        <v>-26</v>
      </c>
      <c r="BR83">
        <v>-9</v>
      </c>
      <c r="BS83">
        <v>-10</v>
      </c>
      <c r="BT83">
        <v>-7</v>
      </c>
      <c r="BU83">
        <v>-18</v>
      </c>
      <c r="BV83">
        <v>-7</v>
      </c>
    </row>
    <row r="84" spans="1:74" x14ac:dyDescent="0.25">
      <c r="A84" t="s">
        <v>418</v>
      </c>
      <c r="B84" t="s">
        <v>125</v>
      </c>
      <c r="C84" t="s">
        <v>100</v>
      </c>
      <c r="D84">
        <v>14.5</v>
      </c>
      <c r="E84">
        <v>25</v>
      </c>
      <c r="F84">
        <v>32</v>
      </c>
      <c r="G84">
        <v>17</v>
      </c>
      <c r="H84">
        <v>25</v>
      </c>
      <c r="I84">
        <v>19</v>
      </c>
      <c r="J84">
        <v>11</v>
      </c>
      <c r="K84">
        <v>17</v>
      </c>
      <c r="L84">
        <v>34</v>
      </c>
      <c r="M84">
        <v>31</v>
      </c>
      <c r="N84">
        <v>28</v>
      </c>
      <c r="O84">
        <v>37</v>
      </c>
      <c r="P84">
        <v>29</v>
      </c>
      <c r="Q84">
        <v>28</v>
      </c>
      <c r="R84">
        <v>24</v>
      </c>
      <c r="S84">
        <v>16</v>
      </c>
      <c r="T84">
        <v>-2</v>
      </c>
      <c r="U84">
        <v>-43</v>
      </c>
      <c r="V84">
        <v>-33</v>
      </c>
      <c r="W84">
        <v>20</v>
      </c>
      <c r="X84">
        <v>31</v>
      </c>
      <c r="Y84">
        <v>45</v>
      </c>
      <c r="Z84">
        <v>44</v>
      </c>
      <c r="AA84">
        <v>45</v>
      </c>
      <c r="AB84">
        <v>38</v>
      </c>
      <c r="AC84">
        <v>11</v>
      </c>
      <c r="AD84">
        <v>9</v>
      </c>
      <c r="AE84">
        <v>20</v>
      </c>
      <c r="AF84">
        <v>-5</v>
      </c>
      <c r="AG84">
        <v>9</v>
      </c>
      <c r="AH84">
        <v>18</v>
      </c>
      <c r="AI84">
        <v>23</v>
      </c>
      <c r="AJ84">
        <v>34</v>
      </c>
      <c r="AK84">
        <v>29</v>
      </c>
      <c r="AL84">
        <v>17</v>
      </c>
      <c r="AM84">
        <v>22</v>
      </c>
      <c r="AN84">
        <v>24</v>
      </c>
      <c r="AO84">
        <v>22</v>
      </c>
      <c r="AP84">
        <v>25</v>
      </c>
      <c r="AQ84">
        <v>26</v>
      </c>
      <c r="AR84">
        <v>23</v>
      </c>
      <c r="AS84">
        <v>27</v>
      </c>
      <c r="AT84">
        <v>30</v>
      </c>
      <c r="AU84">
        <v>28</v>
      </c>
      <c r="AV84">
        <v>33</v>
      </c>
      <c r="AW84">
        <v>29</v>
      </c>
      <c r="AX84">
        <v>21</v>
      </c>
      <c r="AY84">
        <v>12</v>
      </c>
      <c r="AZ84">
        <v>9</v>
      </c>
      <c r="BA84">
        <v>-13</v>
      </c>
      <c r="BB84">
        <v>0</v>
      </c>
      <c r="BC84">
        <v>-42</v>
      </c>
      <c r="BD84">
        <v>15</v>
      </c>
      <c r="BE84">
        <v>20</v>
      </c>
      <c r="BF84">
        <v>25</v>
      </c>
      <c r="BG84">
        <v>24</v>
      </c>
      <c r="BH84">
        <v>19</v>
      </c>
      <c r="BI84">
        <v>-14</v>
      </c>
      <c r="BJ84">
        <v>-27</v>
      </c>
      <c r="BK84">
        <v>2</v>
      </c>
      <c r="BL84">
        <v>4</v>
      </c>
      <c r="BM84">
        <v>-10</v>
      </c>
      <c r="BN84">
        <v>-6</v>
      </c>
      <c r="BO84">
        <v>2</v>
      </c>
      <c r="BP84">
        <v>-8</v>
      </c>
      <c r="BQ84">
        <v>-6</v>
      </c>
      <c r="BR84">
        <v>1</v>
      </c>
      <c r="BS84">
        <v>1</v>
      </c>
      <c r="BT84">
        <v>5</v>
      </c>
      <c r="BU84">
        <v>-1</v>
      </c>
      <c r="BV84">
        <v>10</v>
      </c>
    </row>
    <row r="85" spans="1:74" x14ac:dyDescent="0.25">
      <c r="A85" t="s">
        <v>419</v>
      </c>
      <c r="B85" t="s">
        <v>71</v>
      </c>
      <c r="C85" t="s">
        <v>100</v>
      </c>
      <c r="D85">
        <v>16.457000000000001</v>
      </c>
      <c r="E85">
        <v>33</v>
      </c>
      <c r="F85">
        <v>37</v>
      </c>
      <c r="G85">
        <v>25</v>
      </c>
      <c r="H85">
        <v>29</v>
      </c>
      <c r="I85">
        <v>23</v>
      </c>
      <c r="J85">
        <v>16</v>
      </c>
      <c r="K85">
        <v>17</v>
      </c>
      <c r="L85">
        <v>36</v>
      </c>
      <c r="M85">
        <v>33</v>
      </c>
      <c r="N85">
        <v>31</v>
      </c>
      <c r="O85">
        <v>42</v>
      </c>
      <c r="P85">
        <v>29</v>
      </c>
      <c r="Q85">
        <v>31</v>
      </c>
      <c r="R85">
        <v>25</v>
      </c>
      <c r="S85">
        <v>19</v>
      </c>
      <c r="T85">
        <v>1</v>
      </c>
      <c r="U85">
        <v>-39</v>
      </c>
      <c r="V85">
        <v>-28</v>
      </c>
      <c r="W85">
        <v>22</v>
      </c>
      <c r="X85">
        <v>35</v>
      </c>
      <c r="Y85">
        <v>46</v>
      </c>
      <c r="Z85">
        <v>48</v>
      </c>
      <c r="AA85">
        <v>46</v>
      </c>
      <c r="AB85">
        <v>41</v>
      </c>
      <c r="AC85">
        <v>12</v>
      </c>
      <c r="AD85">
        <v>12</v>
      </c>
      <c r="AE85">
        <v>24</v>
      </c>
      <c r="AF85">
        <v>-4</v>
      </c>
      <c r="AG85">
        <v>11</v>
      </c>
      <c r="AH85">
        <v>18</v>
      </c>
      <c r="AI85">
        <v>23</v>
      </c>
      <c r="AJ85">
        <v>32</v>
      </c>
      <c r="AK85">
        <v>27</v>
      </c>
      <c r="AL85">
        <v>19</v>
      </c>
      <c r="AM85">
        <v>25</v>
      </c>
      <c r="AN85">
        <v>26</v>
      </c>
      <c r="AO85">
        <v>24</v>
      </c>
      <c r="AP85">
        <v>25</v>
      </c>
      <c r="AQ85">
        <v>27</v>
      </c>
      <c r="AR85">
        <v>25</v>
      </c>
      <c r="AS85">
        <v>31</v>
      </c>
      <c r="AT85">
        <v>32</v>
      </c>
      <c r="AU85">
        <v>27</v>
      </c>
      <c r="AV85">
        <v>33</v>
      </c>
      <c r="AW85">
        <v>30</v>
      </c>
      <c r="AX85">
        <v>22</v>
      </c>
      <c r="AY85">
        <v>12</v>
      </c>
      <c r="AZ85">
        <v>11</v>
      </c>
      <c r="BA85">
        <v>-12</v>
      </c>
      <c r="BB85">
        <v>-1</v>
      </c>
      <c r="BC85">
        <v>-38</v>
      </c>
      <c r="BD85">
        <v>16</v>
      </c>
      <c r="BE85">
        <v>21</v>
      </c>
      <c r="BF85">
        <v>26</v>
      </c>
      <c r="BG85">
        <v>27</v>
      </c>
      <c r="BH85">
        <v>17</v>
      </c>
      <c r="BI85">
        <v>-13</v>
      </c>
      <c r="BJ85">
        <v>-22</v>
      </c>
      <c r="BK85">
        <v>3</v>
      </c>
      <c r="BL85">
        <v>3</v>
      </c>
      <c r="BM85">
        <v>-7</v>
      </c>
      <c r="BN85">
        <v>-5</v>
      </c>
      <c r="BO85">
        <v>0</v>
      </c>
      <c r="BP85">
        <v>-8</v>
      </c>
      <c r="BQ85">
        <v>-5</v>
      </c>
      <c r="BR85">
        <v>-1</v>
      </c>
      <c r="BS85">
        <v>5</v>
      </c>
      <c r="BT85">
        <v>6</v>
      </c>
      <c r="BU85">
        <v>4</v>
      </c>
      <c r="BV85">
        <v>14</v>
      </c>
    </row>
    <row r="86" spans="1:74" x14ac:dyDescent="0.25">
      <c r="A86" t="s">
        <v>420</v>
      </c>
      <c r="B86" t="s">
        <v>127</v>
      </c>
      <c r="C86" t="s">
        <v>100</v>
      </c>
      <c r="D86">
        <v>11.814</v>
      </c>
      <c r="E86">
        <v>15</v>
      </c>
      <c r="F86">
        <v>25</v>
      </c>
      <c r="G86">
        <v>6</v>
      </c>
      <c r="H86">
        <v>20</v>
      </c>
      <c r="I86">
        <v>14</v>
      </c>
      <c r="J86">
        <v>4</v>
      </c>
      <c r="K86">
        <v>18</v>
      </c>
      <c r="L86">
        <v>31</v>
      </c>
      <c r="M86">
        <v>28</v>
      </c>
      <c r="N86">
        <v>24</v>
      </c>
      <c r="O86">
        <v>30</v>
      </c>
      <c r="P86">
        <v>29</v>
      </c>
      <c r="Q86">
        <v>25</v>
      </c>
      <c r="R86">
        <v>23</v>
      </c>
      <c r="S86">
        <v>12</v>
      </c>
      <c r="T86">
        <v>-8</v>
      </c>
      <c r="U86">
        <v>-48</v>
      </c>
      <c r="V86">
        <v>-41</v>
      </c>
      <c r="W86">
        <v>16</v>
      </c>
      <c r="X86">
        <v>25</v>
      </c>
      <c r="Y86">
        <v>44</v>
      </c>
      <c r="Z86">
        <v>37</v>
      </c>
      <c r="AA86">
        <v>42</v>
      </c>
      <c r="AB86">
        <v>34</v>
      </c>
      <c r="AC86">
        <v>9</v>
      </c>
      <c r="AD86">
        <v>5</v>
      </c>
      <c r="AE86">
        <v>15</v>
      </c>
      <c r="AF86">
        <v>-8</v>
      </c>
      <c r="AG86">
        <v>6</v>
      </c>
      <c r="AH86">
        <v>18</v>
      </c>
      <c r="AI86">
        <v>22</v>
      </c>
      <c r="AJ86">
        <v>36</v>
      </c>
      <c r="AK86">
        <v>31</v>
      </c>
      <c r="AL86">
        <v>14</v>
      </c>
      <c r="AM86">
        <v>17</v>
      </c>
      <c r="AN86">
        <v>22</v>
      </c>
      <c r="AO86">
        <v>20</v>
      </c>
      <c r="AP86">
        <v>26</v>
      </c>
      <c r="AQ86">
        <v>23</v>
      </c>
      <c r="AR86">
        <v>22</v>
      </c>
      <c r="AS86">
        <v>22</v>
      </c>
      <c r="AT86">
        <v>27</v>
      </c>
      <c r="AU86">
        <v>30</v>
      </c>
      <c r="AV86">
        <v>33</v>
      </c>
      <c r="AW86">
        <v>27</v>
      </c>
      <c r="AX86">
        <v>19</v>
      </c>
      <c r="AY86">
        <v>12</v>
      </c>
      <c r="AZ86">
        <v>6</v>
      </c>
      <c r="BA86">
        <v>-13</v>
      </c>
      <c r="BB86">
        <v>1</v>
      </c>
      <c r="BC86">
        <v>-48</v>
      </c>
      <c r="BD86">
        <v>13</v>
      </c>
      <c r="BE86">
        <v>18</v>
      </c>
      <c r="BF86">
        <v>23</v>
      </c>
      <c r="BG86">
        <v>20</v>
      </c>
      <c r="BH86">
        <v>23</v>
      </c>
      <c r="BI86">
        <v>-15</v>
      </c>
      <c r="BJ86">
        <v>-33</v>
      </c>
      <c r="BK86">
        <v>2</v>
      </c>
      <c r="BL86">
        <v>6</v>
      </c>
      <c r="BM86">
        <v>-13</v>
      </c>
      <c r="BN86">
        <v>-7</v>
      </c>
      <c r="BO86">
        <v>4</v>
      </c>
      <c r="BP86">
        <v>-7</v>
      </c>
      <c r="BQ86">
        <v>-6</v>
      </c>
      <c r="BR86">
        <v>5</v>
      </c>
      <c r="BS86">
        <v>-5</v>
      </c>
      <c r="BT86">
        <v>4</v>
      </c>
      <c r="BU86">
        <v>-8</v>
      </c>
      <c r="BV86">
        <v>4</v>
      </c>
    </row>
    <row r="87" spans="1:74" x14ac:dyDescent="0.25">
      <c r="A87" t="s">
        <v>421</v>
      </c>
      <c r="B87" t="s">
        <v>128</v>
      </c>
      <c r="C87" t="s">
        <v>100</v>
      </c>
      <c r="D87">
        <v>9.0289999999999999</v>
      </c>
      <c r="E87">
        <v>17</v>
      </c>
      <c r="F87">
        <v>23</v>
      </c>
      <c r="G87">
        <v>11</v>
      </c>
      <c r="H87">
        <v>19</v>
      </c>
      <c r="I87">
        <v>15</v>
      </c>
      <c r="J87">
        <v>10</v>
      </c>
      <c r="K87">
        <v>15</v>
      </c>
      <c r="L87">
        <v>31</v>
      </c>
      <c r="M87">
        <v>31</v>
      </c>
      <c r="N87">
        <v>23</v>
      </c>
      <c r="O87">
        <v>33</v>
      </c>
      <c r="P87">
        <v>35</v>
      </c>
      <c r="Q87">
        <v>27</v>
      </c>
      <c r="R87">
        <v>21</v>
      </c>
      <c r="S87">
        <v>14</v>
      </c>
      <c r="T87">
        <v>-7</v>
      </c>
      <c r="U87">
        <v>-54</v>
      </c>
      <c r="V87">
        <v>-44</v>
      </c>
      <c r="W87">
        <v>8</v>
      </c>
      <c r="X87">
        <v>18</v>
      </c>
      <c r="Y87">
        <v>38</v>
      </c>
      <c r="Z87">
        <v>44</v>
      </c>
      <c r="AA87">
        <v>47</v>
      </c>
      <c r="AB87">
        <v>44</v>
      </c>
      <c r="AC87">
        <v>11</v>
      </c>
      <c r="AD87">
        <v>9</v>
      </c>
      <c r="AE87">
        <v>14</v>
      </c>
      <c r="AF87">
        <v>-12</v>
      </c>
      <c r="AG87">
        <v>-2</v>
      </c>
      <c r="AH87">
        <v>12</v>
      </c>
      <c r="AI87">
        <v>19</v>
      </c>
      <c r="AJ87">
        <v>29</v>
      </c>
      <c r="AK87">
        <v>26</v>
      </c>
      <c r="AL87">
        <v>8</v>
      </c>
      <c r="AM87">
        <v>13</v>
      </c>
      <c r="AN87">
        <v>21</v>
      </c>
      <c r="AO87">
        <v>15</v>
      </c>
      <c r="AP87">
        <v>16</v>
      </c>
      <c r="AQ87">
        <v>13</v>
      </c>
      <c r="AR87">
        <v>16</v>
      </c>
      <c r="AS87">
        <v>19</v>
      </c>
      <c r="AT87">
        <v>28</v>
      </c>
      <c r="AU87">
        <v>22</v>
      </c>
      <c r="AV87">
        <v>31</v>
      </c>
      <c r="AW87">
        <v>26</v>
      </c>
      <c r="AX87">
        <v>17</v>
      </c>
      <c r="AY87">
        <v>7</v>
      </c>
      <c r="AZ87">
        <v>-4</v>
      </c>
      <c r="BA87">
        <v>-25</v>
      </c>
      <c r="BB87">
        <v>-13</v>
      </c>
      <c r="BC87">
        <v>-51</v>
      </c>
      <c r="BD87">
        <v>5</v>
      </c>
      <c r="BE87">
        <v>17</v>
      </c>
      <c r="BF87">
        <v>30</v>
      </c>
      <c r="BG87">
        <v>30</v>
      </c>
      <c r="BH87">
        <v>25</v>
      </c>
      <c r="BI87">
        <v>-18</v>
      </c>
      <c r="BJ87">
        <v>-34</v>
      </c>
      <c r="BK87">
        <v>-1</v>
      </c>
      <c r="BL87">
        <v>2</v>
      </c>
      <c r="BM87">
        <v>-24</v>
      </c>
      <c r="BN87">
        <v>-19</v>
      </c>
      <c r="BO87">
        <v>-11</v>
      </c>
      <c r="BP87">
        <v>-18</v>
      </c>
      <c r="BQ87">
        <v>-18</v>
      </c>
      <c r="BR87">
        <v>-6</v>
      </c>
      <c r="BS87">
        <v>-6</v>
      </c>
      <c r="BT87">
        <v>-3</v>
      </c>
      <c r="BU87">
        <v>-9</v>
      </c>
      <c r="BV87">
        <v>6</v>
      </c>
    </row>
    <row r="88" spans="1:74" x14ac:dyDescent="0.25">
      <c r="A88" t="s">
        <v>422</v>
      </c>
      <c r="B88" t="s">
        <v>72</v>
      </c>
      <c r="C88" t="s">
        <v>100</v>
      </c>
      <c r="D88">
        <v>3.2429999999999999</v>
      </c>
      <c r="E88">
        <v>21</v>
      </c>
      <c r="F88">
        <v>30</v>
      </c>
      <c r="G88">
        <v>22</v>
      </c>
      <c r="H88">
        <v>16</v>
      </c>
      <c r="I88">
        <v>12</v>
      </c>
      <c r="J88">
        <v>0</v>
      </c>
      <c r="K88">
        <v>5</v>
      </c>
      <c r="L88">
        <v>11</v>
      </c>
      <c r="M88">
        <v>21</v>
      </c>
      <c r="N88">
        <v>5</v>
      </c>
      <c r="O88">
        <v>12</v>
      </c>
      <c r="P88">
        <v>26</v>
      </c>
      <c r="Q88">
        <v>13</v>
      </c>
      <c r="R88">
        <v>13</v>
      </c>
      <c r="S88">
        <v>3</v>
      </c>
      <c r="T88">
        <v>-34</v>
      </c>
      <c r="U88">
        <v>-75</v>
      </c>
      <c r="V88">
        <v>-31</v>
      </c>
      <c r="W88">
        <v>19</v>
      </c>
      <c r="X88">
        <v>21</v>
      </c>
      <c r="Y88">
        <v>47</v>
      </c>
      <c r="Z88">
        <v>31</v>
      </c>
      <c r="AA88">
        <v>36</v>
      </c>
      <c r="AB88">
        <v>24</v>
      </c>
      <c r="AC88">
        <v>4</v>
      </c>
      <c r="AD88">
        <v>-4</v>
      </c>
      <c r="AE88">
        <v>0</v>
      </c>
      <c r="AF88">
        <v>-31</v>
      </c>
      <c r="AG88">
        <v>-11</v>
      </c>
      <c r="AH88">
        <v>2</v>
      </c>
      <c r="AI88">
        <v>11</v>
      </c>
      <c r="AJ88">
        <v>22</v>
      </c>
      <c r="AK88">
        <v>19</v>
      </c>
      <c r="AL88">
        <v>16</v>
      </c>
      <c r="AM88">
        <v>13</v>
      </c>
      <c r="AN88">
        <v>16</v>
      </c>
      <c r="AO88">
        <v>12</v>
      </c>
      <c r="AP88">
        <v>14</v>
      </c>
      <c r="AQ88">
        <v>14</v>
      </c>
      <c r="AR88">
        <v>10</v>
      </c>
      <c r="AS88">
        <v>18</v>
      </c>
      <c r="AT88">
        <v>7</v>
      </c>
      <c r="AU88">
        <v>19</v>
      </c>
      <c r="AV88">
        <v>15</v>
      </c>
      <c r="AW88">
        <v>19</v>
      </c>
      <c r="AX88">
        <v>12</v>
      </c>
      <c r="AY88">
        <v>10</v>
      </c>
      <c r="AZ88">
        <v>-15</v>
      </c>
      <c r="BA88">
        <v>-24</v>
      </c>
      <c r="BB88">
        <v>-17</v>
      </c>
      <c r="BC88">
        <v>-35</v>
      </c>
      <c r="BD88">
        <v>24</v>
      </c>
      <c r="BE88">
        <v>16</v>
      </c>
      <c r="BF88">
        <v>14</v>
      </c>
      <c r="BG88">
        <v>16</v>
      </c>
      <c r="BH88">
        <v>21</v>
      </c>
      <c r="BI88">
        <v>-21</v>
      </c>
      <c r="BJ88">
        <v>-40</v>
      </c>
      <c r="BK88">
        <v>7</v>
      </c>
      <c r="BL88">
        <v>3</v>
      </c>
      <c r="BM88">
        <v>-24</v>
      </c>
      <c r="BN88">
        <v>-33</v>
      </c>
      <c r="BO88">
        <v>-16</v>
      </c>
      <c r="BP88">
        <v>-34</v>
      </c>
      <c r="BQ88">
        <v>-24</v>
      </c>
      <c r="BR88">
        <v>-4</v>
      </c>
      <c r="BS88">
        <v>-16</v>
      </c>
      <c r="BT88">
        <v>2</v>
      </c>
      <c r="BU88">
        <v>-17</v>
      </c>
      <c r="BV88">
        <v>-11</v>
      </c>
    </row>
    <row r="89" spans="1:74" x14ac:dyDescent="0.25">
      <c r="A89" t="s">
        <v>423</v>
      </c>
      <c r="B89" t="s">
        <v>240</v>
      </c>
      <c r="C89" t="s">
        <v>100</v>
      </c>
      <c r="D89">
        <v>9.5570000000000004</v>
      </c>
      <c r="E89">
        <v>-9</v>
      </c>
      <c r="F89">
        <v>3</v>
      </c>
      <c r="G89">
        <v>10</v>
      </c>
      <c r="H89">
        <v>11</v>
      </c>
      <c r="I89">
        <v>19</v>
      </c>
      <c r="J89">
        <v>1</v>
      </c>
      <c r="K89">
        <v>6</v>
      </c>
      <c r="L89">
        <v>19</v>
      </c>
      <c r="M89">
        <v>15</v>
      </c>
      <c r="N89">
        <v>6</v>
      </c>
      <c r="O89">
        <v>24</v>
      </c>
      <c r="P89">
        <v>16</v>
      </c>
      <c r="Q89">
        <v>21</v>
      </c>
      <c r="R89">
        <v>36</v>
      </c>
      <c r="S89">
        <v>34</v>
      </c>
      <c r="T89">
        <v>0</v>
      </c>
      <c r="U89">
        <v>-22</v>
      </c>
      <c r="V89">
        <v>-43</v>
      </c>
      <c r="W89">
        <v>0</v>
      </c>
      <c r="X89">
        <v>5</v>
      </c>
      <c r="Y89">
        <v>17</v>
      </c>
      <c r="Z89">
        <v>34</v>
      </c>
      <c r="AA89">
        <v>34</v>
      </c>
      <c r="AB89">
        <v>34</v>
      </c>
      <c r="AC89">
        <v>33</v>
      </c>
      <c r="AD89">
        <v>24</v>
      </c>
      <c r="AE89">
        <v>17</v>
      </c>
      <c r="AF89">
        <v>7</v>
      </c>
      <c r="AG89">
        <v>23</v>
      </c>
      <c r="AH89">
        <v>14</v>
      </c>
      <c r="AI89">
        <v>14</v>
      </c>
      <c r="AJ89">
        <v>22</v>
      </c>
      <c r="AK89">
        <v>15</v>
      </c>
      <c r="AL89">
        <v>3</v>
      </c>
      <c r="AM89">
        <v>4</v>
      </c>
      <c r="AN89">
        <v>3</v>
      </c>
      <c r="AO89">
        <v>12</v>
      </c>
      <c r="AP89">
        <v>10</v>
      </c>
      <c r="AQ89">
        <v>7</v>
      </c>
      <c r="AR89">
        <v>14</v>
      </c>
      <c r="AS89">
        <v>28</v>
      </c>
      <c r="AT89">
        <v>15</v>
      </c>
      <c r="AU89">
        <v>21</v>
      </c>
      <c r="AV89">
        <v>33</v>
      </c>
      <c r="AW89">
        <v>22</v>
      </c>
      <c r="AX89">
        <v>16</v>
      </c>
      <c r="AY89">
        <v>31</v>
      </c>
      <c r="AZ89">
        <v>13</v>
      </c>
      <c r="BA89">
        <v>0</v>
      </c>
      <c r="BB89">
        <v>-1</v>
      </c>
      <c r="BC89">
        <v>-62</v>
      </c>
      <c r="BD89">
        <v>-14</v>
      </c>
      <c r="BE89">
        <v>1</v>
      </c>
      <c r="BF89">
        <v>11</v>
      </c>
      <c r="BG89">
        <v>18</v>
      </c>
      <c r="BH89">
        <v>24</v>
      </c>
      <c r="BI89">
        <v>-5</v>
      </c>
      <c r="BJ89">
        <v>-18</v>
      </c>
      <c r="BK89">
        <v>8</v>
      </c>
      <c r="BL89">
        <v>16</v>
      </c>
      <c r="BM89">
        <v>19</v>
      </c>
      <c r="BN89">
        <v>19</v>
      </c>
      <c r="BO89">
        <v>12</v>
      </c>
      <c r="BP89">
        <v>-14</v>
      </c>
      <c r="BQ89">
        <v>14</v>
      </c>
      <c r="BR89">
        <v>-3</v>
      </c>
      <c r="BS89">
        <v>-14</v>
      </c>
      <c r="BT89">
        <v>10</v>
      </c>
      <c r="BU89">
        <v>-30</v>
      </c>
      <c r="BV89">
        <v>6</v>
      </c>
    </row>
    <row r="90" spans="1:74" x14ac:dyDescent="0.25">
      <c r="A90" t="s">
        <v>424</v>
      </c>
      <c r="B90" t="s">
        <v>129</v>
      </c>
      <c r="C90" t="s">
        <v>100</v>
      </c>
      <c r="D90">
        <v>7.6139999999999999</v>
      </c>
      <c r="E90">
        <v>12</v>
      </c>
      <c r="F90">
        <v>16</v>
      </c>
      <c r="G90">
        <v>-1</v>
      </c>
      <c r="H90">
        <v>17</v>
      </c>
      <c r="I90">
        <v>19</v>
      </c>
      <c r="J90">
        <v>3</v>
      </c>
      <c r="K90">
        <v>19</v>
      </c>
      <c r="L90">
        <v>42</v>
      </c>
      <c r="M90">
        <v>30</v>
      </c>
      <c r="N90">
        <v>21</v>
      </c>
      <c r="O90">
        <v>28</v>
      </c>
      <c r="P90">
        <v>34</v>
      </c>
      <c r="Q90">
        <v>32</v>
      </c>
      <c r="R90">
        <v>21</v>
      </c>
      <c r="S90">
        <v>7</v>
      </c>
      <c r="T90">
        <v>-1</v>
      </c>
      <c r="U90">
        <v>-29</v>
      </c>
      <c r="V90">
        <v>-40</v>
      </c>
      <c r="W90">
        <v>4</v>
      </c>
      <c r="X90">
        <v>4</v>
      </c>
      <c r="Y90">
        <v>16</v>
      </c>
      <c r="Z90">
        <v>37</v>
      </c>
      <c r="AA90">
        <v>34</v>
      </c>
      <c r="AB90">
        <v>33</v>
      </c>
      <c r="AC90">
        <v>21</v>
      </c>
      <c r="AD90">
        <v>16</v>
      </c>
      <c r="AE90">
        <v>18</v>
      </c>
      <c r="AF90">
        <v>4</v>
      </c>
      <c r="AG90">
        <v>2</v>
      </c>
      <c r="AH90">
        <v>11</v>
      </c>
      <c r="AI90">
        <v>18</v>
      </c>
      <c r="AJ90">
        <v>22</v>
      </c>
      <c r="AK90">
        <v>29</v>
      </c>
      <c r="AL90">
        <v>26</v>
      </c>
      <c r="AM90">
        <v>21</v>
      </c>
      <c r="AN90">
        <v>23</v>
      </c>
      <c r="AO90">
        <v>30</v>
      </c>
      <c r="AP90">
        <v>16</v>
      </c>
      <c r="AQ90">
        <v>18</v>
      </c>
      <c r="AR90">
        <v>28</v>
      </c>
      <c r="AS90">
        <v>19</v>
      </c>
      <c r="AT90">
        <v>16</v>
      </c>
      <c r="AU90">
        <v>20</v>
      </c>
      <c r="AV90">
        <v>28</v>
      </c>
      <c r="AW90">
        <v>19</v>
      </c>
      <c r="AX90">
        <v>18</v>
      </c>
      <c r="AY90">
        <v>21</v>
      </c>
      <c r="AZ90">
        <v>18</v>
      </c>
      <c r="BA90">
        <v>4</v>
      </c>
      <c r="BB90">
        <v>6</v>
      </c>
      <c r="BC90">
        <v>-37</v>
      </c>
      <c r="BD90">
        <v>6</v>
      </c>
      <c r="BE90">
        <v>-11</v>
      </c>
      <c r="BF90">
        <v>4</v>
      </c>
      <c r="BG90">
        <v>11</v>
      </c>
      <c r="BH90">
        <v>6</v>
      </c>
      <c r="BI90">
        <v>-22</v>
      </c>
      <c r="BJ90">
        <v>-56</v>
      </c>
      <c r="BK90">
        <v>-26</v>
      </c>
      <c r="BL90">
        <v>-12</v>
      </c>
      <c r="BM90">
        <v>-24</v>
      </c>
      <c r="BN90">
        <v>-23</v>
      </c>
      <c r="BO90">
        <v>-15</v>
      </c>
      <c r="BP90">
        <v>-25</v>
      </c>
      <c r="BQ90">
        <v>-15</v>
      </c>
      <c r="BR90">
        <v>-21</v>
      </c>
      <c r="BS90">
        <v>3</v>
      </c>
      <c r="BT90">
        <v>-2</v>
      </c>
      <c r="BU90">
        <v>-23</v>
      </c>
      <c r="BV90">
        <v>-15</v>
      </c>
    </row>
    <row r="91" spans="1:74" x14ac:dyDescent="0.25">
      <c r="A91" t="s">
        <v>425</v>
      </c>
      <c r="B91" t="s">
        <v>241</v>
      </c>
      <c r="C91" t="s">
        <v>100</v>
      </c>
      <c r="D91">
        <v>9.2710000000000008</v>
      </c>
      <c r="E91">
        <v>8</v>
      </c>
      <c r="F91">
        <v>20</v>
      </c>
      <c r="G91">
        <v>3</v>
      </c>
      <c r="H91">
        <v>11</v>
      </c>
      <c r="I91">
        <v>8</v>
      </c>
      <c r="J91">
        <v>4</v>
      </c>
      <c r="K91">
        <v>12</v>
      </c>
      <c r="L91">
        <v>34</v>
      </c>
      <c r="M91">
        <v>26</v>
      </c>
      <c r="N91">
        <v>24</v>
      </c>
      <c r="O91">
        <v>20</v>
      </c>
      <c r="P91">
        <v>24</v>
      </c>
      <c r="Q91">
        <v>21</v>
      </c>
      <c r="R91">
        <v>17</v>
      </c>
      <c r="S91">
        <v>1</v>
      </c>
      <c r="T91">
        <v>-4</v>
      </c>
      <c r="U91">
        <v>-31</v>
      </c>
      <c r="V91">
        <v>-21</v>
      </c>
      <c r="W91">
        <v>14</v>
      </c>
      <c r="X91">
        <v>20</v>
      </c>
      <c r="Y91">
        <v>28</v>
      </c>
      <c r="Z91">
        <v>27</v>
      </c>
      <c r="AA91">
        <v>34</v>
      </c>
      <c r="AB91">
        <v>28</v>
      </c>
      <c r="AC91">
        <v>7</v>
      </c>
      <c r="AD91">
        <v>9</v>
      </c>
      <c r="AE91">
        <v>24</v>
      </c>
      <c r="AF91">
        <v>12</v>
      </c>
      <c r="AG91">
        <v>16</v>
      </c>
      <c r="AH91">
        <v>15</v>
      </c>
      <c r="AI91">
        <v>16</v>
      </c>
      <c r="AJ91">
        <v>23</v>
      </c>
      <c r="AK91">
        <v>17</v>
      </c>
      <c r="AL91">
        <v>12</v>
      </c>
      <c r="AM91">
        <v>13</v>
      </c>
      <c r="AN91">
        <v>17</v>
      </c>
      <c r="AO91">
        <v>10</v>
      </c>
      <c r="AP91">
        <v>19</v>
      </c>
      <c r="AQ91">
        <v>24</v>
      </c>
      <c r="AR91">
        <v>15</v>
      </c>
      <c r="AS91">
        <v>16</v>
      </c>
      <c r="AT91">
        <v>28</v>
      </c>
      <c r="AU91">
        <v>27</v>
      </c>
      <c r="AV91">
        <v>31</v>
      </c>
      <c r="AW91">
        <v>26</v>
      </c>
      <c r="AX91">
        <v>21</v>
      </c>
      <c r="AY91">
        <v>22</v>
      </c>
      <c r="AZ91">
        <v>15</v>
      </c>
      <c r="BA91">
        <v>7</v>
      </c>
      <c r="BB91">
        <v>11</v>
      </c>
      <c r="BC91">
        <v>-26</v>
      </c>
      <c r="BD91">
        <v>13</v>
      </c>
      <c r="BE91">
        <v>-3</v>
      </c>
      <c r="BF91">
        <v>9</v>
      </c>
      <c r="BG91">
        <v>27</v>
      </c>
      <c r="BH91">
        <v>9</v>
      </c>
      <c r="BI91">
        <v>-18</v>
      </c>
      <c r="BJ91">
        <v>-40</v>
      </c>
      <c r="BK91">
        <v>-5</v>
      </c>
      <c r="BL91">
        <v>-4</v>
      </c>
      <c r="BM91">
        <v>-16</v>
      </c>
      <c r="BN91">
        <v>-14</v>
      </c>
      <c r="BO91">
        <v>-7</v>
      </c>
      <c r="BP91">
        <v>-4</v>
      </c>
      <c r="BQ91">
        <v>-14</v>
      </c>
      <c r="BR91">
        <v>-2</v>
      </c>
      <c r="BS91">
        <v>-10</v>
      </c>
      <c r="BT91">
        <v>-2</v>
      </c>
      <c r="BU91">
        <v>-21</v>
      </c>
      <c r="BV91">
        <v>-4</v>
      </c>
    </row>
    <row r="92" spans="1:74" x14ac:dyDescent="0.25">
      <c r="A92" t="s">
        <v>426</v>
      </c>
      <c r="B92" t="s">
        <v>242</v>
      </c>
      <c r="C92" t="s">
        <v>100</v>
      </c>
      <c r="D92">
        <v>8.3569999999999993</v>
      </c>
      <c r="E92">
        <v>10</v>
      </c>
      <c r="F92">
        <v>28</v>
      </c>
      <c r="G92">
        <v>16</v>
      </c>
      <c r="H92">
        <v>21</v>
      </c>
      <c r="I92">
        <v>13</v>
      </c>
      <c r="J92">
        <v>16</v>
      </c>
      <c r="K92">
        <v>20</v>
      </c>
      <c r="L92">
        <v>20</v>
      </c>
      <c r="M92">
        <v>35</v>
      </c>
      <c r="N92">
        <v>43</v>
      </c>
      <c r="O92">
        <v>38</v>
      </c>
      <c r="P92">
        <v>41</v>
      </c>
      <c r="Q92">
        <v>44</v>
      </c>
      <c r="R92">
        <v>35</v>
      </c>
      <c r="S92">
        <v>13</v>
      </c>
      <c r="T92">
        <v>3</v>
      </c>
      <c r="U92">
        <v>-33</v>
      </c>
      <c r="V92">
        <v>-29</v>
      </c>
      <c r="W92">
        <v>-8</v>
      </c>
      <c r="X92">
        <v>9</v>
      </c>
      <c r="Y92">
        <v>27</v>
      </c>
      <c r="Z92">
        <v>43</v>
      </c>
      <c r="AA92">
        <v>48</v>
      </c>
      <c r="AB92">
        <v>41</v>
      </c>
      <c r="AC92">
        <v>14</v>
      </c>
      <c r="AD92">
        <v>3</v>
      </c>
      <c r="AE92">
        <v>9</v>
      </c>
      <c r="AF92">
        <v>-10</v>
      </c>
      <c r="AG92">
        <v>-3</v>
      </c>
      <c r="AH92">
        <v>5</v>
      </c>
      <c r="AI92">
        <v>12</v>
      </c>
      <c r="AJ92">
        <v>21</v>
      </c>
      <c r="AK92">
        <v>3</v>
      </c>
      <c r="AL92">
        <v>-2</v>
      </c>
      <c r="AM92">
        <v>6</v>
      </c>
      <c r="AN92">
        <v>11</v>
      </c>
      <c r="AO92">
        <v>6</v>
      </c>
      <c r="AP92">
        <v>9</v>
      </c>
      <c r="AQ92">
        <v>10</v>
      </c>
      <c r="AR92">
        <v>9</v>
      </c>
      <c r="AS92">
        <v>17</v>
      </c>
      <c r="AT92">
        <v>30</v>
      </c>
      <c r="AU92">
        <v>23</v>
      </c>
      <c r="AV92">
        <v>33</v>
      </c>
      <c r="AW92">
        <v>8</v>
      </c>
      <c r="AX92">
        <v>17</v>
      </c>
      <c r="AY92">
        <v>4</v>
      </c>
      <c r="AZ92">
        <v>-7</v>
      </c>
      <c r="BA92">
        <v>-13</v>
      </c>
      <c r="BB92">
        <v>-6</v>
      </c>
      <c r="BC92">
        <v>-45</v>
      </c>
      <c r="BD92">
        <v>-2</v>
      </c>
      <c r="BE92">
        <v>15</v>
      </c>
      <c r="BF92">
        <v>18</v>
      </c>
      <c r="BG92">
        <v>29</v>
      </c>
      <c r="BH92">
        <v>22</v>
      </c>
      <c r="BI92">
        <v>1</v>
      </c>
      <c r="BJ92">
        <v>-31</v>
      </c>
      <c r="BK92">
        <v>-7</v>
      </c>
      <c r="BL92">
        <v>6</v>
      </c>
      <c r="BM92">
        <v>-31</v>
      </c>
      <c r="BN92">
        <v>-16</v>
      </c>
      <c r="BO92">
        <v>-13</v>
      </c>
      <c r="BP92">
        <v>-9</v>
      </c>
      <c r="BQ92">
        <v>-21</v>
      </c>
      <c r="BR92">
        <v>-22</v>
      </c>
      <c r="BS92">
        <v>1</v>
      </c>
      <c r="BT92">
        <v>-4</v>
      </c>
      <c r="BU92">
        <v>-7</v>
      </c>
      <c r="BV92">
        <v>-2</v>
      </c>
    </row>
    <row r="93" spans="1:74" x14ac:dyDescent="0.25">
      <c r="A93" t="s">
        <v>427</v>
      </c>
      <c r="B93" t="s">
        <v>132</v>
      </c>
      <c r="C93" t="s">
        <v>100</v>
      </c>
      <c r="D93">
        <v>-6.4429999999999996</v>
      </c>
      <c r="E93">
        <v>-10</v>
      </c>
      <c r="F93">
        <v>-12</v>
      </c>
      <c r="G93">
        <v>12</v>
      </c>
      <c r="H93">
        <v>19</v>
      </c>
      <c r="I93">
        <v>5</v>
      </c>
      <c r="J93">
        <v>-15</v>
      </c>
      <c r="K93">
        <v>-7</v>
      </c>
      <c r="L93">
        <v>-4</v>
      </c>
      <c r="M93">
        <v>-7</v>
      </c>
      <c r="N93">
        <v>-32</v>
      </c>
      <c r="O93">
        <v>-23</v>
      </c>
      <c r="P93">
        <v>-36</v>
      </c>
      <c r="Q93">
        <v>-25</v>
      </c>
      <c r="R93">
        <v>-15</v>
      </c>
      <c r="S93">
        <v>-17</v>
      </c>
      <c r="T93">
        <v>-10</v>
      </c>
      <c r="U93">
        <v>-38</v>
      </c>
      <c r="V93">
        <v>-13</v>
      </c>
      <c r="W93">
        <v>-15</v>
      </c>
      <c r="X93">
        <v>-15</v>
      </c>
      <c r="Y93">
        <v>0</v>
      </c>
      <c r="Z93">
        <v>1</v>
      </c>
      <c r="AA93">
        <v>3</v>
      </c>
      <c r="AB93">
        <v>3</v>
      </c>
      <c r="AC93">
        <v>-9</v>
      </c>
      <c r="AD93">
        <v>-6</v>
      </c>
      <c r="AE93">
        <v>2</v>
      </c>
      <c r="AF93">
        <v>-8</v>
      </c>
      <c r="AG93">
        <v>-11</v>
      </c>
      <c r="AH93">
        <v>-11</v>
      </c>
      <c r="AI93">
        <v>2</v>
      </c>
      <c r="AJ93">
        <v>0</v>
      </c>
      <c r="AK93">
        <v>-5</v>
      </c>
      <c r="AL93">
        <v>4</v>
      </c>
      <c r="AM93">
        <v>8</v>
      </c>
      <c r="AN93">
        <v>5</v>
      </c>
      <c r="AO93">
        <v>8</v>
      </c>
      <c r="AP93">
        <v>0</v>
      </c>
      <c r="AQ93">
        <v>8</v>
      </c>
      <c r="AR93">
        <v>-2</v>
      </c>
      <c r="AS93">
        <v>0</v>
      </c>
      <c r="AT93">
        <v>7</v>
      </c>
      <c r="AU93">
        <v>-6</v>
      </c>
      <c r="AV93">
        <v>-2</v>
      </c>
      <c r="AW93">
        <v>6</v>
      </c>
      <c r="AX93">
        <v>4</v>
      </c>
      <c r="AY93">
        <v>2</v>
      </c>
      <c r="AZ93">
        <v>3</v>
      </c>
      <c r="BA93">
        <v>2</v>
      </c>
      <c r="BB93">
        <v>6</v>
      </c>
      <c r="BC93">
        <v>-29</v>
      </c>
      <c r="BD93">
        <v>6</v>
      </c>
      <c r="BE93">
        <v>-2</v>
      </c>
      <c r="BF93">
        <v>2</v>
      </c>
      <c r="BG93">
        <v>6</v>
      </c>
      <c r="BH93">
        <v>3</v>
      </c>
      <c r="BI93">
        <v>-24</v>
      </c>
      <c r="BJ93">
        <v>-49</v>
      </c>
      <c r="BK93">
        <v>-7</v>
      </c>
      <c r="BL93">
        <v>-7</v>
      </c>
      <c r="BM93">
        <v>-12</v>
      </c>
      <c r="BN93">
        <v>-16</v>
      </c>
      <c r="BO93">
        <v>-15</v>
      </c>
      <c r="BP93">
        <v>-1</v>
      </c>
      <c r="BQ93">
        <v>-3</v>
      </c>
      <c r="BR93">
        <v>-3</v>
      </c>
      <c r="BS93">
        <v>-6</v>
      </c>
      <c r="BT93">
        <v>-13</v>
      </c>
      <c r="BU93">
        <v>-16</v>
      </c>
      <c r="BV93">
        <v>-21</v>
      </c>
    </row>
    <row r="94" spans="1:74" x14ac:dyDescent="0.25">
      <c r="A94" t="s">
        <v>428</v>
      </c>
      <c r="B94" t="s">
        <v>243</v>
      </c>
      <c r="C94" t="s">
        <v>100</v>
      </c>
      <c r="D94">
        <v>-4.2140000000000004</v>
      </c>
      <c r="E94">
        <v>-1</v>
      </c>
      <c r="F94">
        <v>-21</v>
      </c>
      <c r="G94">
        <v>-10</v>
      </c>
      <c r="H94">
        <v>-17</v>
      </c>
      <c r="I94">
        <v>2</v>
      </c>
      <c r="J94">
        <v>-17</v>
      </c>
      <c r="K94">
        <v>-2</v>
      </c>
      <c r="L94">
        <v>-4</v>
      </c>
      <c r="M94">
        <v>11</v>
      </c>
      <c r="N94">
        <v>1</v>
      </c>
      <c r="O94">
        <v>17</v>
      </c>
      <c r="P94">
        <v>33</v>
      </c>
      <c r="Q94">
        <v>8</v>
      </c>
      <c r="R94">
        <v>-4</v>
      </c>
      <c r="S94">
        <v>0</v>
      </c>
      <c r="T94">
        <v>-3</v>
      </c>
      <c r="U94">
        <v>-45</v>
      </c>
      <c r="V94">
        <v>-26</v>
      </c>
      <c r="W94">
        <v>-3</v>
      </c>
      <c r="X94">
        <v>-12</v>
      </c>
      <c r="Y94">
        <v>16</v>
      </c>
      <c r="Z94">
        <v>16</v>
      </c>
      <c r="AA94">
        <v>21</v>
      </c>
      <c r="AB94">
        <v>17</v>
      </c>
      <c r="AC94">
        <v>-8</v>
      </c>
      <c r="AD94">
        <v>-12</v>
      </c>
      <c r="AE94">
        <v>6</v>
      </c>
      <c r="AF94">
        <v>-13</v>
      </c>
      <c r="AG94">
        <v>-8</v>
      </c>
      <c r="AH94">
        <v>-2</v>
      </c>
      <c r="AI94">
        <v>2</v>
      </c>
      <c r="AJ94">
        <v>10</v>
      </c>
      <c r="AK94">
        <v>13</v>
      </c>
      <c r="AL94">
        <v>-2</v>
      </c>
      <c r="AM94">
        <v>-2</v>
      </c>
      <c r="AN94">
        <v>9</v>
      </c>
      <c r="AO94">
        <v>4</v>
      </c>
      <c r="AP94">
        <v>9</v>
      </c>
      <c r="AQ94">
        <v>14</v>
      </c>
      <c r="AR94">
        <v>8</v>
      </c>
      <c r="AS94">
        <v>5</v>
      </c>
      <c r="AT94">
        <v>16</v>
      </c>
      <c r="AU94">
        <v>16</v>
      </c>
      <c r="AV94">
        <v>16</v>
      </c>
      <c r="AW94">
        <v>11</v>
      </c>
      <c r="AX94">
        <v>8</v>
      </c>
      <c r="AY94">
        <v>11</v>
      </c>
      <c r="AZ94">
        <v>7</v>
      </c>
      <c r="BA94">
        <v>-9</v>
      </c>
      <c r="BB94">
        <v>-2</v>
      </c>
      <c r="BC94">
        <v>-52</v>
      </c>
      <c r="BD94">
        <v>-5</v>
      </c>
      <c r="BE94">
        <v>-9</v>
      </c>
      <c r="BF94">
        <v>9</v>
      </c>
      <c r="BG94">
        <v>7</v>
      </c>
      <c r="BH94">
        <v>1</v>
      </c>
      <c r="BI94">
        <v>-20</v>
      </c>
      <c r="BJ94">
        <v>-57</v>
      </c>
      <c r="BK94">
        <v>-27</v>
      </c>
      <c r="BL94">
        <v>-12</v>
      </c>
      <c r="BM94">
        <v>-40</v>
      </c>
      <c r="BN94">
        <v>-33</v>
      </c>
      <c r="BO94">
        <v>-12</v>
      </c>
      <c r="BP94">
        <v>-20</v>
      </c>
      <c r="BQ94">
        <v>-24</v>
      </c>
      <c r="BR94">
        <v>-7</v>
      </c>
      <c r="BS94">
        <v>-12</v>
      </c>
      <c r="BT94">
        <v>-17</v>
      </c>
      <c r="BU94">
        <v>-29</v>
      </c>
      <c r="BV94">
        <v>-20</v>
      </c>
    </row>
    <row r="95" spans="1:74" x14ac:dyDescent="0.25">
      <c r="A95" t="s">
        <v>429</v>
      </c>
      <c r="B95" t="s">
        <v>37</v>
      </c>
      <c r="C95" t="s">
        <v>100</v>
      </c>
      <c r="D95">
        <v>-9</v>
      </c>
      <c r="E95">
        <v>-25</v>
      </c>
      <c r="F95">
        <v>-23</v>
      </c>
      <c r="G95">
        <v>-25</v>
      </c>
      <c r="H95">
        <v>-29</v>
      </c>
      <c r="I95">
        <v>-24</v>
      </c>
      <c r="J95">
        <v>-19</v>
      </c>
      <c r="K95">
        <v>-21</v>
      </c>
      <c r="L95">
        <v>-1</v>
      </c>
      <c r="M95">
        <v>12</v>
      </c>
      <c r="N95">
        <v>-6</v>
      </c>
      <c r="O95">
        <v>5</v>
      </c>
      <c r="P95">
        <v>15</v>
      </c>
      <c r="Q95">
        <v>-4</v>
      </c>
      <c r="R95">
        <v>-3</v>
      </c>
      <c r="S95">
        <v>-2</v>
      </c>
      <c r="T95">
        <v>-22</v>
      </c>
      <c r="U95">
        <v>-41</v>
      </c>
      <c r="V95">
        <v>-25</v>
      </c>
      <c r="W95">
        <v>-23</v>
      </c>
      <c r="X95">
        <v>-20</v>
      </c>
      <c r="Y95">
        <v>-1</v>
      </c>
      <c r="Z95">
        <v>-5</v>
      </c>
      <c r="AA95">
        <v>1</v>
      </c>
      <c r="AB95">
        <v>16</v>
      </c>
      <c r="AC95">
        <v>-6</v>
      </c>
      <c r="AD95">
        <v>-8</v>
      </c>
      <c r="AE95">
        <v>8</v>
      </c>
      <c r="AF95">
        <v>-10</v>
      </c>
      <c r="AG95">
        <v>-5</v>
      </c>
      <c r="AH95">
        <v>11</v>
      </c>
      <c r="AI95">
        <v>1</v>
      </c>
      <c r="AJ95">
        <v>7</v>
      </c>
      <c r="AK95">
        <v>13</v>
      </c>
      <c r="AL95">
        <v>-2</v>
      </c>
      <c r="AM95">
        <v>-1</v>
      </c>
      <c r="AN95">
        <v>13</v>
      </c>
      <c r="AO95">
        <v>1</v>
      </c>
      <c r="AP95">
        <v>6</v>
      </c>
      <c r="AQ95">
        <v>16</v>
      </c>
      <c r="AR95">
        <v>5</v>
      </c>
      <c r="AS95">
        <v>11</v>
      </c>
      <c r="AT95">
        <v>18</v>
      </c>
      <c r="AU95">
        <v>8</v>
      </c>
      <c r="AV95">
        <v>15</v>
      </c>
      <c r="AW95">
        <v>19</v>
      </c>
      <c r="AX95">
        <v>9</v>
      </c>
      <c r="AY95">
        <v>8</v>
      </c>
      <c r="AZ95">
        <v>11</v>
      </c>
      <c r="BA95">
        <v>-4</v>
      </c>
      <c r="BB95">
        <v>-3</v>
      </c>
      <c r="BC95">
        <v>-38</v>
      </c>
      <c r="BD95">
        <v>-20</v>
      </c>
      <c r="BE95">
        <v>-21</v>
      </c>
      <c r="BF95">
        <v>-14</v>
      </c>
      <c r="BG95">
        <v>-7</v>
      </c>
      <c r="BH95">
        <v>-3</v>
      </c>
      <c r="BI95">
        <v>-37</v>
      </c>
      <c r="BJ95">
        <v>-56</v>
      </c>
      <c r="BK95">
        <v>-32</v>
      </c>
      <c r="BL95">
        <v>-27</v>
      </c>
      <c r="BM95">
        <v>-43</v>
      </c>
      <c r="BN95">
        <v>-38</v>
      </c>
      <c r="BO95">
        <v>-23</v>
      </c>
      <c r="BP95">
        <v>-31</v>
      </c>
      <c r="BQ95">
        <v>-25</v>
      </c>
      <c r="BR95">
        <v>-13</v>
      </c>
      <c r="BS95">
        <v>-17</v>
      </c>
      <c r="BT95">
        <v>-14</v>
      </c>
      <c r="BU95">
        <v>-20</v>
      </c>
      <c r="BV95">
        <v>-22</v>
      </c>
    </row>
    <row r="96" spans="1:74" x14ac:dyDescent="0.25">
      <c r="A96" t="s">
        <v>430</v>
      </c>
      <c r="B96" t="s">
        <v>134</v>
      </c>
      <c r="C96" t="s">
        <v>100</v>
      </c>
      <c r="D96">
        <v>-9.4710000000000001</v>
      </c>
      <c r="E96">
        <v>-21</v>
      </c>
      <c r="F96">
        <v>-19</v>
      </c>
      <c r="G96">
        <v>-23</v>
      </c>
      <c r="H96">
        <v>-28</v>
      </c>
      <c r="I96">
        <v>-22</v>
      </c>
      <c r="J96">
        <v>-20</v>
      </c>
      <c r="K96">
        <v>-21</v>
      </c>
      <c r="L96">
        <v>1</v>
      </c>
      <c r="M96">
        <v>13</v>
      </c>
      <c r="N96">
        <v>-7</v>
      </c>
      <c r="O96">
        <v>7</v>
      </c>
      <c r="P96">
        <v>14</v>
      </c>
      <c r="Q96">
        <v>-6</v>
      </c>
      <c r="R96">
        <v>-2</v>
      </c>
      <c r="S96">
        <v>-2</v>
      </c>
      <c r="T96">
        <v>-23</v>
      </c>
      <c r="U96">
        <v>-40</v>
      </c>
      <c r="V96">
        <v>-27</v>
      </c>
      <c r="W96">
        <v>-23</v>
      </c>
      <c r="X96">
        <v>-20</v>
      </c>
      <c r="Y96">
        <v>-4</v>
      </c>
      <c r="Z96">
        <v>-5</v>
      </c>
      <c r="AA96">
        <v>5</v>
      </c>
      <c r="AB96">
        <v>17</v>
      </c>
      <c r="AC96">
        <v>-4</v>
      </c>
      <c r="AD96">
        <v>-8</v>
      </c>
      <c r="AE96">
        <v>10</v>
      </c>
      <c r="AF96">
        <v>-8</v>
      </c>
      <c r="AG96">
        <v>-1</v>
      </c>
      <c r="AH96">
        <v>14</v>
      </c>
      <c r="AI96">
        <v>0</v>
      </c>
      <c r="AJ96">
        <v>7</v>
      </c>
      <c r="AK96">
        <v>14</v>
      </c>
      <c r="AL96">
        <v>-3</v>
      </c>
      <c r="AM96">
        <v>0</v>
      </c>
      <c r="AN96">
        <v>12</v>
      </c>
      <c r="AO96">
        <v>4</v>
      </c>
      <c r="AP96">
        <v>10</v>
      </c>
      <c r="AQ96">
        <v>14</v>
      </c>
      <c r="AR96">
        <v>7</v>
      </c>
      <c r="AS96">
        <v>13</v>
      </c>
      <c r="AT96">
        <v>16</v>
      </c>
      <c r="AU96">
        <v>7</v>
      </c>
      <c r="AV96">
        <v>13</v>
      </c>
      <c r="AW96">
        <v>19</v>
      </c>
      <c r="AX96">
        <v>5</v>
      </c>
      <c r="AY96">
        <v>5</v>
      </c>
      <c r="AZ96">
        <v>8</v>
      </c>
      <c r="BA96">
        <v>-4</v>
      </c>
      <c r="BB96">
        <v>-1</v>
      </c>
      <c r="BC96">
        <v>-39</v>
      </c>
      <c r="BD96">
        <v>-18</v>
      </c>
      <c r="BE96">
        <v>-19</v>
      </c>
      <c r="BF96">
        <v>-14</v>
      </c>
      <c r="BG96">
        <v>-6</v>
      </c>
      <c r="BH96">
        <v>-2</v>
      </c>
      <c r="BI96">
        <v>-48</v>
      </c>
      <c r="BJ96">
        <v>-62</v>
      </c>
      <c r="BK96">
        <v>-41</v>
      </c>
      <c r="BL96">
        <v>-36</v>
      </c>
      <c r="BM96">
        <v>-50</v>
      </c>
      <c r="BN96">
        <v>-45</v>
      </c>
      <c r="BO96">
        <v>-29</v>
      </c>
      <c r="BP96">
        <v>-34</v>
      </c>
      <c r="BQ96">
        <v>-26</v>
      </c>
      <c r="BR96">
        <v>-13</v>
      </c>
      <c r="BS96">
        <v>-21</v>
      </c>
      <c r="BT96">
        <v>-12</v>
      </c>
      <c r="BU96">
        <v>-19</v>
      </c>
      <c r="BV96">
        <v>-22</v>
      </c>
    </row>
    <row r="97" spans="1:74" x14ac:dyDescent="0.25">
      <c r="A97" t="s">
        <v>431</v>
      </c>
      <c r="B97" t="s">
        <v>135</v>
      </c>
      <c r="C97" t="s">
        <v>100</v>
      </c>
      <c r="D97">
        <v>-13.071</v>
      </c>
      <c r="E97">
        <v>-38</v>
      </c>
      <c r="F97">
        <v>-46</v>
      </c>
      <c r="G97">
        <v>-51</v>
      </c>
      <c r="H97">
        <v>-33</v>
      </c>
      <c r="I97">
        <v>-36</v>
      </c>
      <c r="J97">
        <v>-23</v>
      </c>
      <c r="K97">
        <v>-23</v>
      </c>
      <c r="L97">
        <v>-7</v>
      </c>
      <c r="M97">
        <v>2</v>
      </c>
      <c r="N97">
        <v>0</v>
      </c>
      <c r="O97">
        <v>8</v>
      </c>
      <c r="P97">
        <v>11</v>
      </c>
      <c r="Q97">
        <v>-12</v>
      </c>
      <c r="R97">
        <v>-2</v>
      </c>
      <c r="S97">
        <v>-12</v>
      </c>
      <c r="T97">
        <v>-28</v>
      </c>
      <c r="U97">
        <v>-43</v>
      </c>
      <c r="V97">
        <v>-25</v>
      </c>
      <c r="W97">
        <v>-22</v>
      </c>
      <c r="X97">
        <v>-32</v>
      </c>
      <c r="Y97">
        <v>5</v>
      </c>
      <c r="Z97">
        <v>-24</v>
      </c>
      <c r="AA97">
        <v>-19</v>
      </c>
      <c r="AB97">
        <v>8</v>
      </c>
      <c r="AC97">
        <v>-11</v>
      </c>
      <c r="AD97">
        <v>-16</v>
      </c>
      <c r="AE97">
        <v>5</v>
      </c>
      <c r="AF97">
        <v>-19</v>
      </c>
      <c r="AG97">
        <v>-14</v>
      </c>
      <c r="AH97">
        <v>5</v>
      </c>
      <c r="AI97">
        <v>-2</v>
      </c>
      <c r="AJ97">
        <v>7</v>
      </c>
      <c r="AK97">
        <v>13</v>
      </c>
      <c r="AL97">
        <v>1</v>
      </c>
      <c r="AM97">
        <v>-8</v>
      </c>
      <c r="AN97">
        <v>9</v>
      </c>
      <c r="AO97">
        <v>-2</v>
      </c>
      <c r="AP97">
        <v>-2</v>
      </c>
      <c r="AQ97">
        <v>15</v>
      </c>
      <c r="AR97">
        <v>0</v>
      </c>
      <c r="AS97">
        <v>3</v>
      </c>
      <c r="AT97">
        <v>24</v>
      </c>
      <c r="AU97">
        <v>10</v>
      </c>
      <c r="AV97">
        <v>15</v>
      </c>
      <c r="AW97">
        <v>20</v>
      </c>
      <c r="AX97">
        <v>10</v>
      </c>
      <c r="AY97">
        <v>7</v>
      </c>
      <c r="AZ97">
        <v>19</v>
      </c>
      <c r="BA97">
        <v>-6</v>
      </c>
      <c r="BB97">
        <v>-14</v>
      </c>
      <c r="BC97">
        <v>-41</v>
      </c>
      <c r="BD97">
        <v>-34</v>
      </c>
      <c r="BE97">
        <v>-32</v>
      </c>
      <c r="BF97">
        <v>-24</v>
      </c>
      <c r="BG97">
        <v>-19</v>
      </c>
      <c r="BH97">
        <v>-8</v>
      </c>
      <c r="BI97">
        <v>-43</v>
      </c>
      <c r="BJ97">
        <v>-58</v>
      </c>
      <c r="BK97">
        <v>-39</v>
      </c>
      <c r="BL97">
        <v>-20</v>
      </c>
      <c r="BM97">
        <v>-37</v>
      </c>
      <c r="BN97">
        <v>-27</v>
      </c>
      <c r="BO97">
        <v>-14</v>
      </c>
      <c r="BP97">
        <v>-26</v>
      </c>
      <c r="BQ97">
        <v>-26</v>
      </c>
      <c r="BR97">
        <v>-10</v>
      </c>
      <c r="BS97">
        <v>-21</v>
      </c>
      <c r="BT97">
        <v>-16</v>
      </c>
      <c r="BU97">
        <v>-20</v>
      </c>
      <c r="BV97">
        <v>-27</v>
      </c>
    </row>
    <row r="98" spans="1:74" x14ac:dyDescent="0.25">
      <c r="A98" t="s">
        <v>432</v>
      </c>
      <c r="B98" t="s">
        <v>136</v>
      </c>
      <c r="C98" t="s">
        <v>100</v>
      </c>
      <c r="D98">
        <v>-6.5860000000000003</v>
      </c>
      <c r="E98">
        <v>-26</v>
      </c>
      <c r="F98">
        <v>-21</v>
      </c>
      <c r="G98">
        <v>-19</v>
      </c>
      <c r="H98">
        <v>-27</v>
      </c>
      <c r="I98">
        <v>-20</v>
      </c>
      <c r="J98">
        <v>-16</v>
      </c>
      <c r="K98">
        <v>-20</v>
      </c>
      <c r="L98">
        <v>-3</v>
      </c>
      <c r="M98">
        <v>13</v>
      </c>
      <c r="N98">
        <v>-4</v>
      </c>
      <c r="O98">
        <v>5</v>
      </c>
      <c r="P98">
        <v>20</v>
      </c>
      <c r="Q98">
        <v>1</v>
      </c>
      <c r="R98">
        <v>-3</v>
      </c>
      <c r="S98">
        <v>0</v>
      </c>
      <c r="T98">
        <v>-19</v>
      </c>
      <c r="U98">
        <v>-43</v>
      </c>
      <c r="V98">
        <v>-24</v>
      </c>
      <c r="W98">
        <v>-21</v>
      </c>
      <c r="X98">
        <v>-16</v>
      </c>
      <c r="Y98">
        <v>2</v>
      </c>
      <c r="Z98">
        <v>1</v>
      </c>
      <c r="AA98">
        <v>7</v>
      </c>
      <c r="AB98">
        <v>18</v>
      </c>
      <c r="AC98">
        <v>-8</v>
      </c>
      <c r="AD98">
        <v>-6</v>
      </c>
      <c r="AE98">
        <v>7</v>
      </c>
      <c r="AF98">
        <v>-8</v>
      </c>
      <c r="AG98">
        <v>-4</v>
      </c>
      <c r="AH98">
        <v>9</v>
      </c>
      <c r="AI98">
        <v>3</v>
      </c>
      <c r="AJ98">
        <v>8</v>
      </c>
      <c r="AK98">
        <v>14</v>
      </c>
      <c r="AL98">
        <v>0</v>
      </c>
      <c r="AM98">
        <v>0</v>
      </c>
      <c r="AN98">
        <v>16</v>
      </c>
      <c r="AO98">
        <v>2</v>
      </c>
      <c r="AP98">
        <v>6</v>
      </c>
      <c r="AQ98">
        <v>19</v>
      </c>
      <c r="AR98">
        <v>6</v>
      </c>
      <c r="AS98">
        <v>12</v>
      </c>
      <c r="AT98">
        <v>20</v>
      </c>
      <c r="AU98">
        <v>10</v>
      </c>
      <c r="AV98">
        <v>16</v>
      </c>
      <c r="AW98">
        <v>20</v>
      </c>
      <c r="AX98">
        <v>12</v>
      </c>
      <c r="AY98">
        <v>10</v>
      </c>
      <c r="AZ98">
        <v>13</v>
      </c>
      <c r="BA98">
        <v>-3</v>
      </c>
      <c r="BB98">
        <v>-1</v>
      </c>
      <c r="BC98">
        <v>-37</v>
      </c>
      <c r="BD98">
        <v>-17</v>
      </c>
      <c r="BE98">
        <v>-20</v>
      </c>
      <c r="BF98">
        <v>-9</v>
      </c>
      <c r="BG98">
        <v>-5</v>
      </c>
      <c r="BH98">
        <v>-2</v>
      </c>
      <c r="BI98">
        <v>-22</v>
      </c>
      <c r="BJ98">
        <v>-49</v>
      </c>
      <c r="BK98">
        <v>-21</v>
      </c>
      <c r="BL98">
        <v>-17</v>
      </c>
      <c r="BM98">
        <v>-34</v>
      </c>
      <c r="BN98">
        <v>-33</v>
      </c>
      <c r="BO98">
        <v>-18</v>
      </c>
      <c r="BP98">
        <v>-28</v>
      </c>
      <c r="BQ98">
        <v>-23</v>
      </c>
      <c r="BR98">
        <v>-11</v>
      </c>
      <c r="BS98">
        <v>-16</v>
      </c>
      <c r="BT98">
        <v>-17</v>
      </c>
      <c r="BU98">
        <v>-19</v>
      </c>
      <c r="BV98">
        <v>-21</v>
      </c>
    </row>
    <row r="99" spans="1:74" x14ac:dyDescent="0.25">
      <c r="A99" t="s">
        <v>433</v>
      </c>
      <c r="B99" t="s">
        <v>38</v>
      </c>
      <c r="C99" t="s">
        <v>100</v>
      </c>
      <c r="D99">
        <v>-4.9569999999999999</v>
      </c>
      <c r="E99">
        <v>-5</v>
      </c>
      <c r="F99">
        <v>-4</v>
      </c>
      <c r="G99">
        <v>-10</v>
      </c>
      <c r="H99">
        <v>-7</v>
      </c>
      <c r="I99">
        <v>-1</v>
      </c>
      <c r="J99">
        <v>-11</v>
      </c>
      <c r="K99">
        <v>-3</v>
      </c>
      <c r="L99">
        <v>11</v>
      </c>
      <c r="M99">
        <v>15</v>
      </c>
      <c r="N99">
        <v>-3</v>
      </c>
      <c r="O99">
        <v>4</v>
      </c>
      <c r="P99">
        <v>16</v>
      </c>
      <c r="Q99">
        <v>7</v>
      </c>
      <c r="R99">
        <v>0</v>
      </c>
      <c r="S99">
        <v>-1</v>
      </c>
      <c r="T99">
        <v>-16</v>
      </c>
      <c r="U99">
        <v>-40</v>
      </c>
      <c r="V99">
        <v>-35</v>
      </c>
      <c r="W99">
        <v>-12</v>
      </c>
      <c r="X99">
        <v>-7</v>
      </c>
      <c r="Y99">
        <v>12</v>
      </c>
      <c r="Z99">
        <v>17</v>
      </c>
      <c r="AA99">
        <v>19</v>
      </c>
      <c r="AB99">
        <v>23</v>
      </c>
      <c r="AC99">
        <v>5</v>
      </c>
      <c r="AD99">
        <v>1</v>
      </c>
      <c r="AE99">
        <v>9</v>
      </c>
      <c r="AF99">
        <v>-5</v>
      </c>
      <c r="AG99">
        <v>-1</v>
      </c>
      <c r="AH99">
        <v>5</v>
      </c>
      <c r="AI99">
        <v>9</v>
      </c>
      <c r="AJ99">
        <v>15</v>
      </c>
      <c r="AK99">
        <v>18</v>
      </c>
      <c r="AL99">
        <v>3</v>
      </c>
      <c r="AM99">
        <v>4</v>
      </c>
      <c r="AN99">
        <v>11</v>
      </c>
      <c r="AO99">
        <v>9</v>
      </c>
      <c r="AP99">
        <v>9</v>
      </c>
      <c r="AQ99">
        <v>12</v>
      </c>
      <c r="AR99">
        <v>7</v>
      </c>
      <c r="AS99">
        <v>8</v>
      </c>
      <c r="AT99">
        <v>13</v>
      </c>
      <c r="AU99">
        <v>12</v>
      </c>
      <c r="AV99">
        <v>12</v>
      </c>
      <c r="AW99">
        <v>10</v>
      </c>
      <c r="AX99">
        <v>7</v>
      </c>
      <c r="AY99">
        <v>2</v>
      </c>
      <c r="AZ99">
        <v>3</v>
      </c>
      <c r="BA99">
        <v>-7</v>
      </c>
      <c r="BB99">
        <v>-5</v>
      </c>
      <c r="BC99">
        <v>-46</v>
      </c>
      <c r="BD99">
        <v>-12</v>
      </c>
      <c r="BE99">
        <v>-25</v>
      </c>
      <c r="BF99">
        <v>-10</v>
      </c>
      <c r="BG99">
        <v>1</v>
      </c>
      <c r="BH99">
        <v>-7</v>
      </c>
      <c r="BI99">
        <v>-29</v>
      </c>
      <c r="BJ99">
        <v>-55</v>
      </c>
      <c r="BK99">
        <v>-30</v>
      </c>
      <c r="BL99">
        <v>-18</v>
      </c>
      <c r="BM99">
        <v>-31</v>
      </c>
      <c r="BN99">
        <v>-33</v>
      </c>
      <c r="BO99">
        <v>-21</v>
      </c>
      <c r="BP99">
        <v>-28</v>
      </c>
      <c r="BQ99">
        <v>-26</v>
      </c>
      <c r="BR99">
        <v>-20</v>
      </c>
      <c r="BS99">
        <v>-19</v>
      </c>
      <c r="BT99">
        <v>-19</v>
      </c>
      <c r="BU99">
        <v>-31</v>
      </c>
      <c r="BV99">
        <v>-23</v>
      </c>
    </row>
    <row r="100" spans="1:74" x14ac:dyDescent="0.25">
      <c r="A100" t="s">
        <v>434</v>
      </c>
      <c r="B100" t="s">
        <v>137</v>
      </c>
      <c r="C100" t="s">
        <v>100</v>
      </c>
      <c r="D100">
        <v>-0.32900000000000001</v>
      </c>
      <c r="E100">
        <v>-1</v>
      </c>
      <c r="F100">
        <v>8</v>
      </c>
      <c r="G100">
        <v>3</v>
      </c>
      <c r="H100">
        <v>0</v>
      </c>
      <c r="I100">
        <v>3</v>
      </c>
      <c r="J100">
        <v>-9</v>
      </c>
      <c r="K100">
        <v>1</v>
      </c>
      <c r="L100">
        <v>18</v>
      </c>
      <c r="M100">
        <v>21</v>
      </c>
      <c r="N100">
        <v>7</v>
      </c>
      <c r="O100">
        <v>16</v>
      </c>
      <c r="P100">
        <v>22</v>
      </c>
      <c r="Q100">
        <v>9</v>
      </c>
      <c r="R100">
        <v>4</v>
      </c>
      <c r="S100">
        <v>4</v>
      </c>
      <c r="T100">
        <v>-11</v>
      </c>
      <c r="U100">
        <v>-41</v>
      </c>
      <c r="V100">
        <v>-36</v>
      </c>
      <c r="W100">
        <v>-3</v>
      </c>
      <c r="X100">
        <v>5</v>
      </c>
      <c r="Y100">
        <v>23</v>
      </c>
      <c r="Z100">
        <v>22</v>
      </c>
      <c r="AA100">
        <v>28</v>
      </c>
      <c r="AB100">
        <v>30</v>
      </c>
      <c r="AC100">
        <v>9</v>
      </c>
      <c r="AD100">
        <v>5</v>
      </c>
      <c r="AE100">
        <v>15</v>
      </c>
      <c r="AF100">
        <v>-3</v>
      </c>
      <c r="AG100">
        <v>5</v>
      </c>
      <c r="AH100">
        <v>10</v>
      </c>
      <c r="AI100">
        <v>13</v>
      </c>
      <c r="AJ100">
        <v>22</v>
      </c>
      <c r="AK100">
        <v>25</v>
      </c>
      <c r="AL100">
        <v>4</v>
      </c>
      <c r="AM100">
        <v>8</v>
      </c>
      <c r="AN100">
        <v>15</v>
      </c>
      <c r="AO100">
        <v>10</v>
      </c>
      <c r="AP100">
        <v>14</v>
      </c>
      <c r="AQ100">
        <v>14</v>
      </c>
      <c r="AR100">
        <v>11</v>
      </c>
      <c r="AS100">
        <v>12</v>
      </c>
      <c r="AT100">
        <v>20</v>
      </c>
      <c r="AU100">
        <v>17</v>
      </c>
      <c r="AV100">
        <v>21</v>
      </c>
      <c r="AW100">
        <v>16</v>
      </c>
      <c r="AX100">
        <v>11</v>
      </c>
      <c r="AY100">
        <v>7</v>
      </c>
      <c r="AZ100">
        <v>5</v>
      </c>
      <c r="BA100">
        <v>-11</v>
      </c>
      <c r="BB100">
        <v>-4</v>
      </c>
      <c r="BC100">
        <v>-46</v>
      </c>
      <c r="BD100">
        <v>-10</v>
      </c>
      <c r="BE100">
        <v>-14</v>
      </c>
      <c r="BF100">
        <v>0</v>
      </c>
      <c r="BG100">
        <v>5</v>
      </c>
      <c r="BH100">
        <v>-1</v>
      </c>
      <c r="BI100">
        <v>-28</v>
      </c>
      <c r="BJ100">
        <v>-52</v>
      </c>
      <c r="BK100">
        <v>-27</v>
      </c>
      <c r="BL100">
        <v>-16</v>
      </c>
      <c r="BM100">
        <v>-33</v>
      </c>
      <c r="BN100">
        <v>-33</v>
      </c>
      <c r="BO100">
        <v>-21</v>
      </c>
      <c r="BP100">
        <v>-28</v>
      </c>
      <c r="BQ100">
        <v>-26</v>
      </c>
      <c r="BR100">
        <v>-18</v>
      </c>
      <c r="BS100">
        <v>-13</v>
      </c>
      <c r="BT100">
        <v>-14</v>
      </c>
      <c r="BU100">
        <v>-26</v>
      </c>
      <c r="BV100">
        <v>-16</v>
      </c>
    </row>
    <row r="101" spans="1:74" x14ac:dyDescent="0.25">
      <c r="A101" t="s">
        <v>435</v>
      </c>
      <c r="B101" t="s">
        <v>138</v>
      </c>
      <c r="C101" t="s">
        <v>100</v>
      </c>
      <c r="D101">
        <v>-8.4429999999999996</v>
      </c>
      <c r="E101">
        <v>-10</v>
      </c>
      <c r="F101">
        <v>-18</v>
      </c>
      <c r="G101">
        <v>-24</v>
      </c>
      <c r="H101">
        <v>-14</v>
      </c>
      <c r="I101">
        <v>-7</v>
      </c>
      <c r="J101">
        <v>-15</v>
      </c>
      <c r="K101">
        <v>-7</v>
      </c>
      <c r="L101">
        <v>3</v>
      </c>
      <c r="M101">
        <v>7</v>
      </c>
      <c r="N101">
        <v>-9</v>
      </c>
      <c r="O101">
        <v>-6</v>
      </c>
      <c r="P101">
        <v>13</v>
      </c>
      <c r="Q101">
        <v>6</v>
      </c>
      <c r="R101">
        <v>-4</v>
      </c>
      <c r="S101">
        <v>-5</v>
      </c>
      <c r="T101">
        <v>-18</v>
      </c>
      <c r="U101">
        <v>-37</v>
      </c>
      <c r="V101">
        <v>-34</v>
      </c>
      <c r="W101">
        <v>-13</v>
      </c>
      <c r="X101">
        <v>-11</v>
      </c>
      <c r="Y101">
        <v>4</v>
      </c>
      <c r="Z101">
        <v>12</v>
      </c>
      <c r="AA101">
        <v>12</v>
      </c>
      <c r="AB101">
        <v>14</v>
      </c>
      <c r="AC101">
        <v>2</v>
      </c>
      <c r="AD101">
        <v>-2</v>
      </c>
      <c r="AE101">
        <v>8</v>
      </c>
      <c r="AF101">
        <v>-5</v>
      </c>
      <c r="AG101">
        <v>-3</v>
      </c>
      <c r="AH101">
        <v>3</v>
      </c>
      <c r="AI101">
        <v>7</v>
      </c>
      <c r="AJ101">
        <v>7</v>
      </c>
      <c r="AK101">
        <v>10</v>
      </c>
      <c r="AL101">
        <v>4</v>
      </c>
      <c r="AM101">
        <v>-1</v>
      </c>
      <c r="AN101">
        <v>6</v>
      </c>
      <c r="AO101">
        <v>7</v>
      </c>
      <c r="AP101">
        <v>5</v>
      </c>
      <c r="AQ101">
        <v>9</v>
      </c>
      <c r="AR101">
        <v>5</v>
      </c>
      <c r="AS101">
        <v>2</v>
      </c>
      <c r="AT101">
        <v>7</v>
      </c>
      <c r="AU101">
        <v>9</v>
      </c>
      <c r="AV101">
        <v>4</v>
      </c>
      <c r="AW101">
        <v>6</v>
      </c>
      <c r="AX101">
        <v>5</v>
      </c>
      <c r="AY101">
        <v>-2</v>
      </c>
      <c r="AZ101">
        <v>2</v>
      </c>
      <c r="BA101">
        <v>-3</v>
      </c>
      <c r="BB101">
        <v>-3</v>
      </c>
      <c r="BC101">
        <v>-44</v>
      </c>
      <c r="BD101">
        <v>-12</v>
      </c>
      <c r="BE101">
        <v>-33</v>
      </c>
      <c r="BF101">
        <v>-21</v>
      </c>
      <c r="BG101">
        <v>1</v>
      </c>
      <c r="BH101">
        <v>-11</v>
      </c>
      <c r="BI101">
        <v>-28</v>
      </c>
      <c r="BJ101">
        <v>-56</v>
      </c>
      <c r="BK101">
        <v>-30</v>
      </c>
      <c r="BL101">
        <v>-18</v>
      </c>
      <c r="BM101">
        <v>-27</v>
      </c>
      <c r="BN101">
        <v>-31</v>
      </c>
      <c r="BO101">
        <v>-21</v>
      </c>
      <c r="BP101">
        <v>-26</v>
      </c>
      <c r="BQ101">
        <v>-26</v>
      </c>
      <c r="BR101">
        <v>-23</v>
      </c>
      <c r="BS101">
        <v>-24</v>
      </c>
      <c r="BT101">
        <v>-24</v>
      </c>
      <c r="BU101">
        <v>-36</v>
      </c>
      <c r="BV101">
        <v>-29</v>
      </c>
    </row>
    <row r="102" spans="1:74" x14ac:dyDescent="0.25">
      <c r="A102" t="s">
        <v>436</v>
      </c>
      <c r="B102" t="s">
        <v>139</v>
      </c>
      <c r="C102" t="s">
        <v>100</v>
      </c>
      <c r="D102">
        <v>3.6</v>
      </c>
      <c r="E102">
        <v>7</v>
      </c>
      <c r="F102">
        <v>16</v>
      </c>
      <c r="G102">
        <v>8</v>
      </c>
      <c r="H102">
        <v>7</v>
      </c>
      <c r="I102">
        <v>7</v>
      </c>
      <c r="J102">
        <v>2</v>
      </c>
      <c r="K102">
        <v>5</v>
      </c>
      <c r="L102">
        <v>18</v>
      </c>
      <c r="M102">
        <v>22</v>
      </c>
      <c r="N102">
        <v>12</v>
      </c>
      <c r="O102">
        <v>20</v>
      </c>
      <c r="P102">
        <v>27</v>
      </c>
      <c r="Q102">
        <v>19</v>
      </c>
      <c r="R102">
        <v>15</v>
      </c>
      <c r="S102">
        <v>10</v>
      </c>
      <c r="T102">
        <v>-2</v>
      </c>
      <c r="U102">
        <v>-27</v>
      </c>
      <c r="V102">
        <v>-23</v>
      </c>
      <c r="W102">
        <v>3</v>
      </c>
      <c r="X102">
        <v>6</v>
      </c>
      <c r="Y102">
        <v>18</v>
      </c>
      <c r="Z102">
        <v>21</v>
      </c>
      <c r="AA102">
        <v>23</v>
      </c>
      <c r="AB102">
        <v>23</v>
      </c>
      <c r="AC102">
        <v>11</v>
      </c>
      <c r="AD102">
        <v>7</v>
      </c>
      <c r="AE102">
        <v>12</v>
      </c>
      <c r="AF102">
        <v>0</v>
      </c>
      <c r="AG102">
        <v>3</v>
      </c>
      <c r="AH102">
        <v>9</v>
      </c>
      <c r="AI102">
        <v>11</v>
      </c>
      <c r="AJ102">
        <v>16</v>
      </c>
      <c r="AK102">
        <v>16</v>
      </c>
      <c r="AL102">
        <v>7</v>
      </c>
      <c r="AM102">
        <v>7</v>
      </c>
      <c r="AN102">
        <v>12</v>
      </c>
      <c r="AO102">
        <v>9</v>
      </c>
      <c r="AP102">
        <v>10</v>
      </c>
      <c r="AQ102">
        <v>11</v>
      </c>
      <c r="AR102">
        <v>8</v>
      </c>
      <c r="AS102">
        <v>10</v>
      </c>
      <c r="AT102">
        <v>14</v>
      </c>
      <c r="AU102">
        <v>12</v>
      </c>
      <c r="AV102">
        <v>16</v>
      </c>
      <c r="AW102">
        <v>17</v>
      </c>
      <c r="AX102">
        <v>11</v>
      </c>
      <c r="AY102">
        <v>8</v>
      </c>
      <c r="AZ102">
        <v>7</v>
      </c>
      <c r="BA102">
        <v>-3</v>
      </c>
      <c r="BB102">
        <v>0</v>
      </c>
      <c r="BC102">
        <v>-45</v>
      </c>
      <c r="BD102">
        <v>-10</v>
      </c>
      <c r="BE102">
        <v>-12</v>
      </c>
      <c r="BF102">
        <v>-2</v>
      </c>
      <c r="BG102">
        <v>12</v>
      </c>
      <c r="BH102">
        <v>5</v>
      </c>
      <c r="BI102">
        <v>-3</v>
      </c>
      <c r="BJ102">
        <v>-39</v>
      </c>
      <c r="BK102">
        <v>-9</v>
      </c>
      <c r="BL102">
        <v>0</v>
      </c>
      <c r="BM102">
        <v>-16</v>
      </c>
      <c r="BN102">
        <v>-16</v>
      </c>
      <c r="BO102">
        <v>-6</v>
      </c>
      <c r="BP102">
        <v>-14</v>
      </c>
      <c r="BQ102">
        <v>-13</v>
      </c>
      <c r="BR102">
        <v>-8</v>
      </c>
      <c r="BS102">
        <v>-10</v>
      </c>
      <c r="BT102">
        <v>-8</v>
      </c>
      <c r="BU102">
        <v>-18</v>
      </c>
      <c r="BV102">
        <v>-14</v>
      </c>
    </row>
    <row r="103" spans="1:74" x14ac:dyDescent="0.25">
      <c r="A103" t="s">
        <v>437</v>
      </c>
      <c r="B103" t="s">
        <v>140</v>
      </c>
      <c r="C103" t="s">
        <v>100</v>
      </c>
      <c r="D103">
        <v>-8.1</v>
      </c>
      <c r="E103">
        <v>-14</v>
      </c>
      <c r="F103">
        <v>1</v>
      </c>
      <c r="G103">
        <v>-8</v>
      </c>
      <c r="H103">
        <v>-13</v>
      </c>
      <c r="I103">
        <v>-15</v>
      </c>
      <c r="J103">
        <v>-14</v>
      </c>
      <c r="K103">
        <v>-18</v>
      </c>
      <c r="L103">
        <v>1</v>
      </c>
      <c r="M103">
        <v>10</v>
      </c>
      <c r="N103">
        <v>-3</v>
      </c>
      <c r="O103">
        <v>11</v>
      </c>
      <c r="P103">
        <v>22</v>
      </c>
      <c r="Q103">
        <v>9</v>
      </c>
      <c r="R103">
        <v>4</v>
      </c>
      <c r="S103">
        <v>-5</v>
      </c>
      <c r="T103">
        <v>-22</v>
      </c>
      <c r="U103">
        <v>-54</v>
      </c>
      <c r="V103">
        <v>-41</v>
      </c>
      <c r="W103">
        <v>-7</v>
      </c>
      <c r="X103">
        <v>-3</v>
      </c>
      <c r="Y103">
        <v>15</v>
      </c>
      <c r="Z103">
        <v>18</v>
      </c>
      <c r="AA103">
        <v>16</v>
      </c>
      <c r="AB103">
        <v>10</v>
      </c>
      <c r="AC103">
        <v>-1</v>
      </c>
      <c r="AD103">
        <v>-13</v>
      </c>
      <c r="AE103">
        <v>0</v>
      </c>
      <c r="AF103">
        <v>-15</v>
      </c>
      <c r="AG103">
        <v>-10</v>
      </c>
      <c r="AH103">
        <v>-1</v>
      </c>
      <c r="AI103">
        <v>3</v>
      </c>
      <c r="AJ103">
        <v>10</v>
      </c>
      <c r="AK103">
        <v>9</v>
      </c>
      <c r="AL103">
        <v>-3</v>
      </c>
      <c r="AM103">
        <v>-5</v>
      </c>
      <c r="AN103">
        <v>8</v>
      </c>
      <c r="AO103">
        <v>3</v>
      </c>
      <c r="AP103">
        <v>1</v>
      </c>
      <c r="AQ103">
        <v>6</v>
      </c>
      <c r="AR103">
        <v>-2</v>
      </c>
      <c r="AS103">
        <v>2</v>
      </c>
      <c r="AT103">
        <v>7</v>
      </c>
      <c r="AU103">
        <v>7</v>
      </c>
      <c r="AV103">
        <v>12</v>
      </c>
      <c r="AW103">
        <v>13</v>
      </c>
      <c r="AX103">
        <v>1</v>
      </c>
      <c r="AY103">
        <v>-3</v>
      </c>
      <c r="AZ103">
        <v>-4</v>
      </c>
      <c r="BA103">
        <v>-20</v>
      </c>
      <c r="BB103">
        <v>-17</v>
      </c>
      <c r="BC103">
        <v>-49</v>
      </c>
      <c r="BD103">
        <v>-11</v>
      </c>
      <c r="BE103">
        <v>-19</v>
      </c>
      <c r="BF103">
        <v>-2</v>
      </c>
      <c r="BG103">
        <v>7</v>
      </c>
      <c r="BH103">
        <v>-3</v>
      </c>
      <c r="BI103">
        <v>-26</v>
      </c>
      <c r="BJ103">
        <v>-49</v>
      </c>
      <c r="BK103">
        <v>-27</v>
      </c>
      <c r="BL103">
        <v>-16</v>
      </c>
      <c r="BM103">
        <v>-34</v>
      </c>
      <c r="BN103">
        <v>-35</v>
      </c>
      <c r="BO103">
        <v>-17</v>
      </c>
      <c r="BP103">
        <v>-26</v>
      </c>
      <c r="BQ103">
        <v>-28</v>
      </c>
      <c r="BR103">
        <v>-18</v>
      </c>
      <c r="BS103">
        <v>-20</v>
      </c>
      <c r="BT103">
        <v>-23</v>
      </c>
      <c r="BU103">
        <v>-35</v>
      </c>
      <c r="BV103">
        <v>-24</v>
      </c>
    </row>
    <row r="104" spans="1:74" x14ac:dyDescent="0.25">
      <c r="A104" t="s">
        <v>438</v>
      </c>
      <c r="B104" t="s">
        <v>141</v>
      </c>
      <c r="C104" t="s">
        <v>100</v>
      </c>
      <c r="D104">
        <v>-14.057</v>
      </c>
      <c r="E104">
        <v>-33</v>
      </c>
      <c r="F104">
        <v>-18</v>
      </c>
      <c r="G104">
        <v>-22</v>
      </c>
      <c r="H104">
        <v>-28</v>
      </c>
      <c r="I104">
        <v>-28</v>
      </c>
      <c r="J104">
        <v>-25</v>
      </c>
      <c r="K104">
        <v>-32</v>
      </c>
      <c r="L104">
        <v>-13</v>
      </c>
      <c r="M104">
        <v>-2</v>
      </c>
      <c r="N104">
        <v>-14</v>
      </c>
      <c r="O104">
        <v>-1</v>
      </c>
      <c r="P104">
        <v>11</v>
      </c>
      <c r="Q104">
        <v>-4</v>
      </c>
      <c r="R104">
        <v>-6</v>
      </c>
      <c r="S104">
        <v>-13</v>
      </c>
      <c r="T104">
        <v>-28</v>
      </c>
      <c r="U104">
        <v>-50</v>
      </c>
      <c r="V104">
        <v>-41</v>
      </c>
      <c r="W104">
        <v>-19</v>
      </c>
      <c r="X104">
        <v>-11</v>
      </c>
      <c r="Y104">
        <v>3</v>
      </c>
      <c r="Z104">
        <v>7</v>
      </c>
      <c r="AA104">
        <v>8</v>
      </c>
      <c r="AB104">
        <v>-4</v>
      </c>
      <c r="AC104">
        <v>-4</v>
      </c>
      <c r="AD104">
        <v>-14</v>
      </c>
      <c r="AE104">
        <v>-9</v>
      </c>
      <c r="AF104">
        <v>-19</v>
      </c>
      <c r="AG104">
        <v>-13</v>
      </c>
      <c r="AH104">
        <v>-6</v>
      </c>
      <c r="AI104">
        <v>-4</v>
      </c>
      <c r="AJ104">
        <v>3</v>
      </c>
      <c r="AK104">
        <v>-1</v>
      </c>
      <c r="AL104">
        <v>-9</v>
      </c>
      <c r="AM104">
        <v>-12</v>
      </c>
      <c r="AN104">
        <v>4</v>
      </c>
      <c r="AO104">
        <v>0</v>
      </c>
      <c r="AP104">
        <v>-3</v>
      </c>
      <c r="AQ104">
        <v>3</v>
      </c>
      <c r="AR104">
        <v>-4</v>
      </c>
      <c r="AS104">
        <v>-2</v>
      </c>
      <c r="AT104">
        <v>4</v>
      </c>
      <c r="AU104">
        <v>3</v>
      </c>
      <c r="AV104">
        <v>6</v>
      </c>
      <c r="AW104">
        <v>9</v>
      </c>
      <c r="AX104">
        <v>-4</v>
      </c>
      <c r="AY104">
        <v>-5</v>
      </c>
      <c r="AZ104">
        <v>-3</v>
      </c>
      <c r="BA104">
        <v>-16</v>
      </c>
      <c r="BB104">
        <v>-16</v>
      </c>
      <c r="BC104">
        <v>-49</v>
      </c>
      <c r="BD104">
        <v>-17</v>
      </c>
      <c r="BE104">
        <v>-26</v>
      </c>
      <c r="BF104">
        <v>-9</v>
      </c>
      <c r="BG104">
        <v>1</v>
      </c>
      <c r="BH104">
        <v>-9</v>
      </c>
      <c r="BI104">
        <v>-28</v>
      </c>
      <c r="BJ104">
        <v>-46</v>
      </c>
      <c r="BK104">
        <v>-26</v>
      </c>
      <c r="BL104">
        <v>-14</v>
      </c>
      <c r="BM104">
        <v>-33</v>
      </c>
      <c r="BN104">
        <v>-36</v>
      </c>
      <c r="BO104">
        <v>-19</v>
      </c>
      <c r="BP104">
        <v>-27</v>
      </c>
      <c r="BQ104">
        <v>-29</v>
      </c>
      <c r="BR104">
        <v>-20</v>
      </c>
      <c r="BS104">
        <v>-22</v>
      </c>
      <c r="BT104">
        <v>-25</v>
      </c>
      <c r="BU104">
        <v>-42</v>
      </c>
      <c r="BV104">
        <v>-33</v>
      </c>
    </row>
    <row r="105" spans="1:74" x14ac:dyDescent="0.25">
      <c r="A105" t="s">
        <v>439</v>
      </c>
      <c r="B105" t="s">
        <v>142</v>
      </c>
      <c r="C105" t="s">
        <v>100</v>
      </c>
      <c r="D105">
        <v>-0.94299999999999995</v>
      </c>
      <c r="E105">
        <v>1</v>
      </c>
      <c r="F105">
        <v>15</v>
      </c>
      <c r="G105">
        <v>2</v>
      </c>
      <c r="H105">
        <v>4</v>
      </c>
      <c r="I105">
        <v>-2</v>
      </c>
      <c r="J105">
        <v>-5</v>
      </c>
      <c r="K105">
        <v>-1</v>
      </c>
      <c r="L105">
        <v>16</v>
      </c>
      <c r="M105">
        <v>21</v>
      </c>
      <c r="N105">
        <v>15</v>
      </c>
      <c r="O105">
        <v>23</v>
      </c>
      <c r="P105">
        <v>32</v>
      </c>
      <c r="Q105">
        <v>24</v>
      </c>
      <c r="R105">
        <v>16</v>
      </c>
      <c r="S105">
        <v>1</v>
      </c>
      <c r="T105">
        <v>-14</v>
      </c>
      <c r="U105">
        <v>-60</v>
      </c>
      <c r="V105">
        <v>-41</v>
      </c>
      <c r="W105">
        <v>7</v>
      </c>
      <c r="X105">
        <v>7</v>
      </c>
      <c r="Y105">
        <v>30</v>
      </c>
      <c r="Z105">
        <v>35</v>
      </c>
      <c r="AA105">
        <v>26</v>
      </c>
      <c r="AB105">
        <v>30</v>
      </c>
      <c r="AC105">
        <v>3</v>
      </c>
      <c r="AD105">
        <v>-9</v>
      </c>
      <c r="AE105">
        <v>10</v>
      </c>
      <c r="AF105">
        <v>-11</v>
      </c>
      <c r="AG105">
        <v>-7</v>
      </c>
      <c r="AH105">
        <v>4</v>
      </c>
      <c r="AI105">
        <v>10</v>
      </c>
      <c r="AJ105">
        <v>19</v>
      </c>
      <c r="AK105">
        <v>22</v>
      </c>
      <c r="AL105">
        <v>8</v>
      </c>
      <c r="AM105">
        <v>4</v>
      </c>
      <c r="AN105">
        <v>14</v>
      </c>
      <c r="AO105">
        <v>9</v>
      </c>
      <c r="AP105">
        <v>8</v>
      </c>
      <c r="AQ105">
        <v>11</v>
      </c>
      <c r="AR105">
        <v>3</v>
      </c>
      <c r="AS105">
        <v>7</v>
      </c>
      <c r="AT105">
        <v>12</v>
      </c>
      <c r="AU105">
        <v>11</v>
      </c>
      <c r="AV105">
        <v>19</v>
      </c>
      <c r="AW105">
        <v>18</v>
      </c>
      <c r="AX105">
        <v>7</v>
      </c>
      <c r="AY105">
        <v>0</v>
      </c>
      <c r="AZ105">
        <v>-6</v>
      </c>
      <c r="BA105">
        <v>-25</v>
      </c>
      <c r="BB105">
        <v>-20</v>
      </c>
      <c r="BC105">
        <v>-43</v>
      </c>
      <c r="BD105">
        <v>-4</v>
      </c>
      <c r="BE105">
        <v>-10</v>
      </c>
      <c r="BF105">
        <v>7</v>
      </c>
      <c r="BG105">
        <v>13</v>
      </c>
      <c r="BH105">
        <v>4</v>
      </c>
      <c r="BI105">
        <v>-24</v>
      </c>
      <c r="BJ105">
        <v>-51</v>
      </c>
      <c r="BK105">
        <v>-26</v>
      </c>
      <c r="BL105">
        <v>-15</v>
      </c>
      <c r="BM105">
        <v>-34</v>
      </c>
      <c r="BN105">
        <v>-33</v>
      </c>
      <c r="BO105">
        <v>-14</v>
      </c>
      <c r="BP105">
        <v>-24</v>
      </c>
      <c r="BQ105">
        <v>-25</v>
      </c>
      <c r="BR105">
        <v>-16</v>
      </c>
      <c r="BS105">
        <v>-16</v>
      </c>
      <c r="BT105">
        <v>-18</v>
      </c>
      <c r="BU105">
        <v>-28</v>
      </c>
      <c r="BV105">
        <v>-12</v>
      </c>
    </row>
    <row r="106" spans="1:74" x14ac:dyDescent="0.25">
      <c r="A106" t="s">
        <v>440</v>
      </c>
      <c r="B106" t="s">
        <v>143</v>
      </c>
      <c r="C106" t="s">
        <v>100</v>
      </c>
      <c r="D106">
        <v>-2.371</v>
      </c>
      <c r="E106">
        <v>-15</v>
      </c>
      <c r="F106">
        <v>-2</v>
      </c>
      <c r="G106">
        <v>-5</v>
      </c>
      <c r="H106">
        <v>0</v>
      </c>
      <c r="I106">
        <v>5</v>
      </c>
      <c r="J106">
        <v>0</v>
      </c>
      <c r="K106">
        <v>5</v>
      </c>
      <c r="L106">
        <v>21</v>
      </c>
      <c r="M106">
        <v>19</v>
      </c>
      <c r="N106">
        <v>-2</v>
      </c>
      <c r="O106">
        <v>6</v>
      </c>
      <c r="P106">
        <v>17</v>
      </c>
      <c r="Q106">
        <v>14</v>
      </c>
      <c r="R106">
        <v>3</v>
      </c>
      <c r="S106">
        <v>0</v>
      </c>
      <c r="T106">
        <v>-10</v>
      </c>
      <c r="U106">
        <v>-35</v>
      </c>
      <c r="V106">
        <v>-38</v>
      </c>
      <c r="W106">
        <v>-13</v>
      </c>
      <c r="X106">
        <v>-3</v>
      </c>
      <c r="Y106">
        <v>7</v>
      </c>
      <c r="Z106">
        <v>13</v>
      </c>
      <c r="AA106">
        <v>14</v>
      </c>
      <c r="AB106">
        <v>24</v>
      </c>
      <c r="AC106">
        <v>10</v>
      </c>
      <c r="AD106">
        <v>5</v>
      </c>
      <c r="AE106">
        <v>14</v>
      </c>
      <c r="AF106">
        <v>4</v>
      </c>
      <c r="AG106">
        <v>0</v>
      </c>
      <c r="AH106">
        <v>9</v>
      </c>
      <c r="AI106">
        <v>6</v>
      </c>
      <c r="AJ106">
        <v>11</v>
      </c>
      <c r="AK106">
        <v>18</v>
      </c>
      <c r="AL106">
        <v>9</v>
      </c>
      <c r="AM106">
        <v>4</v>
      </c>
      <c r="AN106">
        <v>16</v>
      </c>
      <c r="AO106">
        <v>7</v>
      </c>
      <c r="AP106">
        <v>6</v>
      </c>
      <c r="AQ106">
        <v>18</v>
      </c>
      <c r="AR106">
        <v>7</v>
      </c>
      <c r="AS106">
        <v>7</v>
      </c>
      <c r="AT106">
        <v>20</v>
      </c>
      <c r="AU106">
        <v>7</v>
      </c>
      <c r="AV106">
        <v>9</v>
      </c>
      <c r="AW106">
        <v>19</v>
      </c>
      <c r="AX106">
        <v>6</v>
      </c>
      <c r="AY106">
        <v>2</v>
      </c>
      <c r="AZ106">
        <v>12</v>
      </c>
      <c r="BA106">
        <v>-4</v>
      </c>
      <c r="BB106">
        <v>0</v>
      </c>
      <c r="BC106">
        <v>-51</v>
      </c>
      <c r="BD106">
        <v>-29</v>
      </c>
      <c r="BE106">
        <v>-25</v>
      </c>
      <c r="BF106">
        <v>-13</v>
      </c>
      <c r="BG106">
        <v>2</v>
      </c>
      <c r="BH106">
        <v>-5</v>
      </c>
      <c r="BI106">
        <v>22</v>
      </c>
      <c r="BJ106">
        <v>-58</v>
      </c>
      <c r="BK106">
        <v>-13</v>
      </c>
      <c r="BL106">
        <v>5</v>
      </c>
      <c r="BM106">
        <v>-32</v>
      </c>
      <c r="BN106">
        <v>-37</v>
      </c>
      <c r="BO106">
        <v>-10</v>
      </c>
      <c r="BP106">
        <v>-32</v>
      </c>
      <c r="BQ106">
        <v>-29</v>
      </c>
      <c r="BR106">
        <v>-13</v>
      </c>
      <c r="BS106">
        <v>-28</v>
      </c>
      <c r="BT106">
        <v>-15</v>
      </c>
      <c r="BU106">
        <v>-23</v>
      </c>
      <c r="BV106">
        <v>-29</v>
      </c>
    </row>
    <row r="107" spans="1:74" x14ac:dyDescent="0.25">
      <c r="A107" t="s">
        <v>441</v>
      </c>
      <c r="B107" t="s">
        <v>144</v>
      </c>
      <c r="C107" t="s">
        <v>100</v>
      </c>
      <c r="D107">
        <v>-0.186</v>
      </c>
      <c r="E107">
        <v>-14</v>
      </c>
      <c r="F107">
        <v>2</v>
      </c>
      <c r="G107">
        <v>0</v>
      </c>
      <c r="H107">
        <v>7</v>
      </c>
      <c r="I107">
        <v>15</v>
      </c>
      <c r="J107">
        <v>10</v>
      </c>
      <c r="K107">
        <v>13</v>
      </c>
      <c r="L107">
        <v>27</v>
      </c>
      <c r="M107">
        <v>27</v>
      </c>
      <c r="N107">
        <v>0</v>
      </c>
      <c r="O107">
        <v>12</v>
      </c>
      <c r="P107">
        <v>23</v>
      </c>
      <c r="Q107">
        <v>20</v>
      </c>
      <c r="R107">
        <v>7</v>
      </c>
      <c r="S107">
        <v>9</v>
      </c>
      <c r="T107">
        <v>-5</v>
      </c>
      <c r="U107">
        <v>-35</v>
      </c>
      <c r="V107">
        <v>-42</v>
      </c>
      <c r="W107">
        <v>-14</v>
      </c>
      <c r="X107">
        <v>2</v>
      </c>
      <c r="Y107">
        <v>11</v>
      </c>
      <c r="Z107">
        <v>15</v>
      </c>
      <c r="AA107">
        <v>15</v>
      </c>
      <c r="AB107">
        <v>26</v>
      </c>
      <c r="AC107">
        <v>12</v>
      </c>
      <c r="AD107">
        <v>8</v>
      </c>
      <c r="AE107">
        <v>17</v>
      </c>
      <c r="AF107">
        <v>5</v>
      </c>
      <c r="AG107">
        <v>1</v>
      </c>
      <c r="AH107">
        <v>11</v>
      </c>
      <c r="AI107">
        <v>6</v>
      </c>
      <c r="AJ107">
        <v>13</v>
      </c>
      <c r="AK107">
        <v>18</v>
      </c>
      <c r="AL107">
        <v>9</v>
      </c>
      <c r="AM107">
        <v>5</v>
      </c>
      <c r="AN107">
        <v>19</v>
      </c>
      <c r="AO107">
        <v>7</v>
      </c>
      <c r="AP107">
        <v>7</v>
      </c>
      <c r="AQ107">
        <v>22</v>
      </c>
      <c r="AR107">
        <v>7</v>
      </c>
      <c r="AS107">
        <v>8</v>
      </c>
      <c r="AT107">
        <v>21</v>
      </c>
      <c r="AU107">
        <v>6</v>
      </c>
      <c r="AV107">
        <v>9</v>
      </c>
      <c r="AW107">
        <v>20</v>
      </c>
      <c r="AX107">
        <v>7</v>
      </c>
      <c r="AY107">
        <v>2</v>
      </c>
      <c r="AZ107">
        <v>10</v>
      </c>
      <c r="BA107">
        <v>-6</v>
      </c>
      <c r="BB107">
        <v>1</v>
      </c>
      <c r="BC107">
        <v>-47</v>
      </c>
      <c r="BD107">
        <v>-25</v>
      </c>
      <c r="BE107">
        <v>-25</v>
      </c>
      <c r="BF107">
        <v>-10</v>
      </c>
      <c r="BG107">
        <v>2</v>
      </c>
      <c r="BH107">
        <v>-4</v>
      </c>
      <c r="BI107">
        <v>28</v>
      </c>
      <c r="BJ107">
        <v>-58</v>
      </c>
      <c r="BK107">
        <v>-12</v>
      </c>
      <c r="BL107">
        <v>7</v>
      </c>
      <c r="BM107">
        <v>-31</v>
      </c>
      <c r="BN107">
        <v>-33</v>
      </c>
      <c r="BO107">
        <v>-8</v>
      </c>
      <c r="BP107">
        <v>-33</v>
      </c>
      <c r="BQ107">
        <v>-28</v>
      </c>
      <c r="BR107">
        <v>-13</v>
      </c>
      <c r="BS107">
        <v>-29</v>
      </c>
      <c r="BT107">
        <v>-16</v>
      </c>
      <c r="BU107">
        <v>-23</v>
      </c>
      <c r="BV107">
        <v>-31</v>
      </c>
    </row>
    <row r="108" spans="1:74" x14ac:dyDescent="0.25">
      <c r="A108" t="s">
        <v>442</v>
      </c>
      <c r="B108" t="s">
        <v>145</v>
      </c>
      <c r="C108" t="s">
        <v>100</v>
      </c>
      <c r="D108">
        <v>-5.8</v>
      </c>
      <c r="E108">
        <v>-16</v>
      </c>
      <c r="F108">
        <v>-4</v>
      </c>
      <c r="G108">
        <v>-10</v>
      </c>
      <c r="H108">
        <v>-12</v>
      </c>
      <c r="I108">
        <v>-8</v>
      </c>
      <c r="J108">
        <v>-12</v>
      </c>
      <c r="K108">
        <v>-7</v>
      </c>
      <c r="L108">
        <v>12</v>
      </c>
      <c r="M108">
        <v>8</v>
      </c>
      <c r="N108">
        <v>-5</v>
      </c>
      <c r="O108">
        <v>-1</v>
      </c>
      <c r="P108">
        <v>10</v>
      </c>
      <c r="Q108">
        <v>6</v>
      </c>
      <c r="R108">
        <v>-2</v>
      </c>
      <c r="S108">
        <v>-12</v>
      </c>
      <c r="T108">
        <v>-17</v>
      </c>
      <c r="U108">
        <v>-35</v>
      </c>
      <c r="V108">
        <v>-32</v>
      </c>
      <c r="W108">
        <v>-12</v>
      </c>
      <c r="X108">
        <v>-14</v>
      </c>
      <c r="Y108">
        <v>1</v>
      </c>
      <c r="Z108">
        <v>10</v>
      </c>
      <c r="AA108">
        <v>13</v>
      </c>
      <c r="AB108">
        <v>18</v>
      </c>
      <c r="AC108">
        <v>7</v>
      </c>
      <c r="AD108">
        <v>-1</v>
      </c>
      <c r="AE108">
        <v>9</v>
      </c>
      <c r="AF108">
        <v>2</v>
      </c>
      <c r="AG108">
        <v>-3</v>
      </c>
      <c r="AH108">
        <v>6</v>
      </c>
      <c r="AI108">
        <v>5</v>
      </c>
      <c r="AJ108">
        <v>8</v>
      </c>
      <c r="AK108">
        <v>16</v>
      </c>
      <c r="AL108">
        <v>8</v>
      </c>
      <c r="AM108">
        <v>1</v>
      </c>
      <c r="AN108">
        <v>10</v>
      </c>
      <c r="AO108">
        <v>6</v>
      </c>
      <c r="AP108">
        <v>6</v>
      </c>
      <c r="AQ108">
        <v>12</v>
      </c>
      <c r="AR108">
        <v>7</v>
      </c>
      <c r="AS108">
        <v>5</v>
      </c>
      <c r="AT108">
        <v>17</v>
      </c>
      <c r="AU108">
        <v>7</v>
      </c>
      <c r="AV108">
        <v>9</v>
      </c>
      <c r="AW108">
        <v>17</v>
      </c>
      <c r="AX108">
        <v>3</v>
      </c>
      <c r="AY108">
        <v>2</v>
      </c>
      <c r="AZ108">
        <v>15</v>
      </c>
      <c r="BA108">
        <v>1</v>
      </c>
      <c r="BB108">
        <v>-2</v>
      </c>
      <c r="BC108">
        <v>-57</v>
      </c>
      <c r="BD108">
        <v>-39</v>
      </c>
      <c r="BE108">
        <v>-26</v>
      </c>
      <c r="BF108">
        <v>-18</v>
      </c>
      <c r="BG108">
        <v>3</v>
      </c>
      <c r="BH108">
        <v>-8</v>
      </c>
      <c r="BI108">
        <v>13</v>
      </c>
      <c r="BJ108">
        <v>-59</v>
      </c>
      <c r="BK108">
        <v>-14</v>
      </c>
      <c r="BL108">
        <v>1</v>
      </c>
      <c r="BM108">
        <v>-34</v>
      </c>
      <c r="BN108">
        <v>-43</v>
      </c>
      <c r="BO108">
        <v>-14</v>
      </c>
      <c r="BP108">
        <v>-31</v>
      </c>
      <c r="BQ108">
        <v>-30</v>
      </c>
      <c r="BR108">
        <v>-14</v>
      </c>
      <c r="BS108">
        <v>-26</v>
      </c>
      <c r="BT108">
        <v>-13</v>
      </c>
      <c r="BU108">
        <v>-22</v>
      </c>
      <c r="BV108">
        <v>-27</v>
      </c>
    </row>
    <row r="109" spans="1:74" x14ac:dyDescent="0.25">
      <c r="A109" t="s">
        <v>443</v>
      </c>
      <c r="B109" t="s">
        <v>146</v>
      </c>
      <c r="C109" t="s">
        <v>100</v>
      </c>
      <c r="D109">
        <v>-4.7709999999999999</v>
      </c>
      <c r="E109">
        <v>6</v>
      </c>
      <c r="F109">
        <v>14</v>
      </c>
      <c r="G109">
        <v>-2</v>
      </c>
      <c r="H109">
        <v>8</v>
      </c>
      <c r="I109">
        <v>13</v>
      </c>
      <c r="J109">
        <v>3</v>
      </c>
      <c r="K109">
        <v>17</v>
      </c>
      <c r="L109">
        <v>20</v>
      </c>
      <c r="M109">
        <v>21</v>
      </c>
      <c r="N109">
        <v>18</v>
      </c>
      <c r="O109">
        <v>18</v>
      </c>
      <c r="P109">
        <v>23</v>
      </c>
      <c r="Q109">
        <v>16</v>
      </c>
      <c r="R109">
        <v>12</v>
      </c>
      <c r="S109">
        <v>1</v>
      </c>
      <c r="T109">
        <v>-11</v>
      </c>
      <c r="U109">
        <v>-39</v>
      </c>
      <c r="V109">
        <v>-42</v>
      </c>
      <c r="W109">
        <v>-10</v>
      </c>
      <c r="X109">
        <v>-10</v>
      </c>
      <c r="Y109">
        <v>1</v>
      </c>
      <c r="Z109">
        <v>10</v>
      </c>
      <c r="AA109">
        <v>21</v>
      </c>
      <c r="AB109">
        <v>3</v>
      </c>
      <c r="AC109">
        <v>6</v>
      </c>
      <c r="AD109">
        <v>-4</v>
      </c>
      <c r="AE109">
        <v>-5</v>
      </c>
      <c r="AF109">
        <v>-13</v>
      </c>
      <c r="AG109">
        <v>-11</v>
      </c>
      <c r="AH109">
        <v>-4</v>
      </c>
      <c r="AI109">
        <v>2</v>
      </c>
      <c r="AJ109">
        <v>4</v>
      </c>
      <c r="AK109">
        <v>-4</v>
      </c>
      <c r="AL109">
        <v>-2</v>
      </c>
      <c r="AM109">
        <v>-4</v>
      </c>
      <c r="AN109">
        <v>-6</v>
      </c>
      <c r="AO109">
        <v>-7</v>
      </c>
      <c r="AP109">
        <v>6</v>
      </c>
      <c r="AQ109">
        <v>8</v>
      </c>
      <c r="AR109">
        <v>12</v>
      </c>
      <c r="AS109">
        <v>-5</v>
      </c>
      <c r="AT109">
        <v>1</v>
      </c>
      <c r="AU109">
        <v>2</v>
      </c>
      <c r="AV109">
        <v>8</v>
      </c>
      <c r="AW109">
        <v>-5</v>
      </c>
      <c r="AX109">
        <v>-4</v>
      </c>
      <c r="AY109">
        <v>3</v>
      </c>
      <c r="AZ109">
        <v>-14</v>
      </c>
      <c r="BA109">
        <v>-11</v>
      </c>
      <c r="BB109">
        <v>-3</v>
      </c>
      <c r="BC109">
        <v>-65</v>
      </c>
      <c r="BD109">
        <v>-3</v>
      </c>
      <c r="BE109">
        <v>-19</v>
      </c>
      <c r="BF109">
        <v>6</v>
      </c>
      <c r="BG109">
        <v>24</v>
      </c>
      <c r="BH109">
        <v>1</v>
      </c>
      <c r="BI109">
        <v>-38</v>
      </c>
      <c r="BJ109">
        <v>-56</v>
      </c>
      <c r="BK109">
        <v>-22</v>
      </c>
      <c r="BL109">
        <v>-15</v>
      </c>
      <c r="BM109">
        <v>-25</v>
      </c>
      <c r="BN109">
        <v>-21</v>
      </c>
      <c r="BO109">
        <v>-9</v>
      </c>
      <c r="BP109">
        <v>-16</v>
      </c>
      <c r="BQ109">
        <v>-19</v>
      </c>
      <c r="BR109">
        <v>-24</v>
      </c>
      <c r="BS109">
        <v>-20</v>
      </c>
      <c r="BT109">
        <v>-18</v>
      </c>
      <c r="BU109">
        <v>-29</v>
      </c>
      <c r="BV109">
        <v>-27</v>
      </c>
    </row>
    <row r="110" spans="1:74" x14ac:dyDescent="0.25">
      <c r="A110" t="s">
        <v>444</v>
      </c>
      <c r="B110" t="s">
        <v>147</v>
      </c>
      <c r="C110" t="s">
        <v>100</v>
      </c>
      <c r="D110">
        <v>4.5289999999999999</v>
      </c>
      <c r="E110">
        <v>44</v>
      </c>
      <c r="F110">
        <v>26</v>
      </c>
      <c r="G110">
        <v>6</v>
      </c>
      <c r="H110">
        <v>10</v>
      </c>
      <c r="I110">
        <v>3</v>
      </c>
      <c r="J110">
        <v>1</v>
      </c>
      <c r="K110">
        <v>0</v>
      </c>
      <c r="L110">
        <v>19</v>
      </c>
      <c r="M110">
        <v>19</v>
      </c>
      <c r="N110">
        <v>17</v>
      </c>
      <c r="O110">
        <v>18</v>
      </c>
      <c r="P110">
        <v>12</v>
      </c>
      <c r="Q110">
        <v>11</v>
      </c>
      <c r="R110">
        <v>26</v>
      </c>
      <c r="S110">
        <v>8</v>
      </c>
      <c r="T110">
        <v>-11</v>
      </c>
      <c r="U110">
        <v>-13</v>
      </c>
      <c r="V110">
        <v>-18</v>
      </c>
      <c r="W110">
        <v>-14</v>
      </c>
      <c r="X110">
        <v>-12</v>
      </c>
      <c r="Y110">
        <v>13</v>
      </c>
      <c r="Z110">
        <v>22</v>
      </c>
      <c r="AA110">
        <v>7</v>
      </c>
      <c r="AB110">
        <v>10</v>
      </c>
      <c r="AC110">
        <v>9</v>
      </c>
      <c r="AD110">
        <v>2</v>
      </c>
      <c r="AE110">
        <v>18</v>
      </c>
      <c r="AF110">
        <v>13</v>
      </c>
      <c r="AG110">
        <v>7</v>
      </c>
      <c r="AH110">
        <v>1</v>
      </c>
      <c r="AI110">
        <v>9</v>
      </c>
      <c r="AJ110">
        <v>8</v>
      </c>
      <c r="AK110">
        <v>17</v>
      </c>
      <c r="AL110">
        <v>5</v>
      </c>
      <c r="AM110">
        <v>5</v>
      </c>
      <c r="AN110">
        <v>16</v>
      </c>
      <c r="AO110">
        <v>21</v>
      </c>
      <c r="AP110">
        <v>8</v>
      </c>
      <c r="AQ110">
        <v>10</v>
      </c>
      <c r="AR110">
        <v>21</v>
      </c>
      <c r="AS110">
        <v>25</v>
      </c>
      <c r="AT110">
        <v>29</v>
      </c>
      <c r="AU110">
        <v>16</v>
      </c>
      <c r="AV110">
        <v>10</v>
      </c>
      <c r="AW110">
        <v>5</v>
      </c>
      <c r="AX110">
        <v>12</v>
      </c>
      <c r="AY110">
        <v>8</v>
      </c>
      <c r="AZ110">
        <v>15</v>
      </c>
      <c r="BA110">
        <v>17</v>
      </c>
      <c r="BB110">
        <v>-2</v>
      </c>
      <c r="BC110">
        <v>-43</v>
      </c>
      <c r="BD110">
        <v>-15</v>
      </c>
      <c r="BE110">
        <v>-15</v>
      </c>
      <c r="BF110">
        <v>12</v>
      </c>
      <c r="BG110">
        <v>24</v>
      </c>
      <c r="BH110">
        <v>-3</v>
      </c>
      <c r="BI110">
        <v>0</v>
      </c>
      <c r="BJ110">
        <v>-35</v>
      </c>
      <c r="BK110">
        <v>-11</v>
      </c>
      <c r="BL110">
        <v>-5</v>
      </c>
      <c r="BM110">
        <v>-23</v>
      </c>
      <c r="BN110">
        <v>-5</v>
      </c>
      <c r="BO110">
        <v>-19</v>
      </c>
      <c r="BP110">
        <v>-6</v>
      </c>
      <c r="BQ110">
        <v>-6</v>
      </c>
      <c r="BR110">
        <v>1</v>
      </c>
      <c r="BS110">
        <v>-9</v>
      </c>
      <c r="BT110">
        <v>-10</v>
      </c>
      <c r="BU110">
        <v>-15</v>
      </c>
      <c r="BV110">
        <v>-9</v>
      </c>
    </row>
    <row r="111" spans="1:74" x14ac:dyDescent="0.25">
      <c r="A111" t="s">
        <v>445</v>
      </c>
      <c r="B111" t="s">
        <v>148</v>
      </c>
      <c r="C111" t="s">
        <v>100</v>
      </c>
      <c r="D111">
        <v>22.713999999999999</v>
      </c>
      <c r="E111">
        <v>25</v>
      </c>
      <c r="F111">
        <v>42</v>
      </c>
      <c r="G111">
        <v>30</v>
      </c>
      <c r="H111">
        <v>32</v>
      </c>
      <c r="I111">
        <v>36</v>
      </c>
      <c r="J111">
        <v>28</v>
      </c>
      <c r="K111">
        <v>27</v>
      </c>
      <c r="L111">
        <v>38</v>
      </c>
      <c r="M111">
        <v>42</v>
      </c>
      <c r="N111">
        <v>35</v>
      </c>
      <c r="O111">
        <v>44</v>
      </c>
      <c r="P111">
        <v>52</v>
      </c>
      <c r="Q111">
        <v>41</v>
      </c>
      <c r="R111">
        <v>37</v>
      </c>
      <c r="S111">
        <v>31</v>
      </c>
      <c r="T111">
        <v>25</v>
      </c>
      <c r="U111">
        <v>-8</v>
      </c>
      <c r="V111">
        <v>-15</v>
      </c>
      <c r="W111">
        <v>22</v>
      </c>
      <c r="X111">
        <v>24</v>
      </c>
      <c r="Y111">
        <v>37</v>
      </c>
      <c r="Z111">
        <v>41</v>
      </c>
      <c r="AA111">
        <v>43</v>
      </c>
      <c r="AB111">
        <v>40</v>
      </c>
      <c r="AC111">
        <v>32</v>
      </c>
      <c r="AD111">
        <v>33</v>
      </c>
      <c r="AE111">
        <v>27</v>
      </c>
      <c r="AF111">
        <v>22</v>
      </c>
      <c r="AG111">
        <v>25</v>
      </c>
      <c r="AH111">
        <v>26</v>
      </c>
      <c r="AI111">
        <v>28</v>
      </c>
      <c r="AJ111">
        <v>31</v>
      </c>
      <c r="AK111">
        <v>31</v>
      </c>
      <c r="AL111">
        <v>27</v>
      </c>
      <c r="AM111">
        <v>32</v>
      </c>
      <c r="AN111">
        <v>33</v>
      </c>
      <c r="AO111">
        <v>26</v>
      </c>
      <c r="AP111">
        <v>28</v>
      </c>
      <c r="AQ111">
        <v>31</v>
      </c>
      <c r="AR111">
        <v>30</v>
      </c>
      <c r="AS111">
        <v>30</v>
      </c>
      <c r="AT111">
        <v>28</v>
      </c>
      <c r="AU111">
        <v>33</v>
      </c>
      <c r="AV111">
        <v>36</v>
      </c>
      <c r="AW111">
        <v>33</v>
      </c>
      <c r="AX111">
        <v>29</v>
      </c>
      <c r="AY111">
        <v>27</v>
      </c>
      <c r="AZ111">
        <v>26</v>
      </c>
      <c r="BA111">
        <v>18</v>
      </c>
      <c r="BB111">
        <v>23</v>
      </c>
      <c r="BC111">
        <v>-35</v>
      </c>
      <c r="BD111">
        <v>9</v>
      </c>
      <c r="BE111">
        <v>9</v>
      </c>
      <c r="BF111">
        <v>17</v>
      </c>
      <c r="BG111">
        <v>28</v>
      </c>
      <c r="BH111">
        <v>23</v>
      </c>
      <c r="BI111">
        <v>7</v>
      </c>
      <c r="BJ111">
        <v>-16</v>
      </c>
      <c r="BK111">
        <v>8</v>
      </c>
      <c r="BL111">
        <v>17</v>
      </c>
      <c r="BM111">
        <v>5</v>
      </c>
      <c r="BN111">
        <v>4</v>
      </c>
      <c r="BO111">
        <v>4</v>
      </c>
      <c r="BP111">
        <v>1</v>
      </c>
      <c r="BQ111">
        <v>3</v>
      </c>
      <c r="BR111">
        <v>8</v>
      </c>
      <c r="BS111">
        <v>5</v>
      </c>
      <c r="BT111">
        <v>-1</v>
      </c>
      <c r="BU111">
        <v>-4</v>
      </c>
      <c r="BV111">
        <v>4</v>
      </c>
    </row>
    <row r="112" spans="1:74" x14ac:dyDescent="0.25">
      <c r="A112" t="s">
        <v>446</v>
      </c>
      <c r="B112" t="s">
        <v>149</v>
      </c>
      <c r="C112" t="s">
        <v>100</v>
      </c>
      <c r="D112">
        <v>21.914000000000001</v>
      </c>
      <c r="E112">
        <v>34</v>
      </c>
      <c r="F112">
        <v>28</v>
      </c>
      <c r="G112">
        <v>15</v>
      </c>
      <c r="H112">
        <v>26</v>
      </c>
      <c r="I112">
        <v>30</v>
      </c>
      <c r="J112">
        <v>39</v>
      </c>
      <c r="K112">
        <v>35</v>
      </c>
      <c r="L112">
        <v>29</v>
      </c>
      <c r="M112">
        <v>38</v>
      </c>
      <c r="N112">
        <v>23</v>
      </c>
      <c r="O112">
        <v>34</v>
      </c>
      <c r="P112">
        <v>48</v>
      </c>
      <c r="Q112">
        <v>34</v>
      </c>
      <c r="R112">
        <v>38</v>
      </c>
      <c r="S112">
        <v>23</v>
      </c>
      <c r="T112">
        <v>37</v>
      </c>
      <c r="U112">
        <v>-3</v>
      </c>
      <c r="V112">
        <v>-1</v>
      </c>
      <c r="W112">
        <v>12</v>
      </c>
      <c r="X112">
        <v>19</v>
      </c>
      <c r="Y112">
        <v>27</v>
      </c>
      <c r="Z112">
        <v>37</v>
      </c>
      <c r="AA112">
        <v>36</v>
      </c>
      <c r="AB112">
        <v>42</v>
      </c>
      <c r="AC112">
        <v>39</v>
      </c>
      <c r="AD112">
        <v>40</v>
      </c>
      <c r="AE112">
        <v>21</v>
      </c>
      <c r="AF112">
        <v>19</v>
      </c>
      <c r="AG112">
        <v>32</v>
      </c>
      <c r="AH112">
        <v>36</v>
      </c>
      <c r="AI112">
        <v>27</v>
      </c>
      <c r="AJ112">
        <v>40</v>
      </c>
      <c r="AK112">
        <v>30</v>
      </c>
      <c r="AL112">
        <v>28</v>
      </c>
      <c r="AM112">
        <v>28</v>
      </c>
      <c r="AN112">
        <v>11</v>
      </c>
      <c r="AO112">
        <v>40</v>
      </c>
      <c r="AP112">
        <v>35</v>
      </c>
      <c r="AQ112">
        <v>36</v>
      </c>
      <c r="AR112">
        <v>40</v>
      </c>
      <c r="AS112">
        <v>36</v>
      </c>
      <c r="AT112">
        <v>33</v>
      </c>
      <c r="AU112">
        <v>42</v>
      </c>
      <c r="AV112">
        <v>45</v>
      </c>
      <c r="AW112">
        <v>39</v>
      </c>
      <c r="AX112">
        <v>26</v>
      </c>
      <c r="AY112">
        <v>29</v>
      </c>
      <c r="AZ112">
        <v>11</v>
      </c>
      <c r="BA112">
        <v>-2</v>
      </c>
      <c r="BB112">
        <v>14</v>
      </c>
      <c r="BC112">
        <v>-36</v>
      </c>
      <c r="BD112">
        <v>8</v>
      </c>
      <c r="BE112">
        <v>10</v>
      </c>
      <c r="BF112">
        <v>27</v>
      </c>
      <c r="BG112">
        <v>37</v>
      </c>
      <c r="BH112">
        <v>35</v>
      </c>
      <c r="BI112">
        <v>18</v>
      </c>
      <c r="BJ112">
        <v>-24</v>
      </c>
      <c r="BK112">
        <v>11</v>
      </c>
      <c r="BL112">
        <v>20</v>
      </c>
      <c r="BM112">
        <v>-2</v>
      </c>
      <c r="BN112">
        <v>5</v>
      </c>
      <c r="BO112">
        <v>0</v>
      </c>
      <c r="BP112">
        <v>4</v>
      </c>
      <c r="BQ112">
        <v>9</v>
      </c>
      <c r="BR112">
        <v>-18</v>
      </c>
      <c r="BS112">
        <v>8</v>
      </c>
      <c r="BT112">
        <v>-7</v>
      </c>
      <c r="BU112">
        <v>-20</v>
      </c>
      <c r="BV112">
        <v>-6</v>
      </c>
    </row>
    <row r="113" spans="1:74" x14ac:dyDescent="0.25">
      <c r="A113" t="s">
        <v>447</v>
      </c>
      <c r="B113" t="s">
        <v>150</v>
      </c>
      <c r="C113" t="s">
        <v>100</v>
      </c>
      <c r="D113">
        <v>1.5860000000000001</v>
      </c>
      <c r="E113">
        <v>27</v>
      </c>
      <c r="F113">
        <v>38</v>
      </c>
      <c r="G113">
        <v>32</v>
      </c>
      <c r="H113">
        <v>21</v>
      </c>
      <c r="I113">
        <v>11</v>
      </c>
      <c r="J113">
        <v>9</v>
      </c>
      <c r="K113">
        <v>12</v>
      </c>
      <c r="L113">
        <v>21</v>
      </c>
      <c r="M113">
        <v>24</v>
      </c>
      <c r="N113">
        <v>18</v>
      </c>
      <c r="O113">
        <v>23</v>
      </c>
      <c r="P113">
        <v>25</v>
      </c>
      <c r="Q113">
        <v>15</v>
      </c>
      <c r="R113">
        <v>10</v>
      </c>
      <c r="S113">
        <v>10</v>
      </c>
      <c r="T113">
        <v>2</v>
      </c>
      <c r="U113">
        <v>-16</v>
      </c>
      <c r="V113">
        <v>-9</v>
      </c>
      <c r="W113">
        <v>8</v>
      </c>
      <c r="X113">
        <v>10</v>
      </c>
      <c r="Y113">
        <v>17</v>
      </c>
      <c r="Z113">
        <v>21</v>
      </c>
      <c r="AA113">
        <v>19</v>
      </c>
      <c r="AB113">
        <v>21</v>
      </c>
      <c r="AC113">
        <v>6</v>
      </c>
      <c r="AD113">
        <v>0</v>
      </c>
      <c r="AE113">
        <v>5</v>
      </c>
      <c r="AF113">
        <v>-8</v>
      </c>
      <c r="AG113">
        <v>-10</v>
      </c>
      <c r="AH113">
        <v>-4</v>
      </c>
      <c r="AI113">
        <v>4</v>
      </c>
      <c r="AJ113">
        <v>5</v>
      </c>
      <c r="AK113">
        <v>8</v>
      </c>
      <c r="AL113">
        <v>-5</v>
      </c>
      <c r="AM113">
        <v>-10</v>
      </c>
      <c r="AN113">
        <v>-10</v>
      </c>
      <c r="AO113">
        <v>-10</v>
      </c>
      <c r="AP113">
        <v>-13</v>
      </c>
      <c r="AQ113">
        <v>-19</v>
      </c>
      <c r="AR113">
        <v>-21</v>
      </c>
      <c r="AS113">
        <v>-13</v>
      </c>
      <c r="AT113">
        <v>-9</v>
      </c>
      <c r="AU113">
        <v>-2</v>
      </c>
      <c r="AV113">
        <v>-1</v>
      </c>
      <c r="AW113">
        <v>1</v>
      </c>
      <c r="AX113">
        <v>1</v>
      </c>
      <c r="AY113">
        <v>-3</v>
      </c>
      <c r="AZ113">
        <v>-4</v>
      </c>
      <c r="BA113">
        <v>-19</v>
      </c>
      <c r="BB113">
        <v>-11</v>
      </c>
      <c r="BC113">
        <v>-58</v>
      </c>
      <c r="BD113">
        <v>-16</v>
      </c>
      <c r="BE113">
        <v>-19</v>
      </c>
      <c r="BF113">
        <v>-6</v>
      </c>
      <c r="BG113">
        <v>7</v>
      </c>
      <c r="BH113">
        <v>7</v>
      </c>
      <c r="BI113">
        <v>-13</v>
      </c>
      <c r="BJ113">
        <v>-38</v>
      </c>
      <c r="BK113">
        <v>-3</v>
      </c>
      <c r="BL113">
        <v>9</v>
      </c>
      <c r="BM113">
        <v>-1</v>
      </c>
      <c r="BN113">
        <v>-3</v>
      </c>
      <c r="BO113">
        <v>2</v>
      </c>
      <c r="BP113">
        <v>4</v>
      </c>
      <c r="BQ113">
        <v>0</v>
      </c>
      <c r="BR113">
        <v>3</v>
      </c>
      <c r="BS113">
        <v>4</v>
      </c>
      <c r="BT113">
        <v>5</v>
      </c>
      <c r="BU113">
        <v>-1</v>
      </c>
      <c r="BV113">
        <v>1</v>
      </c>
    </row>
    <row r="114" spans="1:74" x14ac:dyDescent="0.25">
      <c r="A114" t="s">
        <v>448</v>
      </c>
      <c r="B114" t="s">
        <v>151</v>
      </c>
      <c r="C114" t="s">
        <v>100</v>
      </c>
      <c r="D114">
        <v>-4.0140000000000002</v>
      </c>
      <c r="E114">
        <v>30</v>
      </c>
      <c r="F114">
        <v>38</v>
      </c>
      <c r="G114">
        <v>30</v>
      </c>
      <c r="H114">
        <v>23</v>
      </c>
      <c r="I114">
        <v>18</v>
      </c>
      <c r="J114">
        <v>12</v>
      </c>
      <c r="K114">
        <v>16</v>
      </c>
      <c r="L114">
        <v>22</v>
      </c>
      <c r="M114">
        <v>21</v>
      </c>
      <c r="N114">
        <v>19</v>
      </c>
      <c r="O114">
        <v>20</v>
      </c>
      <c r="P114">
        <v>19</v>
      </c>
      <c r="Q114">
        <v>7</v>
      </c>
      <c r="R114">
        <v>8</v>
      </c>
      <c r="S114">
        <v>5</v>
      </c>
      <c r="T114">
        <v>-3</v>
      </c>
      <c r="U114">
        <v>-20</v>
      </c>
      <c r="V114">
        <v>-7</v>
      </c>
      <c r="W114">
        <v>10</v>
      </c>
      <c r="X114">
        <v>8</v>
      </c>
      <c r="Y114">
        <v>20</v>
      </c>
      <c r="Z114">
        <v>16</v>
      </c>
      <c r="AA114">
        <v>13</v>
      </c>
      <c r="AB114">
        <v>14</v>
      </c>
      <c r="AC114">
        <v>-3</v>
      </c>
      <c r="AD114">
        <v>-10</v>
      </c>
      <c r="AE114">
        <v>-4</v>
      </c>
      <c r="AF114">
        <v>-23</v>
      </c>
      <c r="AG114">
        <v>-21</v>
      </c>
      <c r="AH114">
        <v>-13</v>
      </c>
      <c r="AI114">
        <v>-6</v>
      </c>
      <c r="AJ114">
        <v>-8</v>
      </c>
      <c r="AK114">
        <v>0</v>
      </c>
      <c r="AL114">
        <v>-16</v>
      </c>
      <c r="AM114">
        <v>-22</v>
      </c>
      <c r="AN114">
        <v>-22</v>
      </c>
      <c r="AO114">
        <v>-24</v>
      </c>
      <c r="AP114">
        <v>-28</v>
      </c>
      <c r="AQ114">
        <v>-37</v>
      </c>
      <c r="AR114">
        <v>-40</v>
      </c>
      <c r="AS114">
        <v>-31</v>
      </c>
      <c r="AT114">
        <v>-26</v>
      </c>
      <c r="AU114">
        <v>-16</v>
      </c>
      <c r="AV114">
        <v>-15</v>
      </c>
      <c r="AW114">
        <v>-12</v>
      </c>
      <c r="AX114">
        <v>-11</v>
      </c>
      <c r="AY114">
        <v>-16</v>
      </c>
      <c r="AZ114">
        <v>-16</v>
      </c>
      <c r="BA114">
        <v>-41</v>
      </c>
      <c r="BB114">
        <v>-29</v>
      </c>
      <c r="BC114">
        <v>-64</v>
      </c>
      <c r="BD114">
        <v>-26</v>
      </c>
      <c r="BE114">
        <v>-26</v>
      </c>
      <c r="BF114">
        <v>-13</v>
      </c>
      <c r="BG114">
        <v>-5</v>
      </c>
      <c r="BH114">
        <v>3</v>
      </c>
      <c r="BI114">
        <v>-19</v>
      </c>
      <c r="BJ114">
        <v>-36</v>
      </c>
      <c r="BK114">
        <v>4</v>
      </c>
      <c r="BL114">
        <v>16</v>
      </c>
      <c r="BM114">
        <v>-1</v>
      </c>
      <c r="BN114">
        <v>-7</v>
      </c>
      <c r="BO114">
        <v>1</v>
      </c>
      <c r="BP114">
        <v>4</v>
      </c>
      <c r="BQ114">
        <v>-1</v>
      </c>
      <c r="BR114">
        <v>3</v>
      </c>
      <c r="BS114">
        <v>13</v>
      </c>
      <c r="BT114">
        <v>11</v>
      </c>
      <c r="BU114">
        <v>3</v>
      </c>
      <c r="BV114">
        <v>10</v>
      </c>
    </row>
    <row r="115" spans="1:74" x14ac:dyDescent="0.25">
      <c r="A115" t="s">
        <v>449</v>
      </c>
      <c r="B115" t="s">
        <v>152</v>
      </c>
      <c r="C115" t="s">
        <v>100</v>
      </c>
      <c r="D115">
        <v>18.870999999999999</v>
      </c>
      <c r="E115">
        <v>43</v>
      </c>
      <c r="F115">
        <v>58</v>
      </c>
      <c r="G115">
        <v>54</v>
      </c>
      <c r="H115">
        <v>22</v>
      </c>
      <c r="I115">
        <v>5</v>
      </c>
      <c r="J115">
        <v>14</v>
      </c>
      <c r="K115">
        <v>25</v>
      </c>
      <c r="L115">
        <v>19</v>
      </c>
      <c r="M115">
        <v>26</v>
      </c>
      <c r="N115">
        <v>29</v>
      </c>
      <c r="O115">
        <v>41</v>
      </c>
      <c r="P115">
        <v>42</v>
      </c>
      <c r="Q115">
        <v>53</v>
      </c>
      <c r="R115">
        <v>30</v>
      </c>
      <c r="S115">
        <v>29</v>
      </c>
      <c r="T115">
        <v>19</v>
      </c>
      <c r="U115">
        <v>6</v>
      </c>
      <c r="V115">
        <v>-7</v>
      </c>
      <c r="W115">
        <v>14</v>
      </c>
      <c r="X115">
        <v>18</v>
      </c>
      <c r="Y115">
        <v>14</v>
      </c>
      <c r="Z115">
        <v>37</v>
      </c>
      <c r="AA115">
        <v>32</v>
      </c>
      <c r="AB115">
        <v>41</v>
      </c>
      <c r="AC115">
        <v>29</v>
      </c>
      <c r="AD115">
        <v>32</v>
      </c>
      <c r="AE115">
        <v>40</v>
      </c>
      <c r="AF115">
        <v>26</v>
      </c>
      <c r="AG115">
        <v>20</v>
      </c>
      <c r="AH115">
        <v>20</v>
      </c>
      <c r="AI115">
        <v>36</v>
      </c>
      <c r="AJ115">
        <v>39</v>
      </c>
      <c r="AK115">
        <v>27</v>
      </c>
      <c r="AL115">
        <v>16</v>
      </c>
      <c r="AM115">
        <v>17</v>
      </c>
      <c r="AN115">
        <v>8</v>
      </c>
      <c r="AO115">
        <v>12</v>
      </c>
      <c r="AP115">
        <v>7</v>
      </c>
      <c r="AQ115">
        <v>14</v>
      </c>
      <c r="AR115">
        <v>8</v>
      </c>
      <c r="AS115">
        <v>12</v>
      </c>
      <c r="AT115">
        <v>21</v>
      </c>
      <c r="AU115">
        <v>17</v>
      </c>
      <c r="AV115">
        <v>28</v>
      </c>
      <c r="AW115">
        <v>24</v>
      </c>
      <c r="AX115">
        <v>14</v>
      </c>
      <c r="AY115">
        <v>23</v>
      </c>
      <c r="AZ115">
        <v>9</v>
      </c>
      <c r="BA115">
        <v>19</v>
      </c>
      <c r="BB115">
        <v>14</v>
      </c>
      <c r="BC115">
        <v>-58</v>
      </c>
      <c r="BD115">
        <v>4</v>
      </c>
      <c r="BE115">
        <v>6</v>
      </c>
      <c r="BF115">
        <v>16</v>
      </c>
      <c r="BG115">
        <v>27</v>
      </c>
      <c r="BH115">
        <v>22</v>
      </c>
      <c r="BI115">
        <v>4</v>
      </c>
      <c r="BJ115">
        <v>-32</v>
      </c>
      <c r="BK115">
        <v>-7</v>
      </c>
      <c r="BL115">
        <v>8</v>
      </c>
      <c r="BM115">
        <v>7</v>
      </c>
      <c r="BN115">
        <v>17</v>
      </c>
      <c r="BO115">
        <v>9</v>
      </c>
      <c r="BP115">
        <v>19</v>
      </c>
      <c r="BQ115">
        <v>20</v>
      </c>
      <c r="BR115">
        <v>20</v>
      </c>
      <c r="BS115">
        <v>16</v>
      </c>
      <c r="BT115">
        <v>7</v>
      </c>
      <c r="BU115">
        <v>7</v>
      </c>
      <c r="BV115">
        <v>13</v>
      </c>
    </row>
    <row r="116" spans="1:74" x14ac:dyDescent="0.25">
      <c r="A116" t="s">
        <v>450</v>
      </c>
      <c r="B116" t="s">
        <v>153</v>
      </c>
      <c r="C116" t="s">
        <v>100</v>
      </c>
      <c r="D116">
        <v>2.9860000000000002</v>
      </c>
      <c r="E116">
        <v>-5</v>
      </c>
      <c r="F116">
        <v>1</v>
      </c>
      <c r="G116">
        <v>1</v>
      </c>
      <c r="H116">
        <v>-8</v>
      </c>
      <c r="I116">
        <v>2</v>
      </c>
      <c r="J116">
        <v>0</v>
      </c>
      <c r="K116">
        <v>1</v>
      </c>
      <c r="L116">
        <v>0</v>
      </c>
      <c r="M116">
        <v>13</v>
      </c>
      <c r="N116">
        <v>9</v>
      </c>
      <c r="O116">
        <v>15</v>
      </c>
      <c r="P116">
        <v>21</v>
      </c>
      <c r="Q116">
        <v>11</v>
      </c>
      <c r="R116">
        <v>8</v>
      </c>
      <c r="S116">
        <v>10</v>
      </c>
      <c r="T116">
        <v>-7</v>
      </c>
      <c r="U116">
        <v>-20</v>
      </c>
      <c r="V116">
        <v>-13</v>
      </c>
      <c r="W116">
        <v>6</v>
      </c>
      <c r="X116">
        <v>1</v>
      </c>
      <c r="Y116">
        <v>12</v>
      </c>
      <c r="Z116">
        <v>17</v>
      </c>
      <c r="AA116">
        <v>17</v>
      </c>
      <c r="AB116">
        <v>21</v>
      </c>
      <c r="AC116">
        <v>13</v>
      </c>
      <c r="AD116">
        <v>12</v>
      </c>
      <c r="AE116">
        <v>14</v>
      </c>
      <c r="AF116">
        <v>4</v>
      </c>
      <c r="AG116">
        <v>11</v>
      </c>
      <c r="AH116">
        <v>13</v>
      </c>
      <c r="AI116">
        <v>17</v>
      </c>
      <c r="AJ116">
        <v>17</v>
      </c>
      <c r="AK116">
        <v>15</v>
      </c>
      <c r="AL116">
        <v>11</v>
      </c>
      <c r="AM116">
        <v>11</v>
      </c>
      <c r="AN116">
        <v>13</v>
      </c>
      <c r="AO116">
        <v>13</v>
      </c>
      <c r="AP116">
        <v>19</v>
      </c>
      <c r="AQ116">
        <v>17</v>
      </c>
      <c r="AR116">
        <v>17</v>
      </c>
      <c r="AS116">
        <v>14</v>
      </c>
      <c r="AT116">
        <v>15</v>
      </c>
      <c r="AU116">
        <v>17</v>
      </c>
      <c r="AV116">
        <v>17</v>
      </c>
      <c r="AW116">
        <v>17</v>
      </c>
      <c r="AX116">
        <v>13</v>
      </c>
      <c r="AY116">
        <v>12</v>
      </c>
      <c r="AZ116">
        <v>13</v>
      </c>
      <c r="BA116">
        <v>0</v>
      </c>
      <c r="BB116">
        <v>2</v>
      </c>
      <c r="BC116">
        <v>-34</v>
      </c>
      <c r="BD116">
        <v>-2</v>
      </c>
      <c r="BE116">
        <v>-6</v>
      </c>
      <c r="BF116">
        <v>1</v>
      </c>
      <c r="BG116">
        <v>3</v>
      </c>
      <c r="BH116">
        <v>5</v>
      </c>
      <c r="BI116">
        <v>-17</v>
      </c>
      <c r="BJ116">
        <v>-44</v>
      </c>
      <c r="BK116">
        <v>-23</v>
      </c>
      <c r="BL116">
        <v>-17</v>
      </c>
      <c r="BM116">
        <v>-19</v>
      </c>
      <c r="BN116">
        <v>-14</v>
      </c>
      <c r="BO116">
        <v>-4</v>
      </c>
      <c r="BP116">
        <v>-5</v>
      </c>
      <c r="BQ116">
        <v>-9</v>
      </c>
      <c r="BR116">
        <v>-11</v>
      </c>
      <c r="BS116">
        <v>-6</v>
      </c>
      <c r="BT116">
        <v>-7</v>
      </c>
      <c r="BU116">
        <v>-17</v>
      </c>
      <c r="BV116">
        <v>-15</v>
      </c>
    </row>
    <row r="117" spans="1:74" x14ac:dyDescent="0.25">
      <c r="A117" t="s">
        <v>451</v>
      </c>
      <c r="B117" t="s">
        <v>154</v>
      </c>
      <c r="C117" t="s">
        <v>100</v>
      </c>
      <c r="D117">
        <v>22</v>
      </c>
      <c r="E117">
        <v>44</v>
      </c>
      <c r="F117">
        <v>39</v>
      </c>
      <c r="G117">
        <v>37</v>
      </c>
      <c r="H117">
        <v>27</v>
      </c>
      <c r="I117">
        <v>17</v>
      </c>
      <c r="J117">
        <v>24</v>
      </c>
      <c r="K117">
        <v>11</v>
      </c>
      <c r="L117">
        <v>21</v>
      </c>
      <c r="M117">
        <v>26</v>
      </c>
      <c r="N117">
        <v>29</v>
      </c>
      <c r="O117">
        <v>33</v>
      </c>
      <c r="P117">
        <v>32</v>
      </c>
      <c r="Q117">
        <v>38</v>
      </c>
      <c r="R117">
        <v>27</v>
      </c>
      <c r="S117">
        <v>39</v>
      </c>
      <c r="T117">
        <v>9</v>
      </c>
      <c r="U117">
        <v>-7</v>
      </c>
      <c r="V117">
        <v>7</v>
      </c>
      <c r="W117">
        <v>27</v>
      </c>
      <c r="X117">
        <v>27</v>
      </c>
      <c r="Y117">
        <v>26</v>
      </c>
      <c r="Z117">
        <v>49</v>
      </c>
      <c r="AA117">
        <v>32</v>
      </c>
      <c r="AB117">
        <v>60</v>
      </c>
      <c r="AC117">
        <v>33</v>
      </c>
      <c r="AD117">
        <v>13</v>
      </c>
      <c r="AE117">
        <v>29</v>
      </c>
      <c r="AF117">
        <v>21</v>
      </c>
      <c r="AG117">
        <v>33</v>
      </c>
      <c r="AH117">
        <v>22</v>
      </c>
      <c r="AI117">
        <v>30</v>
      </c>
      <c r="AJ117">
        <v>41</v>
      </c>
      <c r="AK117">
        <v>33</v>
      </c>
      <c r="AL117">
        <v>19</v>
      </c>
      <c r="AM117">
        <v>24</v>
      </c>
      <c r="AN117">
        <v>32</v>
      </c>
      <c r="AO117">
        <v>23</v>
      </c>
      <c r="AP117">
        <v>27</v>
      </c>
      <c r="AQ117">
        <v>41</v>
      </c>
      <c r="AR117">
        <v>32</v>
      </c>
      <c r="AS117">
        <v>34</v>
      </c>
      <c r="AT117">
        <v>32</v>
      </c>
      <c r="AU117">
        <v>28</v>
      </c>
      <c r="AV117">
        <v>40</v>
      </c>
      <c r="AW117">
        <v>37</v>
      </c>
      <c r="AX117">
        <v>32</v>
      </c>
      <c r="AY117">
        <v>31</v>
      </c>
      <c r="AZ117">
        <v>24</v>
      </c>
      <c r="BA117">
        <v>9</v>
      </c>
      <c r="BB117">
        <v>6</v>
      </c>
      <c r="BC117">
        <v>-27</v>
      </c>
      <c r="BD117">
        <v>18</v>
      </c>
      <c r="BE117">
        <v>9</v>
      </c>
      <c r="BF117">
        <v>15</v>
      </c>
      <c r="BG117">
        <v>31</v>
      </c>
      <c r="BH117">
        <v>30</v>
      </c>
      <c r="BI117">
        <v>6</v>
      </c>
      <c r="BJ117">
        <v>-21</v>
      </c>
      <c r="BK117">
        <v>7</v>
      </c>
      <c r="BL117">
        <v>11</v>
      </c>
      <c r="BM117">
        <v>-2</v>
      </c>
      <c r="BN117">
        <v>-1</v>
      </c>
      <c r="BO117">
        <v>15</v>
      </c>
      <c r="BP117">
        <v>-10</v>
      </c>
      <c r="BQ117">
        <v>9</v>
      </c>
      <c r="BR117">
        <v>22</v>
      </c>
      <c r="BS117">
        <v>9</v>
      </c>
      <c r="BT117">
        <v>14</v>
      </c>
      <c r="BU117">
        <v>1</v>
      </c>
      <c r="BV117">
        <v>4</v>
      </c>
    </row>
    <row r="118" spans="1:74" x14ac:dyDescent="0.25">
      <c r="A118" t="s">
        <v>452</v>
      </c>
      <c r="B118" t="s">
        <v>155</v>
      </c>
      <c r="C118" t="s">
        <v>100</v>
      </c>
      <c r="D118">
        <v>9.2140000000000004</v>
      </c>
      <c r="E118">
        <v>23</v>
      </c>
      <c r="F118">
        <v>29</v>
      </c>
      <c r="G118">
        <v>17</v>
      </c>
      <c r="H118">
        <v>25</v>
      </c>
      <c r="I118">
        <v>19</v>
      </c>
      <c r="J118">
        <v>6</v>
      </c>
      <c r="K118">
        <v>20</v>
      </c>
      <c r="L118">
        <v>33</v>
      </c>
      <c r="M118">
        <v>39</v>
      </c>
      <c r="N118">
        <v>23</v>
      </c>
      <c r="O118">
        <v>28</v>
      </c>
      <c r="P118">
        <v>32</v>
      </c>
      <c r="Q118">
        <v>26</v>
      </c>
      <c r="R118">
        <v>24</v>
      </c>
      <c r="S118">
        <v>15</v>
      </c>
      <c r="T118">
        <v>1</v>
      </c>
      <c r="U118">
        <v>-16</v>
      </c>
      <c r="V118">
        <v>-17</v>
      </c>
      <c r="W118">
        <v>7</v>
      </c>
      <c r="X118">
        <v>14</v>
      </c>
      <c r="Y118">
        <v>22</v>
      </c>
      <c r="Z118">
        <v>34</v>
      </c>
      <c r="AA118">
        <v>34</v>
      </c>
      <c r="AB118">
        <v>26</v>
      </c>
      <c r="AC118">
        <v>31</v>
      </c>
      <c r="AD118">
        <v>22</v>
      </c>
      <c r="AE118">
        <v>18</v>
      </c>
      <c r="AF118">
        <v>13</v>
      </c>
      <c r="AG118">
        <v>18</v>
      </c>
      <c r="AH118">
        <v>5</v>
      </c>
      <c r="AI118">
        <v>17</v>
      </c>
      <c r="AJ118">
        <v>27</v>
      </c>
      <c r="AK118">
        <v>16</v>
      </c>
      <c r="AL118">
        <v>20</v>
      </c>
      <c r="AM118">
        <v>19</v>
      </c>
      <c r="AN118">
        <v>12</v>
      </c>
      <c r="AO118">
        <v>17</v>
      </c>
      <c r="AP118">
        <v>18</v>
      </c>
      <c r="AQ118">
        <v>9</v>
      </c>
      <c r="AR118">
        <v>11</v>
      </c>
      <c r="AS118">
        <v>10</v>
      </c>
      <c r="AT118">
        <v>12</v>
      </c>
      <c r="AU118">
        <v>13</v>
      </c>
      <c r="AV118">
        <v>18</v>
      </c>
      <c r="AW118">
        <v>16</v>
      </c>
      <c r="AX118">
        <v>14</v>
      </c>
      <c r="AY118">
        <v>14</v>
      </c>
      <c r="AZ118">
        <v>1</v>
      </c>
      <c r="BA118">
        <v>6</v>
      </c>
      <c r="BB118">
        <v>5</v>
      </c>
      <c r="BC118">
        <v>-45</v>
      </c>
      <c r="BD118">
        <v>-7</v>
      </c>
      <c r="BE118">
        <v>-10</v>
      </c>
      <c r="BF118">
        <v>3</v>
      </c>
      <c r="BG118">
        <v>20</v>
      </c>
      <c r="BH118">
        <v>5</v>
      </c>
      <c r="BI118">
        <v>-5</v>
      </c>
      <c r="BJ118">
        <v>-35</v>
      </c>
      <c r="BK118">
        <v>-5</v>
      </c>
      <c r="BL118">
        <v>5</v>
      </c>
      <c r="BM118">
        <v>-6</v>
      </c>
      <c r="BN118">
        <v>-6</v>
      </c>
      <c r="BO118">
        <v>-2</v>
      </c>
      <c r="BP118">
        <v>-17</v>
      </c>
      <c r="BQ118">
        <v>-18</v>
      </c>
      <c r="BR118">
        <v>-9</v>
      </c>
      <c r="BS118">
        <v>-15</v>
      </c>
      <c r="BT118">
        <v>-13</v>
      </c>
      <c r="BU118">
        <v>-21</v>
      </c>
      <c r="BV118">
        <v>-20</v>
      </c>
    </row>
    <row r="119" spans="1:74" x14ac:dyDescent="0.25">
      <c r="A119" t="s">
        <v>453</v>
      </c>
      <c r="B119" t="s">
        <v>156</v>
      </c>
      <c r="C119" t="s">
        <v>100</v>
      </c>
      <c r="D119">
        <v>-0.57099999999999995</v>
      </c>
      <c r="E119">
        <v>-6</v>
      </c>
      <c r="F119">
        <v>-1</v>
      </c>
      <c r="G119">
        <v>-7</v>
      </c>
      <c r="H119">
        <v>-9</v>
      </c>
      <c r="I119">
        <v>9</v>
      </c>
      <c r="J119">
        <v>-5</v>
      </c>
      <c r="K119">
        <v>-5</v>
      </c>
      <c r="L119">
        <v>12</v>
      </c>
      <c r="M119">
        <v>21</v>
      </c>
      <c r="N119">
        <v>7</v>
      </c>
      <c r="O119">
        <v>18</v>
      </c>
      <c r="P119">
        <v>31</v>
      </c>
      <c r="Q119">
        <v>26</v>
      </c>
      <c r="R119">
        <v>15</v>
      </c>
      <c r="S119">
        <v>10</v>
      </c>
      <c r="T119">
        <v>-4</v>
      </c>
      <c r="U119">
        <v>-32</v>
      </c>
      <c r="V119">
        <v>-41</v>
      </c>
      <c r="W119">
        <v>-14</v>
      </c>
      <c r="X119">
        <v>-11</v>
      </c>
      <c r="Y119">
        <v>22</v>
      </c>
      <c r="Z119">
        <v>10</v>
      </c>
      <c r="AA119">
        <v>27</v>
      </c>
      <c r="AB119">
        <v>27</v>
      </c>
      <c r="AC119">
        <v>1</v>
      </c>
      <c r="AD119">
        <v>3</v>
      </c>
      <c r="AE119">
        <v>6</v>
      </c>
      <c r="AF119">
        <v>-17</v>
      </c>
      <c r="AG119">
        <v>-6</v>
      </c>
      <c r="AH119">
        <v>20</v>
      </c>
      <c r="AI119">
        <v>12</v>
      </c>
      <c r="AJ119">
        <v>12</v>
      </c>
      <c r="AK119">
        <v>13</v>
      </c>
      <c r="AL119">
        <v>4</v>
      </c>
      <c r="AM119">
        <v>3</v>
      </c>
      <c r="AN119">
        <v>6</v>
      </c>
      <c r="AO119">
        <v>9</v>
      </c>
      <c r="AP119">
        <v>7</v>
      </c>
      <c r="AQ119">
        <v>5</v>
      </c>
      <c r="AR119">
        <v>5</v>
      </c>
      <c r="AS119">
        <v>13</v>
      </c>
      <c r="AT119">
        <v>14</v>
      </c>
      <c r="AU119">
        <v>7</v>
      </c>
      <c r="AV119">
        <v>12</v>
      </c>
      <c r="AW119">
        <v>17</v>
      </c>
      <c r="AX119">
        <v>11</v>
      </c>
      <c r="AY119">
        <v>15</v>
      </c>
      <c r="AZ119">
        <v>16</v>
      </c>
      <c r="BA119">
        <v>-2</v>
      </c>
      <c r="BB119">
        <v>-7</v>
      </c>
      <c r="BC119">
        <v>-40</v>
      </c>
      <c r="BD119">
        <v>-26</v>
      </c>
      <c r="BE119">
        <v>-20</v>
      </c>
      <c r="BF119">
        <v>-10</v>
      </c>
      <c r="BG119">
        <v>24</v>
      </c>
      <c r="BH119">
        <v>17</v>
      </c>
      <c r="BI119">
        <v>-6</v>
      </c>
      <c r="BJ119">
        <v>-47</v>
      </c>
      <c r="BK119">
        <v>-7</v>
      </c>
      <c r="BL119">
        <v>-11</v>
      </c>
      <c r="BM119">
        <v>-30</v>
      </c>
      <c r="BN119">
        <v>-44</v>
      </c>
      <c r="BO119">
        <v>-13</v>
      </c>
      <c r="BP119">
        <v>-23</v>
      </c>
      <c r="BQ119">
        <v>-13</v>
      </c>
      <c r="BR119">
        <v>-10</v>
      </c>
      <c r="BS119">
        <v>-6</v>
      </c>
      <c r="BT119">
        <v>-13</v>
      </c>
      <c r="BU119">
        <v>-21</v>
      </c>
      <c r="BV119">
        <v>-20</v>
      </c>
    </row>
    <row r="120" spans="1:74" x14ac:dyDescent="0.25">
      <c r="A120" t="s">
        <v>454</v>
      </c>
      <c r="B120" t="s">
        <v>157</v>
      </c>
      <c r="C120" t="s">
        <v>100</v>
      </c>
      <c r="D120">
        <v>12.629</v>
      </c>
      <c r="E120">
        <v>16</v>
      </c>
      <c r="F120">
        <v>35</v>
      </c>
      <c r="G120">
        <v>22</v>
      </c>
      <c r="H120">
        <v>24</v>
      </c>
      <c r="I120">
        <v>34</v>
      </c>
      <c r="J120">
        <v>18</v>
      </c>
      <c r="K120">
        <v>21</v>
      </c>
      <c r="L120">
        <v>52</v>
      </c>
      <c r="M120">
        <v>51</v>
      </c>
      <c r="N120">
        <v>31</v>
      </c>
      <c r="O120">
        <v>52</v>
      </c>
      <c r="P120">
        <v>57</v>
      </c>
      <c r="Q120">
        <v>31</v>
      </c>
      <c r="R120">
        <v>29</v>
      </c>
      <c r="S120">
        <v>23</v>
      </c>
      <c r="T120">
        <v>0</v>
      </c>
      <c r="U120">
        <v>-34</v>
      </c>
      <c r="V120">
        <v>-22</v>
      </c>
      <c r="W120">
        <v>22</v>
      </c>
      <c r="X120">
        <v>37</v>
      </c>
      <c r="Y120">
        <v>52</v>
      </c>
      <c r="Z120">
        <v>42</v>
      </c>
      <c r="AA120">
        <v>47</v>
      </c>
      <c r="AB120">
        <v>55</v>
      </c>
      <c r="AC120">
        <v>13</v>
      </c>
      <c r="AD120">
        <v>13</v>
      </c>
      <c r="AE120">
        <v>28</v>
      </c>
      <c r="AF120">
        <v>-29</v>
      </c>
      <c r="AG120">
        <v>-2</v>
      </c>
      <c r="AH120">
        <v>24</v>
      </c>
      <c r="AI120">
        <v>12</v>
      </c>
      <c r="AJ120">
        <v>21</v>
      </c>
      <c r="AK120">
        <v>28</v>
      </c>
      <c r="AL120">
        <v>4</v>
      </c>
      <c r="AM120">
        <v>6</v>
      </c>
      <c r="AN120">
        <v>22</v>
      </c>
      <c r="AO120">
        <v>13</v>
      </c>
      <c r="AP120">
        <v>15</v>
      </c>
      <c r="AQ120">
        <v>15</v>
      </c>
      <c r="AR120">
        <v>7</v>
      </c>
      <c r="AS120">
        <v>10</v>
      </c>
      <c r="AT120">
        <v>13</v>
      </c>
      <c r="AU120">
        <v>4</v>
      </c>
      <c r="AV120">
        <v>8</v>
      </c>
      <c r="AW120">
        <v>15</v>
      </c>
      <c r="AX120">
        <v>-2</v>
      </c>
      <c r="AY120">
        <v>5</v>
      </c>
      <c r="AZ120">
        <v>2</v>
      </c>
      <c r="BA120">
        <v>-17</v>
      </c>
      <c r="BB120">
        <v>5</v>
      </c>
      <c r="BC120">
        <v>-31</v>
      </c>
      <c r="BD120">
        <v>10</v>
      </c>
      <c r="BE120">
        <v>9</v>
      </c>
      <c r="BF120">
        <v>25</v>
      </c>
      <c r="BG120">
        <v>20</v>
      </c>
      <c r="BH120">
        <v>19</v>
      </c>
      <c r="BI120">
        <v>7</v>
      </c>
      <c r="BJ120">
        <v>-35</v>
      </c>
      <c r="BK120">
        <v>7</v>
      </c>
      <c r="BL120">
        <v>10</v>
      </c>
      <c r="BM120">
        <v>-14</v>
      </c>
      <c r="BN120">
        <v>-11</v>
      </c>
      <c r="BO120">
        <v>-6</v>
      </c>
      <c r="BP120">
        <v>-22</v>
      </c>
      <c r="BQ120">
        <v>-3</v>
      </c>
      <c r="BR120">
        <v>-8</v>
      </c>
      <c r="BS120">
        <v>-8</v>
      </c>
      <c r="BT120">
        <v>-3</v>
      </c>
      <c r="BU120">
        <v>-5</v>
      </c>
      <c r="BV120">
        <v>-5</v>
      </c>
    </row>
    <row r="121" spans="1:74" x14ac:dyDescent="0.25">
      <c r="A121" t="s">
        <v>455</v>
      </c>
      <c r="B121" t="s">
        <v>158</v>
      </c>
      <c r="C121" t="s">
        <v>100</v>
      </c>
      <c r="D121">
        <v>-1.4139999999999999</v>
      </c>
      <c r="E121">
        <v>18</v>
      </c>
      <c r="F121">
        <v>3</v>
      </c>
      <c r="G121">
        <v>2</v>
      </c>
      <c r="H121">
        <v>2</v>
      </c>
      <c r="I121">
        <v>15</v>
      </c>
      <c r="J121">
        <v>-2</v>
      </c>
      <c r="K121">
        <v>-3</v>
      </c>
      <c r="L121">
        <v>10</v>
      </c>
      <c r="M121">
        <v>9</v>
      </c>
      <c r="N121">
        <v>1</v>
      </c>
      <c r="O121">
        <v>9</v>
      </c>
      <c r="P121">
        <v>10</v>
      </c>
      <c r="Q121">
        <v>6</v>
      </c>
      <c r="R121">
        <v>20</v>
      </c>
      <c r="S121">
        <v>12</v>
      </c>
      <c r="T121">
        <v>-14</v>
      </c>
      <c r="U121">
        <v>-47</v>
      </c>
      <c r="V121">
        <v>-44</v>
      </c>
      <c r="W121">
        <v>-24</v>
      </c>
      <c r="X121">
        <v>-16</v>
      </c>
      <c r="Y121">
        <v>-7</v>
      </c>
      <c r="Z121">
        <v>21</v>
      </c>
      <c r="AA121">
        <v>25</v>
      </c>
      <c r="AB121">
        <v>18</v>
      </c>
      <c r="AC121">
        <v>12</v>
      </c>
      <c r="AD121">
        <v>4</v>
      </c>
      <c r="AE121">
        <v>8</v>
      </c>
      <c r="AF121">
        <v>-2</v>
      </c>
      <c r="AG121">
        <v>7</v>
      </c>
      <c r="AH121">
        <v>10</v>
      </c>
      <c r="AI121">
        <v>-1</v>
      </c>
      <c r="AJ121">
        <v>7</v>
      </c>
      <c r="AK121">
        <v>16</v>
      </c>
      <c r="AL121">
        <v>7</v>
      </c>
      <c r="AM121">
        <v>16</v>
      </c>
      <c r="AN121">
        <v>9</v>
      </c>
      <c r="AO121">
        <v>4</v>
      </c>
      <c r="AP121">
        <v>-1</v>
      </c>
      <c r="AQ121">
        <v>-7</v>
      </c>
      <c r="AR121">
        <v>3</v>
      </c>
      <c r="AS121">
        <v>8</v>
      </c>
      <c r="AT121">
        <v>14</v>
      </c>
      <c r="AU121">
        <v>6</v>
      </c>
      <c r="AV121">
        <v>16</v>
      </c>
      <c r="AW121">
        <v>15</v>
      </c>
      <c r="AX121">
        <v>13</v>
      </c>
      <c r="AY121">
        <v>2</v>
      </c>
      <c r="AZ121">
        <v>-5</v>
      </c>
      <c r="BA121">
        <v>-7</v>
      </c>
      <c r="BB121">
        <v>-13</v>
      </c>
      <c r="BC121">
        <v>-76</v>
      </c>
      <c r="BD121">
        <v>-50</v>
      </c>
      <c r="BE121">
        <v>-26</v>
      </c>
      <c r="BF121">
        <v>-27</v>
      </c>
      <c r="BG121">
        <v>16</v>
      </c>
      <c r="BH121">
        <v>10</v>
      </c>
      <c r="BI121">
        <v>18</v>
      </c>
      <c r="BJ121">
        <v>-47</v>
      </c>
      <c r="BK121">
        <v>18</v>
      </c>
      <c r="BL121">
        <v>16</v>
      </c>
      <c r="BM121">
        <v>0</v>
      </c>
      <c r="BN121">
        <v>-1</v>
      </c>
      <c r="BO121">
        <v>2</v>
      </c>
      <c r="BP121">
        <v>-6</v>
      </c>
      <c r="BQ121">
        <v>-1</v>
      </c>
      <c r="BR121">
        <v>-13</v>
      </c>
      <c r="BS121">
        <v>-14</v>
      </c>
      <c r="BT121">
        <v>-11</v>
      </c>
      <c r="BU121">
        <v>-49</v>
      </c>
      <c r="BV121">
        <v>-23</v>
      </c>
    </row>
    <row r="122" spans="1:74" x14ac:dyDescent="0.25">
      <c r="A122" t="s">
        <v>456</v>
      </c>
      <c r="B122" t="s">
        <v>159</v>
      </c>
      <c r="C122" t="s">
        <v>100</v>
      </c>
      <c r="D122">
        <v>8.0570000000000004</v>
      </c>
      <c r="E122">
        <v>0</v>
      </c>
      <c r="F122">
        <v>-11</v>
      </c>
      <c r="G122">
        <v>-12</v>
      </c>
      <c r="H122">
        <v>-2</v>
      </c>
      <c r="I122">
        <v>-2</v>
      </c>
      <c r="J122">
        <v>-2</v>
      </c>
      <c r="K122">
        <v>1</v>
      </c>
      <c r="L122">
        <v>3</v>
      </c>
      <c r="M122">
        <v>14</v>
      </c>
      <c r="N122">
        <v>10</v>
      </c>
      <c r="O122">
        <v>18</v>
      </c>
      <c r="P122">
        <v>21</v>
      </c>
      <c r="Q122">
        <v>18</v>
      </c>
      <c r="R122">
        <v>13</v>
      </c>
      <c r="S122">
        <v>7</v>
      </c>
      <c r="T122">
        <v>2</v>
      </c>
      <c r="U122">
        <v>-18</v>
      </c>
      <c r="V122">
        <v>-13</v>
      </c>
      <c r="W122">
        <v>7</v>
      </c>
      <c r="X122">
        <v>4</v>
      </c>
      <c r="Y122">
        <v>18</v>
      </c>
      <c r="Z122">
        <v>12</v>
      </c>
      <c r="AA122">
        <v>17</v>
      </c>
      <c r="AB122">
        <v>22</v>
      </c>
      <c r="AC122">
        <v>7</v>
      </c>
      <c r="AD122">
        <v>19</v>
      </c>
      <c r="AE122">
        <v>19</v>
      </c>
      <c r="AF122">
        <v>10</v>
      </c>
      <c r="AG122">
        <v>11</v>
      </c>
      <c r="AH122">
        <v>13</v>
      </c>
      <c r="AI122">
        <v>11</v>
      </c>
      <c r="AJ122">
        <v>19</v>
      </c>
      <c r="AK122">
        <v>15</v>
      </c>
      <c r="AL122">
        <v>14</v>
      </c>
      <c r="AM122">
        <v>18</v>
      </c>
      <c r="AN122">
        <v>25</v>
      </c>
      <c r="AO122">
        <v>16</v>
      </c>
      <c r="AP122">
        <v>20</v>
      </c>
      <c r="AQ122">
        <v>16</v>
      </c>
      <c r="AR122">
        <v>16</v>
      </c>
      <c r="AS122">
        <v>19</v>
      </c>
      <c r="AT122">
        <v>26</v>
      </c>
      <c r="AU122">
        <v>18</v>
      </c>
      <c r="AV122">
        <v>23</v>
      </c>
      <c r="AW122">
        <v>14</v>
      </c>
      <c r="AX122">
        <v>16</v>
      </c>
      <c r="AY122">
        <v>12</v>
      </c>
      <c r="AZ122">
        <v>12</v>
      </c>
      <c r="BA122">
        <v>13</v>
      </c>
      <c r="BB122">
        <v>10</v>
      </c>
      <c r="BC122">
        <v>-36</v>
      </c>
      <c r="BD122">
        <v>-4</v>
      </c>
      <c r="BE122">
        <v>-4</v>
      </c>
      <c r="BF122">
        <v>3</v>
      </c>
      <c r="BG122">
        <v>18</v>
      </c>
      <c r="BH122">
        <v>18</v>
      </c>
      <c r="BI122">
        <v>8</v>
      </c>
      <c r="BJ122">
        <v>-10</v>
      </c>
      <c r="BK122">
        <v>6</v>
      </c>
      <c r="BL122">
        <v>13</v>
      </c>
      <c r="BM122">
        <v>5</v>
      </c>
      <c r="BN122">
        <v>-1</v>
      </c>
      <c r="BO122">
        <v>6</v>
      </c>
      <c r="BP122">
        <v>-4</v>
      </c>
      <c r="BQ122">
        <v>2</v>
      </c>
      <c r="BR122">
        <v>2</v>
      </c>
      <c r="BS122">
        <v>0</v>
      </c>
      <c r="BT122">
        <v>4</v>
      </c>
      <c r="BU122">
        <v>-7</v>
      </c>
      <c r="BV122">
        <v>6</v>
      </c>
    </row>
    <row r="123" spans="1:74" x14ac:dyDescent="0.25">
      <c r="A123" t="s">
        <v>457</v>
      </c>
      <c r="B123" t="s">
        <v>160</v>
      </c>
      <c r="C123" t="s">
        <v>100</v>
      </c>
      <c r="D123">
        <v>14.943</v>
      </c>
      <c r="E123">
        <v>26</v>
      </c>
      <c r="F123">
        <v>31</v>
      </c>
      <c r="G123">
        <v>18</v>
      </c>
      <c r="H123">
        <v>25</v>
      </c>
      <c r="I123">
        <v>24</v>
      </c>
      <c r="J123">
        <v>15</v>
      </c>
      <c r="K123">
        <v>25</v>
      </c>
      <c r="L123">
        <v>35</v>
      </c>
      <c r="M123">
        <v>37</v>
      </c>
      <c r="N123">
        <v>26</v>
      </c>
      <c r="O123">
        <v>32</v>
      </c>
      <c r="P123">
        <v>34</v>
      </c>
      <c r="Q123">
        <v>31</v>
      </c>
      <c r="R123">
        <v>28</v>
      </c>
      <c r="S123">
        <v>18</v>
      </c>
      <c r="T123">
        <v>14</v>
      </c>
      <c r="U123">
        <v>-10</v>
      </c>
      <c r="V123">
        <v>-16</v>
      </c>
      <c r="W123">
        <v>11</v>
      </c>
      <c r="X123">
        <v>21</v>
      </c>
      <c r="Y123">
        <v>24</v>
      </c>
      <c r="Z123">
        <v>32</v>
      </c>
      <c r="AA123">
        <v>37</v>
      </c>
      <c r="AB123">
        <v>37</v>
      </c>
      <c r="AC123">
        <v>18</v>
      </c>
      <c r="AD123">
        <v>18</v>
      </c>
      <c r="AE123">
        <v>24</v>
      </c>
      <c r="AF123">
        <v>13</v>
      </c>
      <c r="AG123">
        <v>16</v>
      </c>
      <c r="AH123">
        <v>20</v>
      </c>
      <c r="AI123">
        <v>17</v>
      </c>
      <c r="AJ123">
        <v>29</v>
      </c>
      <c r="AK123">
        <v>27</v>
      </c>
      <c r="AL123">
        <v>16</v>
      </c>
      <c r="AM123">
        <v>23</v>
      </c>
      <c r="AN123">
        <v>25</v>
      </c>
      <c r="AO123">
        <v>17</v>
      </c>
      <c r="AP123">
        <v>25</v>
      </c>
      <c r="AQ123">
        <v>20</v>
      </c>
      <c r="AR123">
        <v>23</v>
      </c>
      <c r="AS123">
        <v>22</v>
      </c>
      <c r="AT123">
        <v>22</v>
      </c>
      <c r="AU123">
        <v>21</v>
      </c>
      <c r="AV123">
        <v>30</v>
      </c>
      <c r="AW123">
        <v>25</v>
      </c>
      <c r="AX123">
        <v>20</v>
      </c>
      <c r="AY123">
        <v>18</v>
      </c>
      <c r="AZ123">
        <v>15</v>
      </c>
      <c r="BA123">
        <v>2</v>
      </c>
      <c r="BB123">
        <v>15</v>
      </c>
      <c r="BC123">
        <v>-35</v>
      </c>
      <c r="BD123">
        <v>5</v>
      </c>
      <c r="BE123">
        <v>2</v>
      </c>
      <c r="BF123">
        <v>6</v>
      </c>
      <c r="BG123">
        <v>19</v>
      </c>
      <c r="BH123">
        <v>11</v>
      </c>
      <c r="BI123">
        <v>1</v>
      </c>
      <c r="BJ123">
        <v>-22</v>
      </c>
      <c r="BK123">
        <v>4</v>
      </c>
      <c r="BL123">
        <v>8</v>
      </c>
      <c r="BM123">
        <v>-3</v>
      </c>
      <c r="BN123">
        <v>0</v>
      </c>
      <c r="BO123">
        <v>-3</v>
      </c>
      <c r="BP123">
        <v>-6</v>
      </c>
      <c r="BQ123">
        <v>-8</v>
      </c>
      <c r="BR123">
        <v>0</v>
      </c>
      <c r="BS123">
        <v>2</v>
      </c>
      <c r="BT123">
        <v>2</v>
      </c>
      <c r="BU123">
        <v>-10</v>
      </c>
      <c r="BV123">
        <v>-3</v>
      </c>
    </row>
    <row r="124" spans="1:74" x14ac:dyDescent="0.25">
      <c r="A124" t="s">
        <v>458</v>
      </c>
      <c r="B124" t="s">
        <v>244</v>
      </c>
      <c r="C124" t="s">
        <v>100</v>
      </c>
      <c r="D124">
        <v>5.7569999999999997</v>
      </c>
      <c r="E124">
        <v>1</v>
      </c>
      <c r="F124">
        <v>13</v>
      </c>
      <c r="G124">
        <v>0</v>
      </c>
      <c r="H124">
        <v>2</v>
      </c>
      <c r="I124">
        <v>8</v>
      </c>
      <c r="J124">
        <v>3</v>
      </c>
      <c r="K124">
        <v>6</v>
      </c>
      <c r="L124">
        <v>21</v>
      </c>
      <c r="M124">
        <v>23</v>
      </c>
      <c r="N124">
        <v>23</v>
      </c>
      <c r="O124">
        <v>28</v>
      </c>
      <c r="P124">
        <v>37</v>
      </c>
      <c r="Q124">
        <v>24</v>
      </c>
      <c r="R124">
        <v>19</v>
      </c>
      <c r="S124">
        <v>20</v>
      </c>
      <c r="T124">
        <v>5</v>
      </c>
      <c r="U124">
        <v>-22</v>
      </c>
      <c r="V124">
        <v>-24</v>
      </c>
      <c r="W124">
        <v>0</v>
      </c>
      <c r="X124">
        <v>2</v>
      </c>
      <c r="Y124">
        <v>20</v>
      </c>
      <c r="Z124">
        <v>19</v>
      </c>
      <c r="AA124">
        <v>21</v>
      </c>
      <c r="AB124">
        <v>27</v>
      </c>
      <c r="AC124">
        <v>10</v>
      </c>
      <c r="AD124">
        <v>10</v>
      </c>
      <c r="AE124">
        <v>14</v>
      </c>
      <c r="AF124">
        <v>-2</v>
      </c>
      <c r="AG124">
        <v>4</v>
      </c>
      <c r="AH124">
        <v>12</v>
      </c>
      <c r="AI124">
        <v>11</v>
      </c>
      <c r="AJ124">
        <v>18</v>
      </c>
      <c r="AK124">
        <v>16</v>
      </c>
      <c r="AL124">
        <v>10</v>
      </c>
      <c r="AM124">
        <v>12</v>
      </c>
      <c r="AN124">
        <v>13</v>
      </c>
      <c r="AO124">
        <v>11</v>
      </c>
      <c r="AP124">
        <v>15</v>
      </c>
      <c r="AQ124">
        <v>15</v>
      </c>
      <c r="AR124">
        <v>17</v>
      </c>
      <c r="AS124">
        <v>16</v>
      </c>
      <c r="AT124">
        <v>19</v>
      </c>
      <c r="AU124">
        <v>20</v>
      </c>
      <c r="AV124">
        <v>23</v>
      </c>
      <c r="AW124">
        <v>21</v>
      </c>
      <c r="AX124">
        <v>18</v>
      </c>
      <c r="AY124">
        <v>14</v>
      </c>
      <c r="AZ124">
        <v>11</v>
      </c>
      <c r="BA124">
        <v>0</v>
      </c>
      <c r="BB124">
        <v>5</v>
      </c>
      <c r="BC124">
        <v>-44</v>
      </c>
      <c r="BD124">
        <v>-9</v>
      </c>
      <c r="BE124">
        <v>-10</v>
      </c>
      <c r="BF124">
        <v>5</v>
      </c>
      <c r="BG124">
        <v>11</v>
      </c>
      <c r="BH124">
        <v>8</v>
      </c>
      <c r="BI124">
        <v>-13</v>
      </c>
      <c r="BJ124">
        <v>-29</v>
      </c>
      <c r="BK124">
        <v>-11</v>
      </c>
      <c r="BL124">
        <v>-5</v>
      </c>
      <c r="BM124">
        <v>-18</v>
      </c>
      <c r="BN124">
        <v>-12</v>
      </c>
      <c r="BO124">
        <v>-5</v>
      </c>
      <c r="BP124">
        <v>-10</v>
      </c>
      <c r="BQ124">
        <v>-15</v>
      </c>
      <c r="BR124">
        <v>-8</v>
      </c>
      <c r="BS124">
        <v>-9</v>
      </c>
      <c r="BT124">
        <v>-7</v>
      </c>
      <c r="BU124">
        <v>-17</v>
      </c>
      <c r="BV124">
        <v>-8</v>
      </c>
    </row>
    <row r="125" spans="1:74" x14ac:dyDescent="0.25">
      <c r="A125" t="s">
        <v>459</v>
      </c>
      <c r="B125" t="s">
        <v>245</v>
      </c>
      <c r="C125" t="s">
        <v>100</v>
      </c>
      <c r="D125">
        <v>8.1289999999999996</v>
      </c>
      <c r="E125">
        <v>-13</v>
      </c>
      <c r="F125">
        <v>15</v>
      </c>
      <c r="G125">
        <v>14</v>
      </c>
      <c r="H125">
        <v>-4</v>
      </c>
      <c r="I125">
        <v>4</v>
      </c>
      <c r="J125">
        <v>-2</v>
      </c>
      <c r="K125">
        <v>7</v>
      </c>
      <c r="L125">
        <v>26</v>
      </c>
      <c r="M125">
        <v>17</v>
      </c>
      <c r="N125">
        <v>11</v>
      </c>
      <c r="O125">
        <v>19</v>
      </c>
      <c r="P125">
        <v>29</v>
      </c>
      <c r="Q125">
        <v>20</v>
      </c>
      <c r="R125">
        <v>17</v>
      </c>
      <c r="S125">
        <v>24</v>
      </c>
      <c r="T125">
        <v>-3</v>
      </c>
      <c r="U125">
        <v>-14</v>
      </c>
      <c r="V125">
        <v>-18</v>
      </c>
      <c r="W125">
        <v>7</v>
      </c>
      <c r="X125">
        <v>13</v>
      </c>
      <c r="Y125">
        <v>17</v>
      </c>
      <c r="Z125">
        <v>26</v>
      </c>
      <c r="AA125">
        <v>18</v>
      </c>
      <c r="AB125">
        <v>32</v>
      </c>
      <c r="AC125">
        <v>15</v>
      </c>
      <c r="AD125">
        <v>17</v>
      </c>
      <c r="AE125">
        <v>14</v>
      </c>
      <c r="AF125">
        <v>10</v>
      </c>
      <c r="AG125">
        <v>13</v>
      </c>
      <c r="AH125">
        <v>28</v>
      </c>
      <c r="AI125">
        <v>26</v>
      </c>
      <c r="AJ125">
        <v>31</v>
      </c>
      <c r="AK125">
        <v>28</v>
      </c>
      <c r="AL125">
        <v>11</v>
      </c>
      <c r="AM125">
        <v>16</v>
      </c>
      <c r="AN125">
        <v>22</v>
      </c>
      <c r="AO125">
        <v>8</v>
      </c>
      <c r="AP125">
        <v>17</v>
      </c>
      <c r="AQ125">
        <v>11</v>
      </c>
      <c r="AR125">
        <v>19</v>
      </c>
      <c r="AS125">
        <v>10</v>
      </c>
      <c r="AT125">
        <v>16</v>
      </c>
      <c r="AU125">
        <v>23</v>
      </c>
      <c r="AV125">
        <v>30</v>
      </c>
      <c r="AW125">
        <v>15</v>
      </c>
      <c r="AX125">
        <v>20</v>
      </c>
      <c r="AY125">
        <v>13</v>
      </c>
      <c r="AZ125">
        <v>7</v>
      </c>
      <c r="BA125">
        <v>8</v>
      </c>
      <c r="BB125">
        <v>2</v>
      </c>
      <c r="BC125">
        <v>-36</v>
      </c>
      <c r="BD125">
        <v>0</v>
      </c>
      <c r="BE125">
        <v>-3</v>
      </c>
      <c r="BF125">
        <v>8</v>
      </c>
      <c r="BG125">
        <v>14</v>
      </c>
      <c r="BH125">
        <v>10</v>
      </c>
      <c r="BI125">
        <v>-5</v>
      </c>
      <c r="BJ125">
        <v>-33</v>
      </c>
      <c r="BK125">
        <v>-12</v>
      </c>
      <c r="BL125">
        <v>4</v>
      </c>
      <c r="BM125">
        <v>-4</v>
      </c>
      <c r="BN125">
        <v>-7</v>
      </c>
      <c r="BO125">
        <v>2</v>
      </c>
      <c r="BP125">
        <v>-12</v>
      </c>
      <c r="BQ125">
        <v>-7</v>
      </c>
      <c r="BR125">
        <v>-2</v>
      </c>
      <c r="BS125">
        <v>-13</v>
      </c>
      <c r="BT125">
        <v>-2</v>
      </c>
      <c r="BU125">
        <v>-16</v>
      </c>
      <c r="BV125">
        <v>-9</v>
      </c>
    </row>
    <row r="126" spans="1:74" x14ac:dyDescent="0.25">
      <c r="A126" t="s">
        <v>460</v>
      </c>
      <c r="B126" t="s">
        <v>246</v>
      </c>
      <c r="C126" t="s">
        <v>100</v>
      </c>
      <c r="D126">
        <v>10.414</v>
      </c>
      <c r="E126">
        <v>-5</v>
      </c>
      <c r="F126">
        <v>21</v>
      </c>
      <c r="G126">
        <v>14</v>
      </c>
      <c r="H126">
        <v>24</v>
      </c>
      <c r="I126">
        <v>23</v>
      </c>
      <c r="J126">
        <v>23</v>
      </c>
      <c r="K126">
        <v>21</v>
      </c>
      <c r="L126">
        <v>27</v>
      </c>
      <c r="M126">
        <v>25</v>
      </c>
      <c r="N126">
        <v>25</v>
      </c>
      <c r="O126">
        <v>19</v>
      </c>
      <c r="P126">
        <v>31</v>
      </c>
      <c r="Q126">
        <v>35</v>
      </c>
      <c r="R126">
        <v>24</v>
      </c>
      <c r="S126">
        <v>28</v>
      </c>
      <c r="T126">
        <v>9</v>
      </c>
      <c r="U126">
        <v>-10</v>
      </c>
      <c r="V126">
        <v>-13</v>
      </c>
      <c r="W126">
        <v>7</v>
      </c>
      <c r="X126">
        <v>10</v>
      </c>
      <c r="Y126">
        <v>20</v>
      </c>
      <c r="Z126">
        <v>26</v>
      </c>
      <c r="AA126">
        <v>31</v>
      </c>
      <c r="AB126">
        <v>29</v>
      </c>
      <c r="AC126">
        <v>11</v>
      </c>
      <c r="AD126">
        <v>11</v>
      </c>
      <c r="AE126">
        <v>18</v>
      </c>
      <c r="AF126">
        <v>7</v>
      </c>
      <c r="AG126">
        <v>7</v>
      </c>
      <c r="AH126">
        <v>12</v>
      </c>
      <c r="AI126">
        <v>21</v>
      </c>
      <c r="AJ126">
        <v>19</v>
      </c>
      <c r="AK126">
        <v>17</v>
      </c>
      <c r="AL126">
        <v>6</v>
      </c>
      <c r="AM126">
        <v>11</v>
      </c>
      <c r="AN126">
        <v>13</v>
      </c>
      <c r="AO126">
        <v>21</v>
      </c>
      <c r="AP126">
        <v>17</v>
      </c>
      <c r="AQ126">
        <v>19</v>
      </c>
      <c r="AR126">
        <v>13</v>
      </c>
      <c r="AS126">
        <v>18</v>
      </c>
      <c r="AT126">
        <v>27</v>
      </c>
      <c r="AU126">
        <v>24</v>
      </c>
      <c r="AV126">
        <v>21</v>
      </c>
      <c r="AW126">
        <v>20</v>
      </c>
      <c r="AX126">
        <v>16</v>
      </c>
      <c r="AY126">
        <v>12</v>
      </c>
      <c r="AZ126">
        <v>12</v>
      </c>
      <c r="BA126">
        <v>3</v>
      </c>
      <c r="BB126">
        <v>5</v>
      </c>
      <c r="BC126">
        <v>-36</v>
      </c>
      <c r="BD126">
        <v>-2</v>
      </c>
      <c r="BE126">
        <v>-3</v>
      </c>
      <c r="BF126">
        <v>-4</v>
      </c>
      <c r="BG126">
        <v>22</v>
      </c>
      <c r="BH126">
        <v>8</v>
      </c>
      <c r="BI126">
        <v>4</v>
      </c>
      <c r="BJ126">
        <v>-27</v>
      </c>
      <c r="BK126">
        <v>4</v>
      </c>
      <c r="BL126">
        <v>9</v>
      </c>
      <c r="BM126">
        <v>-6</v>
      </c>
      <c r="BN126">
        <v>-4</v>
      </c>
      <c r="BO126">
        <v>3</v>
      </c>
      <c r="BP126">
        <v>-7</v>
      </c>
      <c r="BQ126">
        <v>-8</v>
      </c>
      <c r="BR126">
        <v>-5</v>
      </c>
      <c r="BS126">
        <v>-9</v>
      </c>
      <c r="BT126">
        <v>-8</v>
      </c>
      <c r="BU126">
        <v>-16</v>
      </c>
      <c r="BV126">
        <v>-11</v>
      </c>
    </row>
    <row r="127" spans="1:74" x14ac:dyDescent="0.25">
      <c r="A127" t="s">
        <v>461</v>
      </c>
      <c r="B127" t="s">
        <v>164</v>
      </c>
      <c r="C127" t="s">
        <v>100</v>
      </c>
      <c r="D127">
        <v>3.629</v>
      </c>
      <c r="E127">
        <v>2</v>
      </c>
      <c r="F127">
        <v>12</v>
      </c>
      <c r="G127">
        <v>-11</v>
      </c>
      <c r="H127">
        <v>17</v>
      </c>
      <c r="I127">
        <v>5</v>
      </c>
      <c r="J127">
        <v>-21</v>
      </c>
      <c r="K127">
        <v>-14</v>
      </c>
      <c r="L127">
        <v>11</v>
      </c>
      <c r="M127">
        <v>10</v>
      </c>
      <c r="N127">
        <v>12</v>
      </c>
      <c r="O127">
        <v>14</v>
      </c>
      <c r="P127">
        <v>19</v>
      </c>
      <c r="Q127">
        <v>19</v>
      </c>
      <c r="R127">
        <v>28</v>
      </c>
      <c r="S127">
        <v>4</v>
      </c>
      <c r="T127">
        <v>1</v>
      </c>
      <c r="U127">
        <v>-15</v>
      </c>
      <c r="V127">
        <v>-16</v>
      </c>
      <c r="W127">
        <v>-12</v>
      </c>
      <c r="X127">
        <v>0</v>
      </c>
      <c r="Y127">
        <v>13</v>
      </c>
      <c r="Z127">
        <v>15</v>
      </c>
      <c r="AA127">
        <v>16</v>
      </c>
      <c r="AB127">
        <v>19</v>
      </c>
      <c r="AC127">
        <v>9</v>
      </c>
      <c r="AD127">
        <v>30</v>
      </c>
      <c r="AE127">
        <v>12</v>
      </c>
      <c r="AF127">
        <v>13</v>
      </c>
      <c r="AG127">
        <v>-7</v>
      </c>
      <c r="AH127">
        <v>18</v>
      </c>
      <c r="AI127">
        <v>14</v>
      </c>
      <c r="AJ127">
        <v>0</v>
      </c>
      <c r="AK127">
        <v>17</v>
      </c>
      <c r="AL127">
        <v>5</v>
      </c>
      <c r="AM127">
        <v>17</v>
      </c>
      <c r="AN127">
        <v>15</v>
      </c>
      <c r="AO127">
        <v>30</v>
      </c>
      <c r="AP127">
        <v>31</v>
      </c>
      <c r="AQ127">
        <v>29</v>
      </c>
      <c r="AR127">
        <v>17</v>
      </c>
      <c r="AS127">
        <v>7</v>
      </c>
      <c r="AT127">
        <v>16</v>
      </c>
      <c r="AU127">
        <v>6</v>
      </c>
      <c r="AV127">
        <v>23</v>
      </c>
      <c r="AW127">
        <v>14</v>
      </c>
      <c r="AX127">
        <v>5</v>
      </c>
      <c r="AY127">
        <v>23</v>
      </c>
      <c r="AZ127">
        <v>23</v>
      </c>
      <c r="BA127">
        <v>3</v>
      </c>
      <c r="BB127">
        <v>8</v>
      </c>
      <c r="BC127">
        <v>-37</v>
      </c>
      <c r="BD127">
        <v>-10</v>
      </c>
      <c r="BE127">
        <v>-28</v>
      </c>
      <c r="BF127">
        <v>-27</v>
      </c>
      <c r="BG127">
        <v>9</v>
      </c>
      <c r="BH127">
        <v>-5</v>
      </c>
      <c r="BI127">
        <v>-9</v>
      </c>
      <c r="BJ127">
        <v>-35</v>
      </c>
      <c r="BK127">
        <v>-9</v>
      </c>
      <c r="BL127">
        <v>1</v>
      </c>
      <c r="BM127">
        <v>4</v>
      </c>
      <c r="BN127">
        <v>-1</v>
      </c>
      <c r="BO127">
        <v>2</v>
      </c>
      <c r="BP127">
        <v>-9</v>
      </c>
      <c r="BQ127">
        <v>-26</v>
      </c>
      <c r="BR127">
        <v>-2</v>
      </c>
      <c r="BS127">
        <v>-6</v>
      </c>
      <c r="BT127">
        <v>-18</v>
      </c>
      <c r="BU127">
        <v>-24</v>
      </c>
      <c r="BV127">
        <v>-22</v>
      </c>
    </row>
    <row r="128" spans="1:74" x14ac:dyDescent="0.25">
      <c r="A128" t="s">
        <v>462</v>
      </c>
      <c r="B128" t="s">
        <v>165</v>
      </c>
      <c r="C128" t="s">
        <v>100</v>
      </c>
      <c r="D128">
        <v>-1.714</v>
      </c>
      <c r="E128">
        <v>-8</v>
      </c>
      <c r="F128">
        <v>6</v>
      </c>
      <c r="G128">
        <v>2</v>
      </c>
      <c r="H128">
        <v>-22</v>
      </c>
      <c r="I128">
        <v>-23</v>
      </c>
      <c r="J128">
        <v>-16</v>
      </c>
      <c r="K128">
        <v>2</v>
      </c>
      <c r="L128">
        <v>0</v>
      </c>
      <c r="M128">
        <v>-13</v>
      </c>
      <c r="N128">
        <v>-2</v>
      </c>
      <c r="O128">
        <v>-3</v>
      </c>
      <c r="P128">
        <v>27</v>
      </c>
      <c r="Q128">
        <v>22</v>
      </c>
      <c r="R128">
        <v>14</v>
      </c>
      <c r="S128">
        <v>6</v>
      </c>
      <c r="T128">
        <v>-2</v>
      </c>
      <c r="U128">
        <v>-28</v>
      </c>
      <c r="V128">
        <v>-15</v>
      </c>
      <c r="W128">
        <v>-7</v>
      </c>
      <c r="X128">
        <v>1</v>
      </c>
      <c r="Y128">
        <v>6</v>
      </c>
      <c r="Z128">
        <v>7</v>
      </c>
      <c r="AA128">
        <v>15</v>
      </c>
      <c r="AB128">
        <v>18</v>
      </c>
      <c r="AC128">
        <v>6</v>
      </c>
      <c r="AD128">
        <v>9</v>
      </c>
      <c r="AE128">
        <v>15</v>
      </c>
      <c r="AF128">
        <v>1</v>
      </c>
      <c r="AG128">
        <v>3</v>
      </c>
      <c r="AH128">
        <v>6</v>
      </c>
      <c r="AI128">
        <v>11</v>
      </c>
      <c r="AJ128">
        <v>4</v>
      </c>
      <c r="AK128">
        <v>9</v>
      </c>
      <c r="AL128">
        <v>0</v>
      </c>
      <c r="AM128">
        <v>11</v>
      </c>
      <c r="AN128">
        <v>11</v>
      </c>
      <c r="AO128">
        <v>4</v>
      </c>
      <c r="AP128">
        <v>11</v>
      </c>
      <c r="AQ128">
        <v>26</v>
      </c>
      <c r="AR128">
        <v>7</v>
      </c>
      <c r="AS128">
        <v>10</v>
      </c>
      <c r="AT128">
        <v>22</v>
      </c>
      <c r="AU128">
        <v>15</v>
      </c>
      <c r="AV128">
        <v>14</v>
      </c>
      <c r="AW128">
        <v>15</v>
      </c>
      <c r="AX128">
        <v>12</v>
      </c>
      <c r="AY128">
        <v>13</v>
      </c>
      <c r="AZ128">
        <v>18</v>
      </c>
      <c r="BA128">
        <v>8</v>
      </c>
      <c r="BB128">
        <v>-1</v>
      </c>
      <c r="BC128">
        <v>-33</v>
      </c>
      <c r="BD128">
        <v>-10</v>
      </c>
      <c r="BE128">
        <v>-17</v>
      </c>
      <c r="BF128">
        <v>-7</v>
      </c>
      <c r="BG128">
        <v>9</v>
      </c>
      <c r="BH128">
        <v>9</v>
      </c>
      <c r="BI128">
        <v>-18</v>
      </c>
      <c r="BJ128">
        <v>-41</v>
      </c>
      <c r="BK128">
        <v>-22</v>
      </c>
      <c r="BL128">
        <v>-19</v>
      </c>
      <c r="BM128">
        <v>-30</v>
      </c>
      <c r="BN128">
        <v>-30</v>
      </c>
      <c r="BO128">
        <v>-24</v>
      </c>
      <c r="BP128">
        <v>-20</v>
      </c>
      <c r="BQ128">
        <v>-25</v>
      </c>
      <c r="BR128">
        <v>-17</v>
      </c>
      <c r="BS128">
        <v>-18</v>
      </c>
      <c r="BT128">
        <v>-16</v>
      </c>
      <c r="BU128">
        <v>-25</v>
      </c>
      <c r="BV128">
        <v>-13</v>
      </c>
    </row>
    <row r="129" spans="1:74" x14ac:dyDescent="0.25">
      <c r="A129" t="s">
        <v>463</v>
      </c>
      <c r="B129" t="s">
        <v>166</v>
      </c>
      <c r="C129" t="s">
        <v>100</v>
      </c>
      <c r="D129">
        <v>1.2709999999999999</v>
      </c>
      <c r="E129">
        <v>-27</v>
      </c>
      <c r="F129">
        <v>-5</v>
      </c>
      <c r="G129">
        <v>-15</v>
      </c>
      <c r="H129">
        <v>-17</v>
      </c>
      <c r="I129">
        <v>-10</v>
      </c>
      <c r="J129">
        <v>-22</v>
      </c>
      <c r="K129">
        <v>10</v>
      </c>
      <c r="L129">
        <v>22</v>
      </c>
      <c r="M129">
        <v>10</v>
      </c>
      <c r="N129">
        <v>1</v>
      </c>
      <c r="O129">
        <v>8</v>
      </c>
      <c r="P129">
        <v>22</v>
      </c>
      <c r="Q129">
        <v>14</v>
      </c>
      <c r="R129">
        <v>13</v>
      </c>
      <c r="S129">
        <v>13</v>
      </c>
      <c r="T129">
        <v>-1</v>
      </c>
      <c r="U129">
        <v>-20</v>
      </c>
      <c r="V129">
        <v>-15</v>
      </c>
      <c r="W129">
        <v>-3</v>
      </c>
      <c r="X129">
        <v>-1</v>
      </c>
      <c r="Y129">
        <v>4</v>
      </c>
      <c r="Z129">
        <v>7</v>
      </c>
      <c r="AA129">
        <v>-5</v>
      </c>
      <c r="AB129">
        <v>-7</v>
      </c>
      <c r="AC129">
        <v>-15</v>
      </c>
      <c r="AD129">
        <v>-11</v>
      </c>
      <c r="AE129">
        <v>1</v>
      </c>
      <c r="AF129">
        <v>1</v>
      </c>
      <c r="AG129">
        <v>9</v>
      </c>
      <c r="AH129">
        <v>9</v>
      </c>
      <c r="AI129">
        <v>0</v>
      </c>
      <c r="AJ129">
        <v>8</v>
      </c>
      <c r="AK129">
        <v>6</v>
      </c>
      <c r="AL129">
        <v>2</v>
      </c>
      <c r="AM129">
        <v>16</v>
      </c>
      <c r="AN129">
        <v>13</v>
      </c>
      <c r="AO129">
        <v>22</v>
      </c>
      <c r="AP129">
        <v>15</v>
      </c>
      <c r="AQ129">
        <v>20</v>
      </c>
      <c r="AR129">
        <v>5</v>
      </c>
      <c r="AS129">
        <v>18</v>
      </c>
      <c r="AT129">
        <v>22</v>
      </c>
      <c r="AU129">
        <v>11</v>
      </c>
      <c r="AV129">
        <v>6</v>
      </c>
      <c r="AW129">
        <v>26</v>
      </c>
      <c r="AX129">
        <v>11</v>
      </c>
      <c r="AY129">
        <v>21</v>
      </c>
      <c r="AZ129">
        <v>3</v>
      </c>
      <c r="BA129">
        <v>7</v>
      </c>
      <c r="BB129">
        <v>5</v>
      </c>
      <c r="BC129">
        <v>-28</v>
      </c>
      <c r="BD129">
        <v>-1</v>
      </c>
      <c r="BE129">
        <v>-10</v>
      </c>
      <c r="BF129">
        <v>1</v>
      </c>
      <c r="BG129">
        <v>12</v>
      </c>
      <c r="BH129">
        <v>4</v>
      </c>
      <c r="BI129">
        <v>11</v>
      </c>
      <c r="BJ129">
        <v>-22</v>
      </c>
      <c r="BK129">
        <v>1</v>
      </c>
      <c r="BL129">
        <v>4</v>
      </c>
      <c r="BM129">
        <v>-13</v>
      </c>
      <c r="BN129">
        <v>13</v>
      </c>
      <c r="BO129">
        <v>-5</v>
      </c>
      <c r="BP129">
        <v>-6</v>
      </c>
      <c r="BQ129">
        <v>-9</v>
      </c>
      <c r="BR129">
        <v>-10</v>
      </c>
      <c r="BS129">
        <v>-1</v>
      </c>
      <c r="BT129">
        <v>-11</v>
      </c>
      <c r="BU129">
        <v>-25</v>
      </c>
      <c r="BV129">
        <v>-23</v>
      </c>
    </row>
    <row r="130" spans="1:74" x14ac:dyDescent="0.25">
      <c r="A130" t="s">
        <v>464</v>
      </c>
      <c r="B130" t="s">
        <v>167</v>
      </c>
      <c r="C130" t="s">
        <v>100</v>
      </c>
      <c r="D130">
        <v>4.2</v>
      </c>
      <c r="E130">
        <v>-33</v>
      </c>
      <c r="F130">
        <v>-23</v>
      </c>
      <c r="G130">
        <v>-13</v>
      </c>
      <c r="H130">
        <v>-17</v>
      </c>
      <c r="I130">
        <v>-2</v>
      </c>
      <c r="J130">
        <v>-15</v>
      </c>
      <c r="K130">
        <v>-4</v>
      </c>
      <c r="L130">
        <v>4</v>
      </c>
      <c r="M130">
        <v>13</v>
      </c>
      <c r="N130">
        <v>-5</v>
      </c>
      <c r="O130">
        <v>9</v>
      </c>
      <c r="P130">
        <v>7</v>
      </c>
      <c r="Q130">
        <v>23</v>
      </c>
      <c r="R130">
        <v>16</v>
      </c>
      <c r="S130">
        <v>-4</v>
      </c>
      <c r="T130">
        <v>10</v>
      </c>
      <c r="U130">
        <v>0</v>
      </c>
      <c r="V130">
        <v>-9</v>
      </c>
      <c r="W130">
        <v>4</v>
      </c>
      <c r="X130">
        <v>16</v>
      </c>
      <c r="Y130">
        <v>13</v>
      </c>
      <c r="Z130">
        <v>10</v>
      </c>
      <c r="AA130">
        <v>12</v>
      </c>
      <c r="AB130">
        <v>17</v>
      </c>
      <c r="AC130">
        <v>18</v>
      </c>
      <c r="AD130">
        <v>10</v>
      </c>
      <c r="AE130">
        <v>9</v>
      </c>
      <c r="AF130">
        <v>18</v>
      </c>
      <c r="AG130">
        <v>20</v>
      </c>
      <c r="AH130">
        <v>13</v>
      </c>
      <c r="AI130">
        <v>17</v>
      </c>
      <c r="AJ130">
        <v>23</v>
      </c>
      <c r="AK130">
        <v>25</v>
      </c>
      <c r="AL130">
        <v>24</v>
      </c>
      <c r="AM130">
        <v>12</v>
      </c>
      <c r="AN130">
        <v>21</v>
      </c>
      <c r="AO130">
        <v>21</v>
      </c>
      <c r="AP130">
        <v>25</v>
      </c>
      <c r="AQ130">
        <v>22</v>
      </c>
      <c r="AR130">
        <v>18</v>
      </c>
      <c r="AS130">
        <v>16</v>
      </c>
      <c r="AT130">
        <v>18</v>
      </c>
      <c r="AU130">
        <v>15</v>
      </c>
      <c r="AV130">
        <v>19</v>
      </c>
      <c r="AW130">
        <v>15</v>
      </c>
      <c r="AX130">
        <v>14</v>
      </c>
      <c r="AY130">
        <v>12</v>
      </c>
      <c r="AZ130">
        <v>9</v>
      </c>
      <c r="BA130">
        <v>14</v>
      </c>
      <c r="BB130">
        <v>7</v>
      </c>
      <c r="BC130">
        <v>-18</v>
      </c>
      <c r="BD130">
        <v>2</v>
      </c>
      <c r="BE130">
        <v>1</v>
      </c>
      <c r="BF130">
        <v>2</v>
      </c>
      <c r="BG130">
        <v>14</v>
      </c>
      <c r="BH130">
        <v>1</v>
      </c>
      <c r="BI130">
        <v>-4</v>
      </c>
      <c r="BJ130">
        <v>-36</v>
      </c>
      <c r="BK130">
        <v>-19</v>
      </c>
      <c r="BL130">
        <v>-17</v>
      </c>
      <c r="BM130">
        <v>-15</v>
      </c>
      <c r="BN130">
        <v>-12</v>
      </c>
      <c r="BO130">
        <v>-6</v>
      </c>
      <c r="BP130">
        <v>-4</v>
      </c>
      <c r="BQ130">
        <v>-13</v>
      </c>
      <c r="BR130">
        <v>-1</v>
      </c>
      <c r="BS130">
        <v>-1</v>
      </c>
      <c r="BT130">
        <v>0</v>
      </c>
      <c r="BU130">
        <v>-17</v>
      </c>
      <c r="BV130">
        <v>-27</v>
      </c>
    </row>
    <row r="131" spans="1:74" x14ac:dyDescent="0.25">
      <c r="A131" t="s">
        <v>465</v>
      </c>
      <c r="B131" t="s">
        <v>247</v>
      </c>
      <c r="C131" t="s">
        <v>100</v>
      </c>
      <c r="D131">
        <v>2.786</v>
      </c>
      <c r="E131">
        <v>-9</v>
      </c>
      <c r="F131">
        <v>0</v>
      </c>
      <c r="G131">
        <v>6</v>
      </c>
      <c r="H131">
        <v>-1</v>
      </c>
      <c r="I131">
        <v>0</v>
      </c>
      <c r="J131">
        <v>-3</v>
      </c>
      <c r="K131">
        <v>0</v>
      </c>
      <c r="L131">
        <v>3</v>
      </c>
      <c r="M131">
        <v>8</v>
      </c>
      <c r="N131">
        <v>2</v>
      </c>
      <c r="O131">
        <v>11</v>
      </c>
      <c r="P131">
        <v>22</v>
      </c>
      <c r="Q131">
        <v>8</v>
      </c>
      <c r="R131">
        <v>3</v>
      </c>
      <c r="S131">
        <v>5</v>
      </c>
      <c r="T131">
        <v>0</v>
      </c>
      <c r="U131">
        <v>-26</v>
      </c>
      <c r="V131">
        <v>-13</v>
      </c>
      <c r="W131">
        <v>-1</v>
      </c>
      <c r="X131">
        <v>-8</v>
      </c>
      <c r="Y131">
        <v>16</v>
      </c>
      <c r="Z131">
        <v>20</v>
      </c>
      <c r="AA131">
        <v>27</v>
      </c>
      <c r="AB131">
        <v>18</v>
      </c>
      <c r="AC131">
        <v>19</v>
      </c>
      <c r="AD131">
        <v>14</v>
      </c>
      <c r="AE131">
        <v>19</v>
      </c>
      <c r="AF131">
        <v>8</v>
      </c>
      <c r="AG131">
        <v>14</v>
      </c>
      <c r="AH131">
        <v>20</v>
      </c>
      <c r="AI131">
        <v>12</v>
      </c>
      <c r="AJ131">
        <v>17</v>
      </c>
      <c r="AK131">
        <v>23</v>
      </c>
      <c r="AL131">
        <v>5</v>
      </c>
      <c r="AM131">
        <v>16</v>
      </c>
      <c r="AN131">
        <v>21</v>
      </c>
      <c r="AO131">
        <v>18</v>
      </c>
      <c r="AP131">
        <v>22</v>
      </c>
      <c r="AQ131">
        <v>16</v>
      </c>
      <c r="AR131">
        <v>10</v>
      </c>
      <c r="AS131">
        <v>13</v>
      </c>
      <c r="AT131">
        <v>19</v>
      </c>
      <c r="AU131">
        <v>15</v>
      </c>
      <c r="AV131">
        <v>19</v>
      </c>
      <c r="AW131">
        <v>18</v>
      </c>
      <c r="AX131">
        <v>9</v>
      </c>
      <c r="AY131">
        <v>4</v>
      </c>
      <c r="AZ131">
        <v>7</v>
      </c>
      <c r="BA131">
        <v>8</v>
      </c>
      <c r="BB131">
        <v>6</v>
      </c>
      <c r="BC131">
        <v>-66</v>
      </c>
      <c r="BD131">
        <v>-18</v>
      </c>
      <c r="BE131">
        <v>-32</v>
      </c>
      <c r="BF131">
        <v>-27</v>
      </c>
      <c r="BG131">
        <v>18</v>
      </c>
      <c r="BH131">
        <v>-2</v>
      </c>
      <c r="BI131">
        <v>10</v>
      </c>
      <c r="BJ131">
        <v>-45</v>
      </c>
      <c r="BK131">
        <v>-11</v>
      </c>
      <c r="BL131">
        <v>-6</v>
      </c>
      <c r="BM131">
        <v>0</v>
      </c>
      <c r="BN131">
        <v>-11</v>
      </c>
      <c r="BO131">
        <v>4</v>
      </c>
      <c r="BP131">
        <v>-6</v>
      </c>
      <c r="BQ131">
        <v>-4</v>
      </c>
      <c r="BR131">
        <v>-15</v>
      </c>
      <c r="BS131">
        <v>-8</v>
      </c>
      <c r="BT131">
        <v>-14</v>
      </c>
      <c r="BU131">
        <v>-16</v>
      </c>
      <c r="BV131">
        <v>-16</v>
      </c>
    </row>
    <row r="132" spans="1:74" x14ac:dyDescent="0.25">
      <c r="A132" t="s">
        <v>466</v>
      </c>
      <c r="B132" t="s">
        <v>169</v>
      </c>
      <c r="C132" t="s">
        <v>100</v>
      </c>
      <c r="D132">
        <v>2.7290000000000001</v>
      </c>
      <c r="E132">
        <v>0</v>
      </c>
      <c r="F132">
        <v>-6</v>
      </c>
      <c r="G132">
        <v>14</v>
      </c>
      <c r="H132">
        <v>4</v>
      </c>
      <c r="I132">
        <v>5</v>
      </c>
      <c r="J132">
        <v>-13</v>
      </c>
      <c r="K132">
        <v>-4</v>
      </c>
      <c r="L132">
        <v>15</v>
      </c>
      <c r="M132">
        <v>14</v>
      </c>
      <c r="N132">
        <v>0</v>
      </c>
      <c r="O132">
        <v>7</v>
      </c>
      <c r="P132">
        <v>19</v>
      </c>
      <c r="Q132">
        <v>19</v>
      </c>
      <c r="R132">
        <v>9</v>
      </c>
      <c r="S132">
        <v>6</v>
      </c>
      <c r="T132">
        <v>1</v>
      </c>
      <c r="U132">
        <v>-17</v>
      </c>
      <c r="V132">
        <v>-8</v>
      </c>
      <c r="W132">
        <v>-6</v>
      </c>
      <c r="X132">
        <v>-3</v>
      </c>
      <c r="Y132">
        <v>11</v>
      </c>
      <c r="Z132">
        <v>23</v>
      </c>
      <c r="AA132">
        <v>10</v>
      </c>
      <c r="AB132">
        <v>19</v>
      </c>
      <c r="AC132">
        <v>14</v>
      </c>
      <c r="AD132">
        <v>7</v>
      </c>
      <c r="AE132">
        <v>11</v>
      </c>
      <c r="AF132">
        <v>-2</v>
      </c>
      <c r="AG132">
        <v>7</v>
      </c>
      <c r="AH132">
        <v>4</v>
      </c>
      <c r="AI132">
        <v>6</v>
      </c>
      <c r="AJ132">
        <v>8</v>
      </c>
      <c r="AK132">
        <v>6</v>
      </c>
      <c r="AL132">
        <v>12</v>
      </c>
      <c r="AM132">
        <v>8</v>
      </c>
      <c r="AN132">
        <v>7</v>
      </c>
      <c r="AO132">
        <v>4</v>
      </c>
      <c r="AP132">
        <v>12</v>
      </c>
      <c r="AQ132">
        <v>14</v>
      </c>
      <c r="AR132">
        <v>13</v>
      </c>
      <c r="AS132">
        <v>12</v>
      </c>
      <c r="AT132">
        <v>15</v>
      </c>
      <c r="AU132">
        <v>14</v>
      </c>
      <c r="AV132">
        <v>23</v>
      </c>
      <c r="AW132">
        <v>24</v>
      </c>
      <c r="AX132">
        <v>15</v>
      </c>
      <c r="AY132">
        <v>5</v>
      </c>
      <c r="AZ132">
        <v>15</v>
      </c>
      <c r="BA132">
        <v>6</v>
      </c>
      <c r="BB132">
        <v>4</v>
      </c>
      <c r="BC132">
        <v>-42</v>
      </c>
      <c r="BD132">
        <v>-3</v>
      </c>
      <c r="BE132">
        <v>-16</v>
      </c>
      <c r="BF132">
        <v>-12</v>
      </c>
      <c r="BG132">
        <v>18</v>
      </c>
      <c r="BH132">
        <v>5</v>
      </c>
      <c r="BI132">
        <v>-5</v>
      </c>
      <c r="BJ132">
        <v>-39</v>
      </c>
      <c r="BK132">
        <v>-11</v>
      </c>
      <c r="BL132">
        <v>6</v>
      </c>
      <c r="BM132">
        <v>-7</v>
      </c>
      <c r="BN132">
        <v>-11</v>
      </c>
      <c r="BO132">
        <v>-10</v>
      </c>
      <c r="BP132">
        <v>-8</v>
      </c>
      <c r="BQ132">
        <v>-8</v>
      </c>
      <c r="BR132">
        <v>-14</v>
      </c>
      <c r="BS132">
        <v>-8</v>
      </c>
      <c r="BT132">
        <v>-2</v>
      </c>
      <c r="BU132">
        <v>-16</v>
      </c>
      <c r="BV132">
        <v>-9</v>
      </c>
    </row>
    <row r="133" spans="1:74" x14ac:dyDescent="0.25">
      <c r="A133" t="s">
        <v>467</v>
      </c>
      <c r="B133" t="s">
        <v>170</v>
      </c>
      <c r="C133" t="s">
        <v>100</v>
      </c>
      <c r="D133">
        <v>16.343</v>
      </c>
      <c r="E133">
        <v>21</v>
      </c>
      <c r="F133">
        <v>30</v>
      </c>
      <c r="G133">
        <v>19</v>
      </c>
      <c r="H133">
        <v>25</v>
      </c>
      <c r="I133">
        <v>29</v>
      </c>
      <c r="J133">
        <v>20</v>
      </c>
      <c r="K133">
        <v>24</v>
      </c>
      <c r="L133">
        <v>32</v>
      </c>
      <c r="M133">
        <v>34</v>
      </c>
      <c r="N133">
        <v>28</v>
      </c>
      <c r="O133">
        <v>36</v>
      </c>
      <c r="P133">
        <v>42</v>
      </c>
      <c r="Q133">
        <v>32</v>
      </c>
      <c r="R133">
        <v>32</v>
      </c>
      <c r="S133">
        <v>22</v>
      </c>
      <c r="T133">
        <v>15</v>
      </c>
      <c r="U133">
        <v>-14</v>
      </c>
      <c r="V133">
        <v>-18</v>
      </c>
      <c r="W133">
        <v>12</v>
      </c>
      <c r="X133">
        <v>14</v>
      </c>
      <c r="Y133">
        <v>26</v>
      </c>
      <c r="Z133">
        <v>32</v>
      </c>
      <c r="AA133">
        <v>33</v>
      </c>
      <c r="AB133">
        <v>30</v>
      </c>
      <c r="AC133">
        <v>24</v>
      </c>
      <c r="AD133">
        <v>24</v>
      </c>
      <c r="AE133">
        <v>20</v>
      </c>
      <c r="AF133">
        <v>15</v>
      </c>
      <c r="AG133">
        <v>18</v>
      </c>
      <c r="AH133">
        <v>18</v>
      </c>
      <c r="AI133">
        <v>23</v>
      </c>
      <c r="AJ133">
        <v>25</v>
      </c>
      <c r="AK133">
        <v>24</v>
      </c>
      <c r="AL133">
        <v>21</v>
      </c>
      <c r="AM133">
        <v>24</v>
      </c>
      <c r="AN133">
        <v>24</v>
      </c>
      <c r="AO133">
        <v>22</v>
      </c>
      <c r="AP133">
        <v>23</v>
      </c>
      <c r="AQ133">
        <v>25</v>
      </c>
      <c r="AR133">
        <v>27</v>
      </c>
      <c r="AS133">
        <v>25</v>
      </c>
      <c r="AT133">
        <v>25</v>
      </c>
      <c r="AU133">
        <v>27</v>
      </c>
      <c r="AV133">
        <v>29</v>
      </c>
      <c r="AW133">
        <v>25</v>
      </c>
      <c r="AX133">
        <v>23</v>
      </c>
      <c r="AY133">
        <v>22</v>
      </c>
      <c r="AZ133">
        <v>18</v>
      </c>
      <c r="BA133">
        <v>13</v>
      </c>
      <c r="BB133">
        <v>16</v>
      </c>
      <c r="BC133">
        <v>-40</v>
      </c>
      <c r="BD133">
        <v>6</v>
      </c>
      <c r="BE133">
        <v>3</v>
      </c>
      <c r="BF133">
        <v>16</v>
      </c>
      <c r="BG133">
        <v>27</v>
      </c>
      <c r="BH133">
        <v>19</v>
      </c>
      <c r="BI133">
        <v>0</v>
      </c>
      <c r="BJ133">
        <v>-24</v>
      </c>
      <c r="BK133">
        <v>3</v>
      </c>
      <c r="BL133">
        <v>11</v>
      </c>
      <c r="BM133">
        <v>-1</v>
      </c>
      <c r="BN133">
        <v>0</v>
      </c>
      <c r="BO133">
        <v>0</v>
      </c>
      <c r="BP133">
        <v>-1</v>
      </c>
      <c r="BQ133">
        <v>-1</v>
      </c>
      <c r="BR133">
        <v>2</v>
      </c>
      <c r="BS133">
        <v>1</v>
      </c>
      <c r="BT133">
        <v>-4</v>
      </c>
      <c r="BU133">
        <v>-9</v>
      </c>
      <c r="BV133">
        <v>0</v>
      </c>
    </row>
    <row r="134" spans="1:74" x14ac:dyDescent="0.25">
      <c r="A134" t="s">
        <v>468</v>
      </c>
      <c r="B134" t="s">
        <v>45</v>
      </c>
      <c r="C134" t="s">
        <v>101</v>
      </c>
    </row>
    <row r="135" spans="1:74" x14ac:dyDescent="0.25">
      <c r="A135" t="s">
        <v>469</v>
      </c>
      <c r="B135" t="s">
        <v>110</v>
      </c>
      <c r="C135" t="s">
        <v>101</v>
      </c>
      <c r="D135">
        <v>13.486000000000001</v>
      </c>
      <c r="E135">
        <v>23</v>
      </c>
      <c r="F135">
        <v>30</v>
      </c>
      <c r="G135">
        <v>21</v>
      </c>
      <c r="H135">
        <v>36</v>
      </c>
      <c r="I135">
        <v>31</v>
      </c>
      <c r="J135">
        <v>22</v>
      </c>
      <c r="K135">
        <v>32</v>
      </c>
      <c r="L135">
        <v>40</v>
      </c>
      <c r="M135">
        <v>35</v>
      </c>
      <c r="N135">
        <v>34</v>
      </c>
      <c r="O135">
        <v>41</v>
      </c>
      <c r="P135">
        <v>37</v>
      </c>
      <c r="Q135">
        <v>37</v>
      </c>
      <c r="R135">
        <v>35</v>
      </c>
      <c r="S135">
        <v>25</v>
      </c>
      <c r="T135">
        <v>13</v>
      </c>
      <c r="U135">
        <v>-35</v>
      </c>
      <c r="V135">
        <v>-34</v>
      </c>
      <c r="W135">
        <v>7</v>
      </c>
      <c r="X135">
        <v>24</v>
      </c>
      <c r="Y135">
        <v>34</v>
      </c>
      <c r="Z135">
        <v>37</v>
      </c>
      <c r="AA135">
        <v>41</v>
      </c>
      <c r="AB135">
        <v>35</v>
      </c>
      <c r="AC135">
        <v>17</v>
      </c>
      <c r="AD135">
        <v>17</v>
      </c>
      <c r="AE135">
        <v>22</v>
      </c>
      <c r="AF135">
        <v>7</v>
      </c>
      <c r="AG135">
        <v>16</v>
      </c>
      <c r="AH135">
        <v>17</v>
      </c>
      <c r="AI135">
        <v>23</v>
      </c>
      <c r="AJ135">
        <v>30</v>
      </c>
      <c r="AK135">
        <v>25</v>
      </c>
      <c r="AL135">
        <v>15</v>
      </c>
      <c r="AM135">
        <v>17</v>
      </c>
      <c r="AN135">
        <v>21</v>
      </c>
      <c r="AO135">
        <v>16</v>
      </c>
      <c r="AP135">
        <v>20</v>
      </c>
      <c r="AQ135">
        <v>17</v>
      </c>
      <c r="AR135">
        <v>16</v>
      </c>
      <c r="AS135">
        <v>23</v>
      </c>
      <c r="AT135">
        <v>24</v>
      </c>
      <c r="AU135">
        <v>25</v>
      </c>
      <c r="AV135">
        <v>31</v>
      </c>
      <c r="AW135">
        <v>24</v>
      </c>
      <c r="AX135">
        <v>17</v>
      </c>
      <c r="AY135">
        <v>13</v>
      </c>
      <c r="AZ135">
        <v>2</v>
      </c>
      <c r="BA135">
        <v>-12</v>
      </c>
      <c r="BB135">
        <v>0</v>
      </c>
      <c r="BC135">
        <v>-56</v>
      </c>
      <c r="BD135">
        <v>-4</v>
      </c>
      <c r="BE135">
        <v>9</v>
      </c>
      <c r="BF135">
        <v>17</v>
      </c>
      <c r="BG135">
        <v>21</v>
      </c>
      <c r="BH135">
        <v>20</v>
      </c>
      <c r="BI135">
        <v>-9</v>
      </c>
      <c r="BJ135">
        <v>-24</v>
      </c>
      <c r="BK135">
        <v>-1</v>
      </c>
      <c r="BL135">
        <v>1</v>
      </c>
      <c r="BM135">
        <v>-15</v>
      </c>
      <c r="BN135">
        <v>-7</v>
      </c>
      <c r="BO135">
        <v>-5</v>
      </c>
      <c r="BP135">
        <v>-12</v>
      </c>
      <c r="BQ135">
        <v>-8</v>
      </c>
      <c r="BR135">
        <v>-10</v>
      </c>
      <c r="BS135">
        <v>-10</v>
      </c>
      <c r="BT135">
        <v>0</v>
      </c>
      <c r="BU135">
        <v>-10</v>
      </c>
      <c r="BV135">
        <v>3</v>
      </c>
    </row>
    <row r="136" spans="1:74" x14ac:dyDescent="0.25">
      <c r="A136" t="s">
        <v>470</v>
      </c>
      <c r="B136" t="s">
        <v>111</v>
      </c>
      <c r="C136" t="s">
        <v>101</v>
      </c>
      <c r="D136">
        <v>-9.9139999999999997</v>
      </c>
      <c r="E136">
        <v>22</v>
      </c>
      <c r="F136">
        <v>4</v>
      </c>
      <c r="G136">
        <v>6</v>
      </c>
      <c r="H136">
        <v>-2</v>
      </c>
      <c r="I136">
        <v>6</v>
      </c>
      <c r="J136">
        <v>9</v>
      </c>
      <c r="K136">
        <v>9</v>
      </c>
      <c r="L136">
        <v>16</v>
      </c>
      <c r="M136">
        <v>22</v>
      </c>
      <c r="N136">
        <v>16</v>
      </c>
      <c r="O136">
        <v>17</v>
      </c>
      <c r="P136">
        <v>24</v>
      </c>
      <c r="Q136">
        <v>0</v>
      </c>
      <c r="R136">
        <v>-4</v>
      </c>
      <c r="S136">
        <v>13</v>
      </c>
      <c r="T136">
        <v>3</v>
      </c>
      <c r="U136">
        <v>-45</v>
      </c>
      <c r="V136">
        <v>-28</v>
      </c>
      <c r="W136">
        <v>-26</v>
      </c>
      <c r="X136">
        <v>3</v>
      </c>
      <c r="Y136">
        <v>5</v>
      </c>
      <c r="Z136">
        <v>8</v>
      </c>
      <c r="AA136">
        <v>11</v>
      </c>
      <c r="AB136">
        <v>-8</v>
      </c>
      <c r="AC136">
        <v>-4</v>
      </c>
      <c r="AD136">
        <v>1</v>
      </c>
      <c r="AE136">
        <v>-21</v>
      </c>
      <c r="AF136">
        <v>-26</v>
      </c>
      <c r="AG136">
        <v>-24</v>
      </c>
      <c r="AH136">
        <v>-25</v>
      </c>
      <c r="AI136">
        <v>-11</v>
      </c>
      <c r="AJ136">
        <v>-13</v>
      </c>
      <c r="AK136">
        <v>-21</v>
      </c>
      <c r="AL136">
        <v>-31</v>
      </c>
      <c r="AM136">
        <v>-8</v>
      </c>
      <c r="AN136">
        <v>-9</v>
      </c>
      <c r="AO136">
        <v>-16</v>
      </c>
      <c r="AP136">
        <v>-28</v>
      </c>
      <c r="AQ136">
        <v>-14</v>
      </c>
      <c r="AR136">
        <v>-6</v>
      </c>
      <c r="AS136">
        <v>-2</v>
      </c>
      <c r="AT136">
        <v>1</v>
      </c>
      <c r="AU136">
        <v>-15</v>
      </c>
      <c r="AV136">
        <v>-7</v>
      </c>
      <c r="AW136">
        <v>-11</v>
      </c>
      <c r="AX136">
        <v>-18</v>
      </c>
      <c r="AY136">
        <v>-9</v>
      </c>
      <c r="AZ136">
        <v>-4</v>
      </c>
      <c r="BA136">
        <v>-13</v>
      </c>
      <c r="BB136">
        <v>-10</v>
      </c>
      <c r="BC136">
        <v>-59</v>
      </c>
      <c r="BD136">
        <v>-19</v>
      </c>
      <c r="BE136">
        <v>-2</v>
      </c>
      <c r="BF136">
        <v>19</v>
      </c>
      <c r="BG136">
        <v>17</v>
      </c>
      <c r="BH136">
        <v>-2</v>
      </c>
      <c r="BI136">
        <v>-16</v>
      </c>
      <c r="BJ136">
        <v>-53</v>
      </c>
      <c r="BK136">
        <v>-33</v>
      </c>
      <c r="BL136">
        <v>-32</v>
      </c>
      <c r="BM136">
        <v>-48</v>
      </c>
      <c r="BN136">
        <v>-33</v>
      </c>
      <c r="BO136">
        <v>-17</v>
      </c>
      <c r="BP136">
        <v>-28</v>
      </c>
      <c r="BQ136">
        <v>-29</v>
      </c>
      <c r="BR136">
        <v>-21</v>
      </c>
      <c r="BS136">
        <v>-7</v>
      </c>
      <c r="BT136">
        <v>-19</v>
      </c>
      <c r="BU136">
        <v>-22</v>
      </c>
      <c r="BV136">
        <v>-27</v>
      </c>
    </row>
    <row r="137" spans="1:74" x14ac:dyDescent="0.25">
      <c r="A137" t="s">
        <v>471</v>
      </c>
      <c r="B137" t="s">
        <v>112</v>
      </c>
      <c r="C137" t="s">
        <v>101</v>
      </c>
      <c r="D137">
        <v>18.071000000000002</v>
      </c>
      <c r="E137">
        <v>20</v>
      </c>
      <c r="F137">
        <v>24</v>
      </c>
      <c r="G137">
        <v>15</v>
      </c>
      <c r="H137">
        <v>27</v>
      </c>
      <c r="I137">
        <v>29</v>
      </c>
      <c r="J137">
        <v>26</v>
      </c>
      <c r="K137">
        <v>31</v>
      </c>
      <c r="L137">
        <v>37</v>
      </c>
      <c r="M137">
        <v>35</v>
      </c>
      <c r="N137">
        <v>30</v>
      </c>
      <c r="O137">
        <v>34</v>
      </c>
      <c r="P137">
        <v>36</v>
      </c>
      <c r="Q137">
        <v>37</v>
      </c>
      <c r="R137">
        <v>34</v>
      </c>
      <c r="S137">
        <v>36</v>
      </c>
      <c r="T137">
        <v>21</v>
      </c>
      <c r="U137">
        <v>15</v>
      </c>
      <c r="V137">
        <v>-15</v>
      </c>
      <c r="W137">
        <v>16</v>
      </c>
      <c r="X137">
        <v>27</v>
      </c>
      <c r="Y137">
        <v>22</v>
      </c>
      <c r="Z137">
        <v>31</v>
      </c>
      <c r="AA137">
        <v>31</v>
      </c>
      <c r="AB137">
        <v>26</v>
      </c>
      <c r="AC137">
        <v>24</v>
      </c>
      <c r="AD137">
        <v>28</v>
      </c>
      <c r="AE137">
        <v>30</v>
      </c>
      <c r="AF137">
        <v>22</v>
      </c>
      <c r="AG137">
        <v>27</v>
      </c>
      <c r="AH137">
        <v>20</v>
      </c>
      <c r="AI137">
        <v>28</v>
      </c>
      <c r="AJ137">
        <v>31</v>
      </c>
      <c r="AK137">
        <v>33</v>
      </c>
      <c r="AL137">
        <v>28</v>
      </c>
      <c r="AM137">
        <v>24</v>
      </c>
      <c r="AN137">
        <v>24</v>
      </c>
      <c r="AO137">
        <v>22</v>
      </c>
      <c r="AP137">
        <v>32</v>
      </c>
      <c r="AQ137">
        <v>29</v>
      </c>
      <c r="AR137">
        <v>24</v>
      </c>
      <c r="AS137">
        <v>31</v>
      </c>
      <c r="AT137">
        <v>23</v>
      </c>
      <c r="AU137">
        <v>30</v>
      </c>
      <c r="AV137">
        <v>31</v>
      </c>
      <c r="AW137">
        <v>27</v>
      </c>
      <c r="AX137">
        <v>20</v>
      </c>
      <c r="AY137">
        <v>23</v>
      </c>
      <c r="AZ137">
        <v>16</v>
      </c>
      <c r="BA137">
        <v>11</v>
      </c>
      <c r="BB137">
        <v>19</v>
      </c>
      <c r="BC137">
        <v>-39</v>
      </c>
      <c r="BD137">
        <v>-12</v>
      </c>
      <c r="BE137">
        <v>0</v>
      </c>
      <c r="BF137">
        <v>9</v>
      </c>
      <c r="BG137">
        <v>11</v>
      </c>
      <c r="BH137">
        <v>14</v>
      </c>
      <c r="BI137">
        <v>-13</v>
      </c>
      <c r="BJ137">
        <v>-16</v>
      </c>
      <c r="BK137">
        <v>-6</v>
      </c>
      <c r="BL137">
        <v>-1</v>
      </c>
      <c r="BM137">
        <v>-1</v>
      </c>
      <c r="BN137">
        <v>1</v>
      </c>
      <c r="BO137">
        <v>17</v>
      </c>
      <c r="BP137">
        <v>8</v>
      </c>
      <c r="BQ137">
        <v>4</v>
      </c>
      <c r="BR137">
        <v>-1</v>
      </c>
      <c r="BS137">
        <v>1</v>
      </c>
      <c r="BT137">
        <v>3</v>
      </c>
      <c r="BU137">
        <v>-1</v>
      </c>
      <c r="BV137">
        <v>5</v>
      </c>
    </row>
    <row r="138" spans="1:74" x14ac:dyDescent="0.25">
      <c r="A138" t="s">
        <v>472</v>
      </c>
      <c r="B138" t="s">
        <v>113</v>
      </c>
      <c r="C138" t="s">
        <v>101</v>
      </c>
      <c r="D138">
        <v>19.786000000000001</v>
      </c>
      <c r="E138">
        <v>22</v>
      </c>
      <c r="F138">
        <v>23</v>
      </c>
      <c r="G138">
        <v>8</v>
      </c>
      <c r="H138">
        <v>15</v>
      </c>
      <c r="I138">
        <v>23</v>
      </c>
      <c r="J138">
        <v>12</v>
      </c>
      <c r="K138">
        <v>24</v>
      </c>
      <c r="L138">
        <v>29</v>
      </c>
      <c r="M138">
        <v>41</v>
      </c>
      <c r="N138">
        <v>27</v>
      </c>
      <c r="O138">
        <v>42</v>
      </c>
      <c r="P138">
        <v>44</v>
      </c>
      <c r="Q138">
        <v>39</v>
      </c>
      <c r="R138">
        <v>40</v>
      </c>
      <c r="S138">
        <v>27</v>
      </c>
      <c r="T138">
        <v>24</v>
      </c>
      <c r="U138">
        <v>5</v>
      </c>
      <c r="V138">
        <v>-14</v>
      </c>
      <c r="W138">
        <v>0</v>
      </c>
      <c r="X138">
        <v>4</v>
      </c>
      <c r="Y138">
        <v>25</v>
      </c>
      <c r="Z138">
        <v>39</v>
      </c>
      <c r="AA138">
        <v>32</v>
      </c>
      <c r="AB138">
        <v>17</v>
      </c>
      <c r="AC138">
        <v>17</v>
      </c>
      <c r="AD138">
        <v>36</v>
      </c>
      <c r="AE138">
        <v>35</v>
      </c>
      <c r="AF138">
        <v>38</v>
      </c>
      <c r="AG138">
        <v>40</v>
      </c>
      <c r="AH138">
        <v>32</v>
      </c>
      <c r="AI138">
        <v>37</v>
      </c>
      <c r="AJ138">
        <v>38</v>
      </c>
      <c r="AK138">
        <v>44</v>
      </c>
      <c r="AL138">
        <v>26</v>
      </c>
      <c r="AM138">
        <v>33</v>
      </c>
      <c r="AN138">
        <v>34</v>
      </c>
      <c r="AO138">
        <v>32</v>
      </c>
      <c r="AP138">
        <v>35</v>
      </c>
      <c r="AQ138">
        <v>39</v>
      </c>
      <c r="AR138">
        <v>39</v>
      </c>
      <c r="AS138">
        <v>37</v>
      </c>
      <c r="AT138">
        <v>45</v>
      </c>
      <c r="AU138">
        <v>23</v>
      </c>
      <c r="AV138">
        <v>33</v>
      </c>
      <c r="AW138">
        <v>22</v>
      </c>
      <c r="AX138">
        <v>28</v>
      </c>
      <c r="AY138">
        <v>22</v>
      </c>
      <c r="AZ138">
        <v>30</v>
      </c>
      <c r="BA138">
        <v>16</v>
      </c>
      <c r="BB138">
        <v>19</v>
      </c>
      <c r="BC138">
        <v>-67</v>
      </c>
      <c r="BD138">
        <v>-23</v>
      </c>
      <c r="BE138">
        <v>-1</v>
      </c>
      <c r="BF138">
        <v>7</v>
      </c>
      <c r="BG138">
        <v>43</v>
      </c>
      <c r="BH138">
        <v>28</v>
      </c>
      <c r="BI138">
        <v>21</v>
      </c>
      <c r="BJ138">
        <v>-14</v>
      </c>
      <c r="BK138">
        <v>-9</v>
      </c>
      <c r="BL138">
        <v>32</v>
      </c>
      <c r="BM138">
        <v>-4</v>
      </c>
      <c r="BN138">
        <v>-5</v>
      </c>
      <c r="BO138">
        <v>19</v>
      </c>
      <c r="BP138">
        <v>-6</v>
      </c>
      <c r="BQ138">
        <v>14</v>
      </c>
      <c r="BR138">
        <v>-2</v>
      </c>
      <c r="BS138">
        <v>-9</v>
      </c>
      <c r="BT138">
        <v>2</v>
      </c>
      <c r="BU138">
        <v>-18</v>
      </c>
      <c r="BV138">
        <v>-1</v>
      </c>
    </row>
    <row r="139" spans="1:74" x14ac:dyDescent="0.25">
      <c r="A139" t="s">
        <v>473</v>
      </c>
      <c r="B139" t="s">
        <v>114</v>
      </c>
      <c r="C139" t="s">
        <v>101</v>
      </c>
      <c r="D139">
        <v>7.9710000000000001</v>
      </c>
      <c r="E139">
        <v>12</v>
      </c>
      <c r="F139">
        <v>27</v>
      </c>
      <c r="G139">
        <v>9</v>
      </c>
      <c r="H139">
        <v>31</v>
      </c>
      <c r="I139">
        <v>24</v>
      </c>
      <c r="J139">
        <v>19</v>
      </c>
      <c r="K139">
        <v>25</v>
      </c>
      <c r="L139">
        <v>33</v>
      </c>
      <c r="M139">
        <v>30</v>
      </c>
      <c r="N139">
        <v>29</v>
      </c>
      <c r="O139">
        <v>35</v>
      </c>
      <c r="P139">
        <v>37</v>
      </c>
      <c r="Q139">
        <v>39</v>
      </c>
      <c r="R139">
        <v>32</v>
      </c>
      <c r="S139">
        <v>22</v>
      </c>
      <c r="T139">
        <v>12</v>
      </c>
      <c r="U139">
        <v>-26</v>
      </c>
      <c r="V139">
        <v>-42</v>
      </c>
      <c r="W139">
        <v>1</v>
      </c>
      <c r="X139">
        <v>12</v>
      </c>
      <c r="Y139">
        <v>22</v>
      </c>
      <c r="Z139">
        <v>29</v>
      </c>
      <c r="AA139">
        <v>30</v>
      </c>
      <c r="AB139">
        <v>26</v>
      </c>
      <c r="AC139">
        <v>16</v>
      </c>
      <c r="AD139">
        <v>9</v>
      </c>
      <c r="AE139">
        <v>19</v>
      </c>
      <c r="AF139">
        <v>12</v>
      </c>
      <c r="AG139">
        <v>15</v>
      </c>
      <c r="AH139">
        <v>16</v>
      </c>
      <c r="AI139">
        <v>19</v>
      </c>
      <c r="AJ139">
        <v>30</v>
      </c>
      <c r="AK139">
        <v>22</v>
      </c>
      <c r="AL139">
        <v>14</v>
      </c>
      <c r="AM139">
        <v>4</v>
      </c>
      <c r="AN139">
        <v>15</v>
      </c>
      <c r="AO139">
        <v>11</v>
      </c>
      <c r="AP139">
        <v>15</v>
      </c>
      <c r="AQ139">
        <v>8</v>
      </c>
      <c r="AR139">
        <v>7</v>
      </c>
      <c r="AS139">
        <v>15</v>
      </c>
      <c r="AT139">
        <v>14</v>
      </c>
      <c r="AU139">
        <v>11</v>
      </c>
      <c r="AV139">
        <v>22</v>
      </c>
      <c r="AW139">
        <v>5</v>
      </c>
      <c r="AX139">
        <v>16</v>
      </c>
      <c r="AY139">
        <v>6</v>
      </c>
      <c r="AZ139">
        <v>5</v>
      </c>
      <c r="BA139">
        <v>-12</v>
      </c>
      <c r="BB139">
        <v>-2</v>
      </c>
      <c r="BC139">
        <v>-65</v>
      </c>
      <c r="BD139">
        <v>-13</v>
      </c>
      <c r="BE139">
        <v>-11</v>
      </c>
      <c r="BF139">
        <v>-3</v>
      </c>
      <c r="BG139">
        <v>19</v>
      </c>
      <c r="BH139">
        <v>15</v>
      </c>
      <c r="BI139">
        <v>-3</v>
      </c>
      <c r="BJ139">
        <v>-37</v>
      </c>
      <c r="BK139">
        <v>-10</v>
      </c>
      <c r="BL139">
        <v>-5</v>
      </c>
      <c r="BM139">
        <v>-21</v>
      </c>
      <c r="BN139">
        <v>-19</v>
      </c>
      <c r="BO139">
        <v>-7</v>
      </c>
      <c r="BP139">
        <v>-10</v>
      </c>
      <c r="BQ139">
        <v>-7</v>
      </c>
      <c r="BR139">
        <v>-16</v>
      </c>
      <c r="BS139">
        <v>-11</v>
      </c>
      <c r="BT139">
        <v>-5</v>
      </c>
      <c r="BU139">
        <v>-11</v>
      </c>
      <c r="BV139">
        <v>-2</v>
      </c>
    </row>
    <row r="140" spans="1:74" x14ac:dyDescent="0.25">
      <c r="A140" t="s">
        <v>474</v>
      </c>
      <c r="B140" t="s">
        <v>115</v>
      </c>
      <c r="C140" t="s">
        <v>101</v>
      </c>
      <c r="D140">
        <v>7.843</v>
      </c>
      <c r="E140">
        <v>20</v>
      </c>
      <c r="F140">
        <v>28</v>
      </c>
      <c r="G140">
        <v>16</v>
      </c>
      <c r="H140">
        <v>30</v>
      </c>
      <c r="I140">
        <v>20</v>
      </c>
      <c r="J140">
        <v>15</v>
      </c>
      <c r="K140">
        <v>25</v>
      </c>
      <c r="L140">
        <v>29</v>
      </c>
      <c r="M140">
        <v>24</v>
      </c>
      <c r="N140">
        <v>31</v>
      </c>
      <c r="O140">
        <v>33</v>
      </c>
      <c r="P140">
        <v>33</v>
      </c>
      <c r="Q140">
        <v>34</v>
      </c>
      <c r="R140">
        <v>31</v>
      </c>
      <c r="S140">
        <v>18</v>
      </c>
      <c r="T140">
        <v>9</v>
      </c>
      <c r="U140">
        <v>-21</v>
      </c>
      <c r="V140">
        <v>-40</v>
      </c>
      <c r="W140">
        <v>9</v>
      </c>
      <c r="X140">
        <v>17</v>
      </c>
      <c r="Y140">
        <v>20</v>
      </c>
      <c r="Z140">
        <v>28</v>
      </c>
      <c r="AA140">
        <v>26</v>
      </c>
      <c r="AB140">
        <v>23</v>
      </c>
      <c r="AC140">
        <v>18</v>
      </c>
      <c r="AD140">
        <v>4</v>
      </c>
      <c r="AE140">
        <v>20</v>
      </c>
      <c r="AF140">
        <v>5</v>
      </c>
      <c r="AG140">
        <v>10</v>
      </c>
      <c r="AH140">
        <v>19</v>
      </c>
      <c r="AI140">
        <v>17</v>
      </c>
      <c r="AJ140">
        <v>27</v>
      </c>
      <c r="AK140">
        <v>22</v>
      </c>
      <c r="AL140">
        <v>18</v>
      </c>
      <c r="AM140">
        <v>11</v>
      </c>
      <c r="AN140">
        <v>23</v>
      </c>
      <c r="AO140">
        <v>10</v>
      </c>
      <c r="AP140">
        <v>14</v>
      </c>
      <c r="AQ140">
        <v>6</v>
      </c>
      <c r="AR140">
        <v>3</v>
      </c>
      <c r="AS140">
        <v>14</v>
      </c>
      <c r="AT140">
        <v>19</v>
      </c>
      <c r="AU140">
        <v>15</v>
      </c>
      <c r="AV140">
        <v>21</v>
      </c>
      <c r="AW140">
        <v>2</v>
      </c>
      <c r="AX140">
        <v>23</v>
      </c>
      <c r="AY140">
        <v>11</v>
      </c>
      <c r="AZ140">
        <v>2</v>
      </c>
      <c r="BA140">
        <v>-7</v>
      </c>
      <c r="BB140">
        <v>1</v>
      </c>
      <c r="BC140">
        <v>-55</v>
      </c>
      <c r="BD140">
        <v>-7</v>
      </c>
      <c r="BE140">
        <v>-6</v>
      </c>
      <c r="BF140">
        <v>-3</v>
      </c>
      <c r="BG140">
        <v>7</v>
      </c>
      <c r="BH140">
        <v>13</v>
      </c>
      <c r="BI140">
        <v>-11</v>
      </c>
      <c r="BJ140">
        <v>-41</v>
      </c>
      <c r="BK140">
        <v>-19</v>
      </c>
      <c r="BL140">
        <v>-10</v>
      </c>
      <c r="BM140">
        <v>-27</v>
      </c>
      <c r="BN140">
        <v>-24</v>
      </c>
      <c r="BO140">
        <v>-6</v>
      </c>
      <c r="BP140">
        <v>-7</v>
      </c>
      <c r="BQ140">
        <v>-1</v>
      </c>
      <c r="BR140">
        <v>-17</v>
      </c>
      <c r="BS140">
        <v>-6</v>
      </c>
      <c r="BT140">
        <v>-5</v>
      </c>
      <c r="BU140">
        <v>-9</v>
      </c>
      <c r="BV140">
        <v>-3</v>
      </c>
    </row>
    <row r="141" spans="1:74" x14ac:dyDescent="0.25">
      <c r="A141" t="s">
        <v>475</v>
      </c>
      <c r="B141" t="s">
        <v>116</v>
      </c>
      <c r="C141" t="s">
        <v>101</v>
      </c>
      <c r="D141">
        <v>5.4429999999999996</v>
      </c>
      <c r="E141">
        <v>13</v>
      </c>
      <c r="F141">
        <v>25</v>
      </c>
      <c r="G141">
        <v>28</v>
      </c>
      <c r="H141">
        <v>38</v>
      </c>
      <c r="I141">
        <v>41</v>
      </c>
      <c r="J141">
        <v>21</v>
      </c>
      <c r="K141">
        <v>37</v>
      </c>
      <c r="L141">
        <v>44</v>
      </c>
      <c r="M141">
        <v>30</v>
      </c>
      <c r="N141">
        <v>31</v>
      </c>
      <c r="O141">
        <v>42</v>
      </c>
      <c r="P141">
        <v>39</v>
      </c>
      <c r="Q141">
        <v>31</v>
      </c>
      <c r="R141">
        <v>24</v>
      </c>
      <c r="S141">
        <v>21</v>
      </c>
      <c r="T141">
        <v>4</v>
      </c>
      <c r="U141">
        <v>-33</v>
      </c>
      <c r="V141">
        <v>-40</v>
      </c>
      <c r="W141">
        <v>-8</v>
      </c>
      <c r="X141">
        <v>-5</v>
      </c>
      <c r="Y141">
        <v>16</v>
      </c>
      <c r="Z141">
        <v>26</v>
      </c>
      <c r="AA141">
        <v>21</v>
      </c>
      <c r="AB141">
        <v>4</v>
      </c>
      <c r="AC141">
        <v>0</v>
      </c>
      <c r="AD141">
        <v>0</v>
      </c>
      <c r="AE141">
        <v>6</v>
      </c>
      <c r="AF141">
        <v>-8</v>
      </c>
      <c r="AG141">
        <v>-1</v>
      </c>
      <c r="AH141">
        <v>11</v>
      </c>
      <c r="AI141">
        <v>15</v>
      </c>
      <c r="AJ141">
        <v>18</v>
      </c>
      <c r="AK141">
        <v>13</v>
      </c>
      <c r="AL141">
        <v>-2</v>
      </c>
      <c r="AM141">
        <v>7</v>
      </c>
      <c r="AN141">
        <v>24</v>
      </c>
      <c r="AO141">
        <v>10</v>
      </c>
      <c r="AP141">
        <v>4</v>
      </c>
      <c r="AQ141">
        <v>15</v>
      </c>
      <c r="AR141">
        <v>9</v>
      </c>
      <c r="AS141">
        <v>11</v>
      </c>
      <c r="AT141">
        <v>12</v>
      </c>
      <c r="AU141">
        <v>10</v>
      </c>
      <c r="AV141">
        <v>24</v>
      </c>
      <c r="AW141">
        <v>19</v>
      </c>
      <c r="AX141">
        <v>11</v>
      </c>
      <c r="AY141">
        <v>10</v>
      </c>
      <c r="AZ141">
        <v>-2</v>
      </c>
      <c r="BA141">
        <v>-8</v>
      </c>
      <c r="BB141">
        <v>1</v>
      </c>
      <c r="BC141">
        <v>-51</v>
      </c>
      <c r="BD141">
        <v>-16</v>
      </c>
      <c r="BE141">
        <v>0</v>
      </c>
      <c r="BF141">
        <v>27</v>
      </c>
      <c r="BG141">
        <v>1</v>
      </c>
      <c r="BH141">
        <v>6</v>
      </c>
      <c r="BI141">
        <v>-19</v>
      </c>
      <c r="BJ141">
        <v>-45</v>
      </c>
      <c r="BK141">
        <v>-19</v>
      </c>
      <c r="BL141">
        <v>-18</v>
      </c>
      <c r="BM141">
        <v>-33</v>
      </c>
      <c r="BN141">
        <v>-17</v>
      </c>
      <c r="BO141">
        <v>-15</v>
      </c>
      <c r="BP141">
        <v>-14</v>
      </c>
      <c r="BQ141">
        <v>-13</v>
      </c>
      <c r="BR141">
        <v>-9</v>
      </c>
      <c r="BS141">
        <v>-2</v>
      </c>
      <c r="BT141">
        <v>-17</v>
      </c>
      <c r="BU141">
        <v>-22</v>
      </c>
      <c r="BV141">
        <v>-2</v>
      </c>
    </row>
    <row r="142" spans="1:74" x14ac:dyDescent="0.25">
      <c r="A142" t="s">
        <v>476</v>
      </c>
      <c r="B142" t="s">
        <v>117</v>
      </c>
      <c r="C142" t="s">
        <v>101</v>
      </c>
      <c r="D142">
        <v>7.4569999999999999</v>
      </c>
      <c r="E142">
        <v>20</v>
      </c>
      <c r="F142">
        <v>22</v>
      </c>
      <c r="G142">
        <v>18</v>
      </c>
      <c r="H142">
        <v>30</v>
      </c>
      <c r="I142">
        <v>23</v>
      </c>
      <c r="J142">
        <v>16</v>
      </c>
      <c r="K142">
        <v>30</v>
      </c>
      <c r="L142">
        <v>32</v>
      </c>
      <c r="M142">
        <v>28</v>
      </c>
      <c r="N142">
        <v>30</v>
      </c>
      <c r="O142">
        <v>31</v>
      </c>
      <c r="P142">
        <v>28</v>
      </c>
      <c r="Q142">
        <v>23</v>
      </c>
      <c r="R142">
        <v>23</v>
      </c>
      <c r="S142">
        <v>13</v>
      </c>
      <c r="T142">
        <v>13</v>
      </c>
      <c r="U142">
        <v>-30</v>
      </c>
      <c r="V142">
        <v>-24</v>
      </c>
      <c r="W142">
        <v>9</v>
      </c>
      <c r="X142">
        <v>23</v>
      </c>
      <c r="Y142">
        <v>25</v>
      </c>
      <c r="Z142">
        <v>26</v>
      </c>
      <c r="AA142">
        <v>27</v>
      </c>
      <c r="AB142">
        <v>26</v>
      </c>
      <c r="AC142">
        <v>9</v>
      </c>
      <c r="AD142">
        <v>14</v>
      </c>
      <c r="AE142">
        <v>17</v>
      </c>
      <c r="AF142">
        <v>2</v>
      </c>
      <c r="AG142">
        <v>12</v>
      </c>
      <c r="AH142">
        <v>12</v>
      </c>
      <c r="AI142">
        <v>10</v>
      </c>
      <c r="AJ142">
        <v>19</v>
      </c>
      <c r="AK142">
        <v>13</v>
      </c>
      <c r="AL142">
        <v>20</v>
      </c>
      <c r="AM142">
        <v>3</v>
      </c>
      <c r="AN142">
        <v>8</v>
      </c>
      <c r="AO142">
        <v>11</v>
      </c>
      <c r="AP142">
        <v>17</v>
      </c>
      <c r="AQ142">
        <v>14</v>
      </c>
      <c r="AR142">
        <v>8</v>
      </c>
      <c r="AS142">
        <v>24</v>
      </c>
      <c r="AT142">
        <v>19</v>
      </c>
      <c r="AU142">
        <v>21</v>
      </c>
      <c r="AV142">
        <v>16</v>
      </c>
      <c r="AW142">
        <v>14</v>
      </c>
      <c r="AX142">
        <v>8</v>
      </c>
      <c r="AY142">
        <v>4</v>
      </c>
      <c r="AZ142">
        <v>-6</v>
      </c>
      <c r="BA142">
        <v>-12</v>
      </c>
      <c r="BB142">
        <v>0</v>
      </c>
      <c r="BC142">
        <v>-37</v>
      </c>
      <c r="BD142">
        <v>-7</v>
      </c>
      <c r="BE142">
        <v>-9</v>
      </c>
      <c r="BF142">
        <v>6</v>
      </c>
      <c r="BG142">
        <v>16</v>
      </c>
      <c r="BH142">
        <v>8</v>
      </c>
      <c r="BI142">
        <v>-16</v>
      </c>
      <c r="BJ142">
        <v>-37</v>
      </c>
      <c r="BK142">
        <v>-23</v>
      </c>
      <c r="BL142">
        <v>-1</v>
      </c>
      <c r="BM142">
        <v>-20</v>
      </c>
      <c r="BN142">
        <v>-3</v>
      </c>
      <c r="BO142">
        <v>0</v>
      </c>
      <c r="BP142">
        <v>-15</v>
      </c>
      <c r="BQ142">
        <v>-11</v>
      </c>
      <c r="BR142">
        <v>-8</v>
      </c>
      <c r="BS142">
        <v>-15</v>
      </c>
      <c r="BT142">
        <v>-13</v>
      </c>
      <c r="BU142">
        <v>-22</v>
      </c>
      <c r="BV142">
        <v>-10</v>
      </c>
    </row>
    <row r="143" spans="1:74" x14ac:dyDescent="0.25">
      <c r="A143" t="s">
        <v>477</v>
      </c>
      <c r="B143" t="s">
        <v>118</v>
      </c>
      <c r="C143" t="s">
        <v>101</v>
      </c>
      <c r="D143">
        <v>-2.5</v>
      </c>
      <c r="E143">
        <v>1</v>
      </c>
      <c r="F143">
        <v>13</v>
      </c>
      <c r="G143">
        <v>6</v>
      </c>
      <c r="H143">
        <v>16</v>
      </c>
      <c r="I143">
        <v>15</v>
      </c>
      <c r="J143">
        <v>7</v>
      </c>
      <c r="K143">
        <v>14</v>
      </c>
      <c r="L143">
        <v>16</v>
      </c>
      <c r="M143">
        <v>20</v>
      </c>
      <c r="N143">
        <v>13</v>
      </c>
      <c r="O143">
        <v>23</v>
      </c>
      <c r="P143">
        <v>25</v>
      </c>
      <c r="Q143">
        <v>13</v>
      </c>
      <c r="R143">
        <v>15</v>
      </c>
      <c r="S143">
        <v>14</v>
      </c>
      <c r="T143">
        <v>-1</v>
      </c>
      <c r="U143">
        <v>-7</v>
      </c>
      <c r="V143">
        <v>-30</v>
      </c>
      <c r="W143">
        <v>-8</v>
      </c>
      <c r="X143">
        <v>10</v>
      </c>
      <c r="Y143">
        <v>15</v>
      </c>
      <c r="Z143">
        <v>18</v>
      </c>
      <c r="AA143">
        <v>12</v>
      </c>
      <c r="AB143">
        <v>13</v>
      </c>
      <c r="AC143">
        <v>4</v>
      </c>
      <c r="AD143">
        <v>5</v>
      </c>
      <c r="AE143">
        <v>8</v>
      </c>
      <c r="AF143">
        <v>-7</v>
      </c>
      <c r="AG143">
        <v>4</v>
      </c>
      <c r="AH143">
        <v>-3</v>
      </c>
      <c r="AI143">
        <v>3</v>
      </c>
      <c r="AJ143">
        <v>0</v>
      </c>
      <c r="AK143">
        <v>9</v>
      </c>
      <c r="AL143">
        <v>8</v>
      </c>
      <c r="AM143">
        <v>-3</v>
      </c>
      <c r="AN143">
        <v>-4</v>
      </c>
      <c r="AO143">
        <v>2</v>
      </c>
      <c r="AP143">
        <v>-2</v>
      </c>
      <c r="AQ143">
        <v>-1</v>
      </c>
      <c r="AR143">
        <v>-7</v>
      </c>
      <c r="AS143">
        <v>-16</v>
      </c>
      <c r="AT143">
        <v>-4</v>
      </c>
      <c r="AU143">
        <v>1</v>
      </c>
      <c r="AV143">
        <v>2</v>
      </c>
      <c r="AW143">
        <v>-6</v>
      </c>
      <c r="AX143">
        <v>-3</v>
      </c>
      <c r="AY143">
        <v>0</v>
      </c>
      <c r="AZ143">
        <v>-6</v>
      </c>
      <c r="BA143">
        <v>-7</v>
      </c>
      <c r="BB143">
        <v>-8</v>
      </c>
      <c r="BC143">
        <v>-55</v>
      </c>
      <c r="BD143">
        <v>-11</v>
      </c>
      <c r="BE143">
        <v>-12</v>
      </c>
      <c r="BF143">
        <v>-11</v>
      </c>
      <c r="BG143">
        <v>7</v>
      </c>
      <c r="BH143">
        <v>-10</v>
      </c>
      <c r="BI143">
        <v>-23</v>
      </c>
      <c r="BJ143">
        <v>-29</v>
      </c>
      <c r="BK143">
        <v>-15</v>
      </c>
      <c r="BL143">
        <v>-13</v>
      </c>
      <c r="BM143">
        <v>-22</v>
      </c>
      <c r="BN143">
        <v>-30</v>
      </c>
      <c r="BO143">
        <v>-18</v>
      </c>
      <c r="BP143">
        <v>-21</v>
      </c>
      <c r="BQ143">
        <v>-9</v>
      </c>
      <c r="BR143">
        <v>-25</v>
      </c>
      <c r="BS143">
        <v>-21</v>
      </c>
      <c r="BT143">
        <v>-16</v>
      </c>
      <c r="BU143">
        <v>-28</v>
      </c>
      <c r="BV143">
        <v>-15</v>
      </c>
    </row>
    <row r="144" spans="1:74" x14ac:dyDescent="0.25">
      <c r="A144" t="s">
        <v>478</v>
      </c>
      <c r="B144" t="s">
        <v>119</v>
      </c>
      <c r="C144" t="s">
        <v>101</v>
      </c>
      <c r="D144">
        <v>20.329000000000001</v>
      </c>
      <c r="E144">
        <v>37</v>
      </c>
      <c r="F144">
        <v>35</v>
      </c>
      <c r="G144">
        <v>34</v>
      </c>
      <c r="H144">
        <v>45</v>
      </c>
      <c r="I144">
        <v>46</v>
      </c>
      <c r="J144">
        <v>36</v>
      </c>
      <c r="K144">
        <v>41</v>
      </c>
      <c r="L144">
        <v>46</v>
      </c>
      <c r="M144">
        <v>41</v>
      </c>
      <c r="N144">
        <v>37</v>
      </c>
      <c r="O144">
        <v>48</v>
      </c>
      <c r="P144">
        <v>37</v>
      </c>
      <c r="Q144">
        <v>45</v>
      </c>
      <c r="R144">
        <v>35</v>
      </c>
      <c r="S144">
        <v>30</v>
      </c>
      <c r="T144">
        <v>21</v>
      </c>
      <c r="U144">
        <v>-27</v>
      </c>
      <c r="V144">
        <v>-11</v>
      </c>
      <c r="W144">
        <v>26</v>
      </c>
      <c r="X144">
        <v>41</v>
      </c>
      <c r="Y144">
        <v>45</v>
      </c>
      <c r="Z144">
        <v>35</v>
      </c>
      <c r="AA144">
        <v>44</v>
      </c>
      <c r="AB144">
        <v>37</v>
      </c>
      <c r="AC144">
        <v>20</v>
      </c>
      <c r="AD144">
        <v>27</v>
      </c>
      <c r="AE144">
        <v>35</v>
      </c>
      <c r="AF144">
        <v>16</v>
      </c>
      <c r="AG144">
        <v>27</v>
      </c>
      <c r="AH144">
        <v>25</v>
      </c>
      <c r="AI144">
        <v>32</v>
      </c>
      <c r="AJ144">
        <v>44</v>
      </c>
      <c r="AK144">
        <v>33</v>
      </c>
      <c r="AL144">
        <v>19</v>
      </c>
      <c r="AM144">
        <v>33</v>
      </c>
      <c r="AN144">
        <v>29</v>
      </c>
      <c r="AO144">
        <v>26</v>
      </c>
      <c r="AP144">
        <v>32</v>
      </c>
      <c r="AQ144">
        <v>27</v>
      </c>
      <c r="AR144">
        <v>24</v>
      </c>
      <c r="AS144">
        <v>34</v>
      </c>
      <c r="AT144">
        <v>34</v>
      </c>
      <c r="AU144">
        <v>36</v>
      </c>
      <c r="AV144">
        <v>43</v>
      </c>
      <c r="AW144">
        <v>30</v>
      </c>
      <c r="AX144">
        <v>19</v>
      </c>
      <c r="AY144">
        <v>17</v>
      </c>
      <c r="AZ144">
        <v>9</v>
      </c>
      <c r="BA144">
        <v>0</v>
      </c>
      <c r="BB144">
        <v>12</v>
      </c>
      <c r="BC144">
        <v>-49</v>
      </c>
      <c r="BD144">
        <v>1</v>
      </c>
      <c r="BE144">
        <v>18</v>
      </c>
      <c r="BF144">
        <v>20</v>
      </c>
      <c r="BG144">
        <v>22</v>
      </c>
      <c r="BH144">
        <v>18</v>
      </c>
      <c r="BI144">
        <v>-16</v>
      </c>
      <c r="BJ144">
        <v>-29</v>
      </c>
      <c r="BK144">
        <v>-2</v>
      </c>
      <c r="BL144">
        <v>2</v>
      </c>
      <c r="BM144">
        <v>-11</v>
      </c>
      <c r="BN144">
        <v>-1</v>
      </c>
      <c r="BO144">
        <v>8</v>
      </c>
      <c r="BP144">
        <v>-4</v>
      </c>
      <c r="BQ144">
        <v>-5</v>
      </c>
      <c r="BR144">
        <v>-10</v>
      </c>
      <c r="BS144">
        <v>-16</v>
      </c>
      <c r="BT144">
        <v>0</v>
      </c>
      <c r="BU144">
        <v>-16</v>
      </c>
      <c r="BV144">
        <v>6</v>
      </c>
    </row>
    <row r="145" spans="1:74" x14ac:dyDescent="0.25">
      <c r="A145" t="s">
        <v>479</v>
      </c>
      <c r="B145" t="s">
        <v>120</v>
      </c>
      <c r="C145" t="s">
        <v>101</v>
      </c>
      <c r="D145">
        <v>32.343000000000004</v>
      </c>
      <c r="E145">
        <v>39</v>
      </c>
      <c r="F145">
        <v>45</v>
      </c>
      <c r="G145">
        <v>41</v>
      </c>
      <c r="H145">
        <v>42</v>
      </c>
      <c r="I145">
        <v>32</v>
      </c>
      <c r="J145">
        <v>35</v>
      </c>
      <c r="K145">
        <v>50</v>
      </c>
      <c r="L145">
        <v>59</v>
      </c>
      <c r="M145">
        <v>60</v>
      </c>
      <c r="N145">
        <v>41</v>
      </c>
      <c r="O145">
        <v>64</v>
      </c>
      <c r="P145">
        <v>53</v>
      </c>
      <c r="Q145">
        <v>42</v>
      </c>
      <c r="R145">
        <v>53</v>
      </c>
      <c r="S145">
        <v>56</v>
      </c>
      <c r="T145">
        <v>32</v>
      </c>
      <c r="U145">
        <v>11</v>
      </c>
      <c r="V145">
        <v>-11</v>
      </c>
      <c r="W145">
        <v>42</v>
      </c>
      <c r="X145">
        <v>34</v>
      </c>
      <c r="Y145">
        <v>37</v>
      </c>
      <c r="Z145">
        <v>52</v>
      </c>
      <c r="AA145">
        <v>44</v>
      </c>
      <c r="AB145">
        <v>46</v>
      </c>
      <c r="AC145">
        <v>34</v>
      </c>
      <c r="AD145">
        <v>51</v>
      </c>
      <c r="AE145">
        <v>40</v>
      </c>
      <c r="AF145">
        <v>31</v>
      </c>
      <c r="AG145">
        <v>44</v>
      </c>
      <c r="AH145">
        <v>36</v>
      </c>
      <c r="AI145">
        <v>41</v>
      </c>
      <c r="AJ145">
        <v>44</v>
      </c>
      <c r="AK145">
        <v>28</v>
      </c>
      <c r="AL145">
        <v>29</v>
      </c>
      <c r="AM145">
        <v>34</v>
      </c>
      <c r="AN145">
        <v>33</v>
      </c>
      <c r="AO145">
        <v>34</v>
      </c>
      <c r="AP145">
        <v>33</v>
      </c>
      <c r="AQ145">
        <v>43</v>
      </c>
      <c r="AR145">
        <v>26</v>
      </c>
      <c r="AS145">
        <v>42</v>
      </c>
      <c r="AT145">
        <v>45</v>
      </c>
      <c r="AU145">
        <v>32</v>
      </c>
      <c r="AV145">
        <v>39</v>
      </c>
      <c r="AW145">
        <v>43</v>
      </c>
      <c r="AX145">
        <v>28</v>
      </c>
      <c r="AY145">
        <v>23</v>
      </c>
      <c r="AZ145">
        <v>39</v>
      </c>
      <c r="BA145">
        <v>27</v>
      </c>
      <c r="BB145">
        <v>35</v>
      </c>
      <c r="BC145">
        <v>-23</v>
      </c>
      <c r="BD145">
        <v>8</v>
      </c>
      <c r="BE145">
        <v>29</v>
      </c>
      <c r="BF145">
        <v>19</v>
      </c>
      <c r="BG145">
        <v>19</v>
      </c>
      <c r="BH145">
        <v>28</v>
      </c>
      <c r="BI145">
        <v>4</v>
      </c>
      <c r="BJ145">
        <v>-5</v>
      </c>
      <c r="BK145">
        <v>19</v>
      </c>
      <c r="BL145">
        <v>20</v>
      </c>
      <c r="BM145">
        <v>6</v>
      </c>
      <c r="BN145">
        <v>31</v>
      </c>
      <c r="BO145">
        <v>13</v>
      </c>
      <c r="BP145">
        <v>26</v>
      </c>
      <c r="BQ145">
        <v>51</v>
      </c>
      <c r="BR145">
        <v>31</v>
      </c>
      <c r="BS145">
        <v>-2</v>
      </c>
      <c r="BT145">
        <v>17</v>
      </c>
      <c r="BU145">
        <v>16</v>
      </c>
      <c r="BV145">
        <v>24</v>
      </c>
    </row>
    <row r="146" spans="1:74" x14ac:dyDescent="0.25">
      <c r="A146" t="s">
        <v>480</v>
      </c>
      <c r="B146" t="s">
        <v>121</v>
      </c>
      <c r="C146" t="s">
        <v>101</v>
      </c>
      <c r="D146">
        <v>9.8569999999999993</v>
      </c>
      <c r="E146">
        <v>24</v>
      </c>
      <c r="F146">
        <v>26</v>
      </c>
      <c r="G146">
        <v>16</v>
      </c>
      <c r="H146">
        <v>28</v>
      </c>
      <c r="I146">
        <v>24</v>
      </c>
      <c r="J146">
        <v>17</v>
      </c>
      <c r="K146">
        <v>26</v>
      </c>
      <c r="L146">
        <v>34</v>
      </c>
      <c r="M146">
        <v>30</v>
      </c>
      <c r="N146">
        <v>30</v>
      </c>
      <c r="O146">
        <v>38</v>
      </c>
      <c r="P146">
        <v>36</v>
      </c>
      <c r="Q146">
        <v>35</v>
      </c>
      <c r="R146">
        <v>36</v>
      </c>
      <c r="S146">
        <v>21</v>
      </c>
      <c r="T146">
        <v>8</v>
      </c>
      <c r="U146">
        <v>-38</v>
      </c>
      <c r="V146">
        <v>-28</v>
      </c>
      <c r="W146">
        <v>9</v>
      </c>
      <c r="X146">
        <v>24</v>
      </c>
      <c r="Y146">
        <v>32</v>
      </c>
      <c r="Z146">
        <v>35</v>
      </c>
      <c r="AA146">
        <v>39</v>
      </c>
      <c r="AB146">
        <v>33</v>
      </c>
      <c r="AC146">
        <v>11</v>
      </c>
      <c r="AD146">
        <v>17</v>
      </c>
      <c r="AE146">
        <v>17</v>
      </c>
      <c r="AF146">
        <v>-1</v>
      </c>
      <c r="AG146">
        <v>12</v>
      </c>
      <c r="AH146">
        <v>16</v>
      </c>
      <c r="AI146">
        <v>21</v>
      </c>
      <c r="AJ146">
        <v>29</v>
      </c>
      <c r="AK146">
        <v>28</v>
      </c>
      <c r="AL146">
        <v>10</v>
      </c>
      <c r="AM146">
        <v>20</v>
      </c>
      <c r="AN146">
        <v>19</v>
      </c>
      <c r="AO146">
        <v>19</v>
      </c>
      <c r="AP146">
        <v>21</v>
      </c>
      <c r="AQ146">
        <v>16</v>
      </c>
      <c r="AR146">
        <v>17</v>
      </c>
      <c r="AS146">
        <v>20</v>
      </c>
      <c r="AT146">
        <v>22</v>
      </c>
      <c r="AU146">
        <v>21</v>
      </c>
      <c r="AV146">
        <v>29</v>
      </c>
      <c r="AW146">
        <v>19</v>
      </c>
      <c r="AX146">
        <v>9</v>
      </c>
      <c r="AY146">
        <v>13</v>
      </c>
      <c r="AZ146">
        <v>-5</v>
      </c>
      <c r="BA146">
        <v>-19</v>
      </c>
      <c r="BB146">
        <v>-5</v>
      </c>
      <c r="BC146">
        <v>-60</v>
      </c>
      <c r="BD146">
        <v>-6</v>
      </c>
      <c r="BE146">
        <v>8</v>
      </c>
      <c r="BF146">
        <v>10</v>
      </c>
      <c r="BG146">
        <v>10</v>
      </c>
      <c r="BH146">
        <v>12</v>
      </c>
      <c r="BI146">
        <v>-18</v>
      </c>
      <c r="BJ146">
        <v>-38</v>
      </c>
      <c r="BK146">
        <v>-11</v>
      </c>
      <c r="BL146">
        <v>-1</v>
      </c>
      <c r="BM146">
        <v>-20</v>
      </c>
      <c r="BN146">
        <v>-12</v>
      </c>
      <c r="BO146">
        <v>-13</v>
      </c>
      <c r="BP146">
        <v>-13</v>
      </c>
      <c r="BQ146">
        <v>-14</v>
      </c>
      <c r="BR146">
        <v>-15</v>
      </c>
      <c r="BS146">
        <v>-19</v>
      </c>
      <c r="BT146">
        <v>-3</v>
      </c>
      <c r="BU146">
        <v>-15</v>
      </c>
      <c r="BV146">
        <v>-3</v>
      </c>
    </row>
    <row r="147" spans="1:74" x14ac:dyDescent="0.25">
      <c r="A147" t="s">
        <v>481</v>
      </c>
      <c r="B147" t="s">
        <v>122</v>
      </c>
      <c r="C147" t="s">
        <v>101</v>
      </c>
      <c r="D147">
        <v>8.8290000000000006</v>
      </c>
      <c r="E147">
        <v>18</v>
      </c>
      <c r="F147">
        <v>31</v>
      </c>
      <c r="G147">
        <v>21</v>
      </c>
      <c r="H147">
        <v>30</v>
      </c>
      <c r="I147">
        <v>31</v>
      </c>
      <c r="J147">
        <v>21</v>
      </c>
      <c r="K147">
        <v>24</v>
      </c>
      <c r="L147">
        <v>38</v>
      </c>
      <c r="M147">
        <v>43</v>
      </c>
      <c r="N147">
        <v>28</v>
      </c>
      <c r="O147">
        <v>39</v>
      </c>
      <c r="P147">
        <v>31</v>
      </c>
      <c r="Q147">
        <v>23</v>
      </c>
      <c r="R147">
        <v>38</v>
      </c>
      <c r="S147">
        <v>19</v>
      </c>
      <c r="T147">
        <v>5</v>
      </c>
      <c r="U147">
        <v>-39</v>
      </c>
      <c r="V147">
        <v>-27</v>
      </c>
      <c r="W147">
        <v>-7</v>
      </c>
      <c r="X147">
        <v>12</v>
      </c>
      <c r="Y147">
        <v>25</v>
      </c>
      <c r="Z147">
        <v>20</v>
      </c>
      <c r="AA147">
        <v>31</v>
      </c>
      <c r="AB147">
        <v>34</v>
      </c>
      <c r="AC147">
        <v>7</v>
      </c>
      <c r="AD147">
        <v>8</v>
      </c>
      <c r="AE147">
        <v>21</v>
      </c>
      <c r="AF147">
        <v>6</v>
      </c>
      <c r="AG147">
        <v>14</v>
      </c>
      <c r="AH147">
        <v>15</v>
      </c>
      <c r="AI147">
        <v>20</v>
      </c>
      <c r="AJ147">
        <v>27</v>
      </c>
      <c r="AK147">
        <v>27</v>
      </c>
      <c r="AL147">
        <v>1</v>
      </c>
      <c r="AM147">
        <v>10</v>
      </c>
      <c r="AN147">
        <v>16</v>
      </c>
      <c r="AO147">
        <v>10</v>
      </c>
      <c r="AP147">
        <v>14</v>
      </c>
      <c r="AQ147">
        <v>8</v>
      </c>
      <c r="AR147">
        <v>6</v>
      </c>
      <c r="AS147">
        <v>22</v>
      </c>
      <c r="AT147">
        <v>16</v>
      </c>
      <c r="AU147">
        <v>18</v>
      </c>
      <c r="AV147">
        <v>30</v>
      </c>
      <c r="AW147">
        <v>16</v>
      </c>
      <c r="AX147">
        <v>17</v>
      </c>
      <c r="AY147">
        <v>13</v>
      </c>
      <c r="AZ147">
        <v>-1</v>
      </c>
      <c r="BA147">
        <v>-7</v>
      </c>
      <c r="BB147">
        <v>7</v>
      </c>
      <c r="BC147">
        <v>-48</v>
      </c>
      <c r="BD147">
        <v>-5</v>
      </c>
      <c r="BE147">
        <v>2</v>
      </c>
      <c r="BF147">
        <v>13</v>
      </c>
      <c r="BG147">
        <v>14</v>
      </c>
      <c r="BH147">
        <v>8</v>
      </c>
      <c r="BI147">
        <v>-13</v>
      </c>
      <c r="BJ147">
        <v>-44</v>
      </c>
      <c r="BK147">
        <v>-17</v>
      </c>
      <c r="BL147">
        <v>-8</v>
      </c>
      <c r="BM147">
        <v>-23</v>
      </c>
      <c r="BN147">
        <v>-11</v>
      </c>
      <c r="BO147">
        <v>-8</v>
      </c>
      <c r="BP147">
        <v>-18</v>
      </c>
      <c r="BQ147">
        <v>-15</v>
      </c>
      <c r="BR147">
        <v>-13</v>
      </c>
      <c r="BS147">
        <v>-20</v>
      </c>
      <c r="BT147">
        <v>-1</v>
      </c>
      <c r="BU147">
        <v>-3</v>
      </c>
      <c r="BV147">
        <v>-2</v>
      </c>
    </row>
    <row r="148" spans="1:74" x14ac:dyDescent="0.25">
      <c r="A148" t="s">
        <v>482</v>
      </c>
      <c r="B148" t="s">
        <v>123</v>
      </c>
      <c r="C148" t="s">
        <v>101</v>
      </c>
      <c r="D148">
        <v>1.5429999999999999</v>
      </c>
      <c r="E148">
        <v>18</v>
      </c>
      <c r="F148">
        <v>30</v>
      </c>
      <c r="G148">
        <v>23</v>
      </c>
      <c r="H148">
        <v>29</v>
      </c>
      <c r="I148">
        <v>24</v>
      </c>
      <c r="J148">
        <v>8</v>
      </c>
      <c r="K148">
        <v>23</v>
      </c>
      <c r="L148">
        <v>32</v>
      </c>
      <c r="M148">
        <v>27</v>
      </c>
      <c r="N148">
        <v>24</v>
      </c>
      <c r="O148">
        <v>35</v>
      </c>
      <c r="P148">
        <v>28</v>
      </c>
      <c r="Q148">
        <v>26</v>
      </c>
      <c r="R148">
        <v>21</v>
      </c>
      <c r="S148">
        <v>2</v>
      </c>
      <c r="T148">
        <v>1</v>
      </c>
      <c r="U148">
        <v>-57</v>
      </c>
      <c r="V148">
        <v>-46</v>
      </c>
      <c r="W148">
        <v>11</v>
      </c>
      <c r="X148">
        <v>18</v>
      </c>
      <c r="Y148">
        <v>30</v>
      </c>
      <c r="Z148">
        <v>29</v>
      </c>
      <c r="AA148">
        <v>30</v>
      </c>
      <c r="AB148">
        <v>27</v>
      </c>
      <c r="AC148">
        <v>3</v>
      </c>
      <c r="AD148">
        <v>1</v>
      </c>
      <c r="AE148">
        <v>1</v>
      </c>
      <c r="AF148">
        <v>-11</v>
      </c>
      <c r="AG148">
        <v>-4</v>
      </c>
      <c r="AH148">
        <v>4</v>
      </c>
      <c r="AI148">
        <v>6</v>
      </c>
      <c r="AJ148">
        <v>18</v>
      </c>
      <c r="AK148">
        <v>9</v>
      </c>
      <c r="AL148">
        <v>6</v>
      </c>
      <c r="AM148">
        <v>-1</v>
      </c>
      <c r="AN148">
        <v>19</v>
      </c>
      <c r="AO148">
        <v>0</v>
      </c>
      <c r="AP148">
        <v>8</v>
      </c>
      <c r="AQ148">
        <v>-1</v>
      </c>
      <c r="AR148">
        <v>1</v>
      </c>
      <c r="AS148">
        <v>5</v>
      </c>
      <c r="AT148">
        <v>16</v>
      </c>
      <c r="AU148">
        <v>10</v>
      </c>
      <c r="AV148">
        <v>26</v>
      </c>
      <c r="AW148">
        <v>8</v>
      </c>
      <c r="AX148">
        <v>5</v>
      </c>
      <c r="AY148">
        <v>-7</v>
      </c>
      <c r="AZ148">
        <v>-26</v>
      </c>
      <c r="BA148">
        <v>-35</v>
      </c>
      <c r="BB148">
        <v>-21</v>
      </c>
      <c r="BC148">
        <v>-76</v>
      </c>
      <c r="BD148">
        <v>-15</v>
      </c>
      <c r="BE148">
        <v>14</v>
      </c>
      <c r="BF148">
        <v>19</v>
      </c>
      <c r="BG148">
        <v>14</v>
      </c>
      <c r="BH148">
        <v>10</v>
      </c>
      <c r="BI148">
        <v>-27</v>
      </c>
      <c r="BJ148">
        <v>-44</v>
      </c>
      <c r="BK148">
        <v>-21</v>
      </c>
      <c r="BL148">
        <v>-19</v>
      </c>
      <c r="BM148">
        <v>-27</v>
      </c>
      <c r="BN148">
        <v>-21</v>
      </c>
      <c r="BO148">
        <v>-19</v>
      </c>
      <c r="BP148">
        <v>-28</v>
      </c>
      <c r="BQ148">
        <v>-29</v>
      </c>
      <c r="BR148">
        <v>-19</v>
      </c>
      <c r="BS148">
        <v>-16</v>
      </c>
      <c r="BT148">
        <v>-4</v>
      </c>
      <c r="BU148">
        <v>-19</v>
      </c>
      <c r="BV148">
        <v>2</v>
      </c>
    </row>
    <row r="149" spans="1:74" x14ac:dyDescent="0.25">
      <c r="A149" t="s">
        <v>483</v>
      </c>
      <c r="B149" t="s">
        <v>124</v>
      </c>
      <c r="C149" t="s">
        <v>101</v>
      </c>
      <c r="D149">
        <v>7.2</v>
      </c>
      <c r="E149">
        <v>21</v>
      </c>
      <c r="F149">
        <v>26</v>
      </c>
      <c r="G149">
        <v>15</v>
      </c>
      <c r="H149">
        <v>38</v>
      </c>
      <c r="I149">
        <v>31</v>
      </c>
      <c r="J149">
        <v>20</v>
      </c>
      <c r="K149">
        <v>29</v>
      </c>
      <c r="L149">
        <v>38</v>
      </c>
      <c r="M149">
        <v>33</v>
      </c>
      <c r="N149">
        <v>29</v>
      </c>
      <c r="O149">
        <v>37</v>
      </c>
      <c r="P149">
        <v>33</v>
      </c>
      <c r="Q149">
        <v>32</v>
      </c>
      <c r="R149">
        <v>28</v>
      </c>
      <c r="S149">
        <v>21</v>
      </c>
      <c r="T149">
        <v>7</v>
      </c>
      <c r="U149">
        <v>-57</v>
      </c>
      <c r="V149">
        <v>-45</v>
      </c>
      <c r="W149">
        <v>3</v>
      </c>
      <c r="X149">
        <v>20</v>
      </c>
      <c r="Y149">
        <v>31</v>
      </c>
      <c r="Z149">
        <v>33</v>
      </c>
      <c r="AA149">
        <v>37</v>
      </c>
      <c r="AB149">
        <v>36</v>
      </c>
      <c r="AC149">
        <v>5</v>
      </c>
      <c r="AD149">
        <v>10</v>
      </c>
      <c r="AE149">
        <v>17</v>
      </c>
      <c r="AF149">
        <v>-7</v>
      </c>
      <c r="AG149">
        <v>9</v>
      </c>
      <c r="AH149">
        <v>6</v>
      </c>
      <c r="AI149">
        <v>17</v>
      </c>
      <c r="AJ149">
        <v>29</v>
      </c>
      <c r="AK149">
        <v>23</v>
      </c>
      <c r="AL149">
        <v>6</v>
      </c>
      <c r="AM149">
        <v>17</v>
      </c>
      <c r="AN149">
        <v>18</v>
      </c>
      <c r="AO149">
        <v>10</v>
      </c>
      <c r="AP149">
        <v>16</v>
      </c>
      <c r="AQ149">
        <v>13</v>
      </c>
      <c r="AR149">
        <v>11</v>
      </c>
      <c r="AS149">
        <v>18</v>
      </c>
      <c r="AT149">
        <v>16</v>
      </c>
      <c r="AU149">
        <v>23</v>
      </c>
      <c r="AV149">
        <v>30</v>
      </c>
      <c r="AW149">
        <v>20</v>
      </c>
      <c r="AX149">
        <v>10</v>
      </c>
      <c r="AY149">
        <v>4</v>
      </c>
      <c r="AZ149">
        <v>-12</v>
      </c>
      <c r="BA149">
        <v>-23</v>
      </c>
      <c r="BB149">
        <v>-12</v>
      </c>
      <c r="BC149">
        <v>-60</v>
      </c>
      <c r="BD149">
        <v>-5</v>
      </c>
      <c r="BE149">
        <v>9</v>
      </c>
      <c r="BF149">
        <v>12</v>
      </c>
      <c r="BG149">
        <v>15</v>
      </c>
      <c r="BH149">
        <v>15</v>
      </c>
      <c r="BI149">
        <v>-19</v>
      </c>
      <c r="BJ149">
        <v>-41</v>
      </c>
      <c r="BK149">
        <v>-8</v>
      </c>
      <c r="BL149">
        <v>-6</v>
      </c>
      <c r="BM149">
        <v>-27</v>
      </c>
      <c r="BN149">
        <v>-16</v>
      </c>
      <c r="BO149">
        <v>-15</v>
      </c>
      <c r="BP149">
        <v>-28</v>
      </c>
      <c r="BQ149">
        <v>-19</v>
      </c>
      <c r="BR149">
        <v>-19</v>
      </c>
      <c r="BS149">
        <v>-18</v>
      </c>
      <c r="BT149">
        <v>-11</v>
      </c>
      <c r="BU149">
        <v>-20</v>
      </c>
      <c r="BV149">
        <v>-5</v>
      </c>
    </row>
    <row r="150" spans="1:74" x14ac:dyDescent="0.25">
      <c r="A150" t="s">
        <v>484</v>
      </c>
      <c r="B150" t="s">
        <v>125</v>
      </c>
      <c r="C150" t="s">
        <v>101</v>
      </c>
      <c r="D150">
        <v>22.771000000000001</v>
      </c>
      <c r="E150">
        <v>34</v>
      </c>
      <c r="F150">
        <v>42</v>
      </c>
      <c r="G150">
        <v>26</v>
      </c>
      <c r="H150">
        <v>43</v>
      </c>
      <c r="I150">
        <v>37</v>
      </c>
      <c r="J150">
        <v>30</v>
      </c>
      <c r="K150">
        <v>42</v>
      </c>
      <c r="L150">
        <v>50</v>
      </c>
      <c r="M150">
        <v>43</v>
      </c>
      <c r="N150">
        <v>45</v>
      </c>
      <c r="O150">
        <v>52</v>
      </c>
      <c r="P150">
        <v>44</v>
      </c>
      <c r="Q150">
        <v>46</v>
      </c>
      <c r="R150">
        <v>46</v>
      </c>
      <c r="S150">
        <v>29</v>
      </c>
      <c r="T150">
        <v>24</v>
      </c>
      <c r="U150">
        <v>-28</v>
      </c>
      <c r="V150">
        <v>-33</v>
      </c>
      <c r="W150">
        <v>17</v>
      </c>
      <c r="X150">
        <v>34</v>
      </c>
      <c r="Y150">
        <v>44</v>
      </c>
      <c r="Z150">
        <v>47</v>
      </c>
      <c r="AA150">
        <v>51</v>
      </c>
      <c r="AB150">
        <v>44</v>
      </c>
      <c r="AC150">
        <v>28</v>
      </c>
      <c r="AD150">
        <v>27</v>
      </c>
      <c r="AE150">
        <v>28</v>
      </c>
      <c r="AF150">
        <v>15</v>
      </c>
      <c r="AG150">
        <v>22</v>
      </c>
      <c r="AH150">
        <v>26</v>
      </c>
      <c r="AI150">
        <v>31</v>
      </c>
      <c r="AJ150">
        <v>36</v>
      </c>
      <c r="AK150">
        <v>31</v>
      </c>
      <c r="AL150">
        <v>25</v>
      </c>
      <c r="AM150">
        <v>24</v>
      </c>
      <c r="AN150">
        <v>27</v>
      </c>
      <c r="AO150">
        <v>25</v>
      </c>
      <c r="AP150">
        <v>30</v>
      </c>
      <c r="AQ150">
        <v>25</v>
      </c>
      <c r="AR150">
        <v>24</v>
      </c>
      <c r="AS150">
        <v>30</v>
      </c>
      <c r="AT150">
        <v>32</v>
      </c>
      <c r="AU150">
        <v>36</v>
      </c>
      <c r="AV150">
        <v>38</v>
      </c>
      <c r="AW150">
        <v>32</v>
      </c>
      <c r="AX150">
        <v>26</v>
      </c>
      <c r="AY150">
        <v>19</v>
      </c>
      <c r="AZ150">
        <v>13</v>
      </c>
      <c r="BA150">
        <v>-6</v>
      </c>
      <c r="BB150">
        <v>9</v>
      </c>
      <c r="BC150">
        <v>-52</v>
      </c>
      <c r="BD150">
        <v>5</v>
      </c>
      <c r="BE150">
        <v>17</v>
      </c>
      <c r="BF150">
        <v>15</v>
      </c>
      <c r="BG150">
        <v>53</v>
      </c>
      <c r="BH150">
        <v>32</v>
      </c>
      <c r="BI150">
        <v>2</v>
      </c>
      <c r="BJ150">
        <v>-6</v>
      </c>
      <c r="BK150">
        <v>15</v>
      </c>
      <c r="BL150">
        <v>13</v>
      </c>
      <c r="BM150">
        <v>-6</v>
      </c>
      <c r="BN150">
        <v>7</v>
      </c>
      <c r="BO150">
        <v>5</v>
      </c>
      <c r="BP150">
        <v>-3</v>
      </c>
      <c r="BQ150">
        <v>4</v>
      </c>
      <c r="BR150">
        <v>-3</v>
      </c>
      <c r="BS150">
        <v>1</v>
      </c>
      <c r="BT150">
        <v>11</v>
      </c>
      <c r="BU150">
        <v>5</v>
      </c>
      <c r="BV150">
        <v>17</v>
      </c>
    </row>
    <row r="151" spans="1:74" x14ac:dyDescent="0.25">
      <c r="A151" t="s">
        <v>485</v>
      </c>
      <c r="B151" t="s">
        <v>71</v>
      </c>
      <c r="C151" t="s">
        <v>101</v>
      </c>
      <c r="D151">
        <v>24.513999999999999</v>
      </c>
      <c r="E151">
        <v>38</v>
      </c>
      <c r="F151">
        <v>45</v>
      </c>
      <c r="G151">
        <v>32</v>
      </c>
      <c r="H151">
        <v>46</v>
      </c>
      <c r="I151">
        <v>39</v>
      </c>
      <c r="J151">
        <v>35</v>
      </c>
      <c r="K151">
        <v>42</v>
      </c>
      <c r="L151">
        <v>50</v>
      </c>
      <c r="M151">
        <v>45</v>
      </c>
      <c r="N151">
        <v>45</v>
      </c>
      <c r="O151">
        <v>59</v>
      </c>
      <c r="P151">
        <v>44</v>
      </c>
      <c r="Q151">
        <v>48</v>
      </c>
      <c r="R151">
        <v>49</v>
      </c>
      <c r="S151">
        <v>30</v>
      </c>
      <c r="T151">
        <v>27</v>
      </c>
      <c r="U151">
        <v>-20</v>
      </c>
      <c r="V151">
        <v>-26</v>
      </c>
      <c r="W151">
        <v>20</v>
      </c>
      <c r="X151">
        <v>37</v>
      </c>
      <c r="Y151">
        <v>43</v>
      </c>
      <c r="Z151">
        <v>50</v>
      </c>
      <c r="AA151">
        <v>50</v>
      </c>
      <c r="AB151">
        <v>44</v>
      </c>
      <c r="AC151">
        <v>28</v>
      </c>
      <c r="AD151">
        <v>26</v>
      </c>
      <c r="AE151">
        <v>30</v>
      </c>
      <c r="AF151">
        <v>16</v>
      </c>
      <c r="AG151">
        <v>26</v>
      </c>
      <c r="AH151">
        <v>29</v>
      </c>
      <c r="AI151">
        <v>35</v>
      </c>
      <c r="AJ151">
        <v>37</v>
      </c>
      <c r="AK151">
        <v>33</v>
      </c>
      <c r="AL151">
        <v>25</v>
      </c>
      <c r="AM151">
        <v>26</v>
      </c>
      <c r="AN151">
        <v>30</v>
      </c>
      <c r="AO151">
        <v>26</v>
      </c>
      <c r="AP151">
        <v>29</v>
      </c>
      <c r="AQ151">
        <v>26</v>
      </c>
      <c r="AR151">
        <v>27</v>
      </c>
      <c r="AS151">
        <v>33</v>
      </c>
      <c r="AT151">
        <v>37</v>
      </c>
      <c r="AU151">
        <v>35</v>
      </c>
      <c r="AV151">
        <v>38</v>
      </c>
      <c r="AW151">
        <v>32</v>
      </c>
      <c r="AX151">
        <v>27</v>
      </c>
      <c r="AY151">
        <v>21</v>
      </c>
      <c r="AZ151">
        <v>15</v>
      </c>
      <c r="BA151">
        <v>-4</v>
      </c>
      <c r="BB151">
        <v>12</v>
      </c>
      <c r="BC151">
        <v>-51</v>
      </c>
      <c r="BD151">
        <v>6</v>
      </c>
      <c r="BE151">
        <v>22</v>
      </c>
      <c r="BF151">
        <v>24</v>
      </c>
      <c r="BG151">
        <v>34</v>
      </c>
      <c r="BH151">
        <v>25</v>
      </c>
      <c r="BI151">
        <v>0</v>
      </c>
      <c r="BJ151">
        <v>-3</v>
      </c>
      <c r="BK151">
        <v>18</v>
      </c>
      <c r="BL151">
        <v>15</v>
      </c>
      <c r="BM151">
        <v>-5</v>
      </c>
      <c r="BN151">
        <v>6</v>
      </c>
      <c r="BO151">
        <v>7</v>
      </c>
      <c r="BP151">
        <v>1</v>
      </c>
      <c r="BQ151">
        <v>3</v>
      </c>
      <c r="BR151">
        <v>-1</v>
      </c>
      <c r="BS151">
        <v>4</v>
      </c>
      <c r="BT151">
        <v>13</v>
      </c>
      <c r="BU151">
        <v>10</v>
      </c>
      <c r="BV151">
        <v>21</v>
      </c>
    </row>
    <row r="152" spans="1:74" x14ac:dyDescent="0.25">
      <c r="A152" t="s">
        <v>486</v>
      </c>
      <c r="B152" t="s">
        <v>127</v>
      </c>
      <c r="C152" t="s">
        <v>101</v>
      </c>
      <c r="D152">
        <v>19.600000000000001</v>
      </c>
      <c r="E152">
        <v>29</v>
      </c>
      <c r="F152">
        <v>37</v>
      </c>
      <c r="G152">
        <v>20</v>
      </c>
      <c r="H152">
        <v>39</v>
      </c>
      <c r="I152">
        <v>35</v>
      </c>
      <c r="J152">
        <v>23</v>
      </c>
      <c r="K152">
        <v>41</v>
      </c>
      <c r="L152">
        <v>51</v>
      </c>
      <c r="M152">
        <v>40</v>
      </c>
      <c r="N152">
        <v>46</v>
      </c>
      <c r="O152">
        <v>43</v>
      </c>
      <c r="P152">
        <v>44</v>
      </c>
      <c r="Q152">
        <v>45</v>
      </c>
      <c r="R152">
        <v>42</v>
      </c>
      <c r="S152">
        <v>28</v>
      </c>
      <c r="T152">
        <v>20</v>
      </c>
      <c r="U152">
        <v>-37</v>
      </c>
      <c r="V152">
        <v>-44</v>
      </c>
      <c r="W152">
        <v>12</v>
      </c>
      <c r="X152">
        <v>29</v>
      </c>
      <c r="Y152">
        <v>43</v>
      </c>
      <c r="Z152">
        <v>43</v>
      </c>
      <c r="AA152">
        <v>52</v>
      </c>
      <c r="AB152">
        <v>45</v>
      </c>
      <c r="AC152">
        <v>28</v>
      </c>
      <c r="AD152">
        <v>27</v>
      </c>
      <c r="AE152">
        <v>25</v>
      </c>
      <c r="AF152">
        <v>15</v>
      </c>
      <c r="AG152">
        <v>15</v>
      </c>
      <c r="AH152">
        <v>23</v>
      </c>
      <c r="AI152">
        <v>25</v>
      </c>
      <c r="AJ152">
        <v>36</v>
      </c>
      <c r="AK152">
        <v>28</v>
      </c>
      <c r="AL152">
        <v>24</v>
      </c>
      <c r="AM152">
        <v>22</v>
      </c>
      <c r="AN152">
        <v>21</v>
      </c>
      <c r="AO152">
        <v>24</v>
      </c>
      <c r="AP152">
        <v>33</v>
      </c>
      <c r="AQ152">
        <v>24</v>
      </c>
      <c r="AR152">
        <v>20</v>
      </c>
      <c r="AS152">
        <v>26</v>
      </c>
      <c r="AT152">
        <v>24</v>
      </c>
      <c r="AU152">
        <v>38</v>
      </c>
      <c r="AV152">
        <v>36</v>
      </c>
      <c r="AW152">
        <v>33</v>
      </c>
      <c r="AX152">
        <v>26</v>
      </c>
      <c r="AY152">
        <v>17</v>
      </c>
      <c r="AZ152">
        <v>10</v>
      </c>
      <c r="BA152">
        <v>-10</v>
      </c>
      <c r="BB152">
        <v>6</v>
      </c>
      <c r="BC152">
        <v>-54</v>
      </c>
      <c r="BD152">
        <v>3</v>
      </c>
      <c r="BE152">
        <v>18</v>
      </c>
      <c r="BF152">
        <v>22</v>
      </c>
      <c r="BG152">
        <v>19</v>
      </c>
      <c r="BH152">
        <v>24</v>
      </c>
      <c r="BI152">
        <v>5</v>
      </c>
      <c r="BJ152">
        <v>-11</v>
      </c>
      <c r="BK152">
        <v>10</v>
      </c>
      <c r="BL152">
        <v>10</v>
      </c>
      <c r="BM152">
        <v>-9</v>
      </c>
      <c r="BN152">
        <v>9</v>
      </c>
      <c r="BO152">
        <v>2</v>
      </c>
      <c r="BP152">
        <v>-9</v>
      </c>
      <c r="BQ152">
        <v>6</v>
      </c>
      <c r="BR152">
        <v>-5</v>
      </c>
      <c r="BS152">
        <v>-3</v>
      </c>
      <c r="BT152">
        <v>7</v>
      </c>
      <c r="BU152">
        <v>-4</v>
      </c>
      <c r="BV152">
        <v>10</v>
      </c>
    </row>
    <row r="153" spans="1:74" x14ac:dyDescent="0.25">
      <c r="A153" t="s">
        <v>487</v>
      </c>
      <c r="B153" t="s">
        <v>128</v>
      </c>
      <c r="C153" t="s">
        <v>101</v>
      </c>
      <c r="D153">
        <v>16.443000000000001</v>
      </c>
      <c r="E153">
        <v>27</v>
      </c>
      <c r="F153">
        <v>34</v>
      </c>
      <c r="G153">
        <v>28</v>
      </c>
      <c r="H153">
        <v>40</v>
      </c>
      <c r="I153">
        <v>34</v>
      </c>
      <c r="J153">
        <v>26</v>
      </c>
      <c r="K153">
        <v>36</v>
      </c>
      <c r="L153">
        <v>43</v>
      </c>
      <c r="M153">
        <v>40</v>
      </c>
      <c r="N153">
        <v>41</v>
      </c>
      <c r="O153">
        <v>48</v>
      </c>
      <c r="P153">
        <v>41</v>
      </c>
      <c r="Q153">
        <v>44</v>
      </c>
      <c r="R153">
        <v>40</v>
      </c>
      <c r="S153">
        <v>27</v>
      </c>
      <c r="T153">
        <v>12</v>
      </c>
      <c r="U153">
        <v>-47</v>
      </c>
      <c r="V153">
        <v>-46</v>
      </c>
      <c r="W153">
        <v>1</v>
      </c>
      <c r="X153">
        <v>22</v>
      </c>
      <c r="Y153">
        <v>38</v>
      </c>
      <c r="Z153">
        <v>47</v>
      </c>
      <c r="AA153">
        <v>54</v>
      </c>
      <c r="AB153">
        <v>49</v>
      </c>
      <c r="AC153">
        <v>23</v>
      </c>
      <c r="AD153">
        <v>21</v>
      </c>
      <c r="AE153">
        <v>25</v>
      </c>
      <c r="AF153">
        <v>5</v>
      </c>
      <c r="AG153">
        <v>16</v>
      </c>
      <c r="AH153">
        <v>20</v>
      </c>
      <c r="AI153">
        <v>29</v>
      </c>
      <c r="AJ153">
        <v>31</v>
      </c>
      <c r="AK153">
        <v>29</v>
      </c>
      <c r="AL153">
        <v>12</v>
      </c>
      <c r="AM153">
        <v>18</v>
      </c>
      <c r="AN153">
        <v>22</v>
      </c>
      <c r="AO153">
        <v>16</v>
      </c>
      <c r="AP153">
        <v>20</v>
      </c>
      <c r="AQ153">
        <v>15</v>
      </c>
      <c r="AR153">
        <v>17</v>
      </c>
      <c r="AS153">
        <v>25</v>
      </c>
      <c r="AT153">
        <v>27</v>
      </c>
      <c r="AU153">
        <v>29</v>
      </c>
      <c r="AV153">
        <v>36</v>
      </c>
      <c r="AW153">
        <v>32</v>
      </c>
      <c r="AX153">
        <v>21</v>
      </c>
      <c r="AY153">
        <v>18</v>
      </c>
      <c r="AZ153">
        <v>2</v>
      </c>
      <c r="BA153">
        <v>-20</v>
      </c>
      <c r="BB153">
        <v>-8</v>
      </c>
      <c r="BC153">
        <v>-62</v>
      </c>
      <c r="BD153">
        <v>-6</v>
      </c>
      <c r="BE153">
        <v>10</v>
      </c>
      <c r="BF153">
        <v>28</v>
      </c>
      <c r="BG153">
        <v>33</v>
      </c>
      <c r="BH153">
        <v>36</v>
      </c>
      <c r="BI153">
        <v>-2</v>
      </c>
      <c r="BJ153">
        <v>-12</v>
      </c>
      <c r="BK153">
        <v>10</v>
      </c>
      <c r="BL153">
        <v>7</v>
      </c>
      <c r="BM153">
        <v>-14</v>
      </c>
      <c r="BN153">
        <v>-5</v>
      </c>
      <c r="BO153">
        <v>-6</v>
      </c>
      <c r="BP153">
        <v>-11</v>
      </c>
      <c r="BQ153">
        <v>-8</v>
      </c>
      <c r="BR153">
        <v>-8</v>
      </c>
      <c r="BS153">
        <v>-8</v>
      </c>
      <c r="BT153">
        <v>4</v>
      </c>
      <c r="BU153">
        <v>-5</v>
      </c>
      <c r="BV153">
        <v>10</v>
      </c>
    </row>
    <row r="154" spans="1:74" x14ac:dyDescent="0.25">
      <c r="A154" t="s">
        <v>488</v>
      </c>
      <c r="B154" t="s">
        <v>72</v>
      </c>
      <c r="C154" t="s">
        <v>101</v>
      </c>
      <c r="D154">
        <v>10.086</v>
      </c>
      <c r="E154">
        <v>26</v>
      </c>
      <c r="F154">
        <v>29</v>
      </c>
      <c r="G154">
        <v>27</v>
      </c>
      <c r="H154">
        <v>32</v>
      </c>
      <c r="I154">
        <v>21</v>
      </c>
      <c r="J154">
        <v>6</v>
      </c>
      <c r="K154">
        <v>15</v>
      </c>
      <c r="L154">
        <v>21</v>
      </c>
      <c r="M154">
        <v>17</v>
      </c>
      <c r="N154">
        <v>20</v>
      </c>
      <c r="O154">
        <v>17</v>
      </c>
      <c r="P154">
        <v>28</v>
      </c>
      <c r="Q154">
        <v>27</v>
      </c>
      <c r="R154">
        <v>24</v>
      </c>
      <c r="S154">
        <v>27</v>
      </c>
      <c r="T154">
        <v>-14</v>
      </c>
      <c r="U154">
        <v>-74</v>
      </c>
      <c r="V154">
        <v>-47</v>
      </c>
      <c r="W154">
        <v>18</v>
      </c>
      <c r="X154">
        <v>24</v>
      </c>
      <c r="Y154">
        <v>48</v>
      </c>
      <c r="Z154">
        <v>45</v>
      </c>
      <c r="AA154">
        <v>48</v>
      </c>
      <c r="AB154">
        <v>34</v>
      </c>
      <c r="AC154">
        <v>11</v>
      </c>
      <c r="AD154">
        <v>2</v>
      </c>
      <c r="AE154">
        <v>6</v>
      </c>
      <c r="AF154">
        <v>0</v>
      </c>
      <c r="AG154">
        <v>10</v>
      </c>
      <c r="AH154">
        <v>18</v>
      </c>
      <c r="AI154">
        <v>26</v>
      </c>
      <c r="AJ154">
        <v>31</v>
      </c>
      <c r="AK154">
        <v>17</v>
      </c>
      <c r="AL154">
        <v>19</v>
      </c>
      <c r="AM154">
        <v>20</v>
      </c>
      <c r="AN154">
        <v>27</v>
      </c>
      <c r="AO154">
        <v>14</v>
      </c>
      <c r="AP154">
        <v>18</v>
      </c>
      <c r="AQ154">
        <v>17</v>
      </c>
      <c r="AR154">
        <v>11</v>
      </c>
      <c r="AS154">
        <v>30</v>
      </c>
      <c r="AT154">
        <v>21</v>
      </c>
      <c r="AU154">
        <v>21</v>
      </c>
      <c r="AV154">
        <v>19</v>
      </c>
      <c r="AW154">
        <v>29</v>
      </c>
      <c r="AX154">
        <v>22</v>
      </c>
      <c r="AY154">
        <v>18</v>
      </c>
      <c r="AZ154">
        <v>0</v>
      </c>
      <c r="BA154">
        <v>-19</v>
      </c>
      <c r="BB154">
        <v>-13</v>
      </c>
      <c r="BC154">
        <v>-74</v>
      </c>
      <c r="BD154">
        <v>26</v>
      </c>
      <c r="BE154">
        <v>6</v>
      </c>
      <c r="BF154">
        <v>23</v>
      </c>
      <c r="BG154">
        <v>18</v>
      </c>
      <c r="BH154">
        <v>25</v>
      </c>
      <c r="BI154">
        <v>-17</v>
      </c>
      <c r="BJ154">
        <v>-7</v>
      </c>
      <c r="BK154">
        <v>13</v>
      </c>
      <c r="BL154">
        <v>8</v>
      </c>
      <c r="BM154">
        <v>-11</v>
      </c>
      <c r="BN154">
        <v>-11</v>
      </c>
      <c r="BO154">
        <v>-11</v>
      </c>
      <c r="BP154">
        <v>-18</v>
      </c>
      <c r="BQ154">
        <v>-12</v>
      </c>
      <c r="BR154">
        <v>-9</v>
      </c>
      <c r="BS154">
        <v>-16</v>
      </c>
      <c r="BT154">
        <v>-3</v>
      </c>
      <c r="BU154">
        <v>0</v>
      </c>
      <c r="BV154">
        <v>-18</v>
      </c>
    </row>
    <row r="155" spans="1:74" x14ac:dyDescent="0.25">
      <c r="A155" t="s">
        <v>489</v>
      </c>
      <c r="B155" t="s">
        <v>240</v>
      </c>
      <c r="C155" t="s">
        <v>101</v>
      </c>
      <c r="D155">
        <v>19.314</v>
      </c>
      <c r="E155">
        <v>5</v>
      </c>
      <c r="F155">
        <v>-3</v>
      </c>
      <c r="G155">
        <v>13</v>
      </c>
      <c r="H155">
        <v>33</v>
      </c>
      <c r="I155">
        <v>43</v>
      </c>
      <c r="J155">
        <v>31</v>
      </c>
      <c r="K155">
        <v>33</v>
      </c>
      <c r="L155">
        <v>38</v>
      </c>
      <c r="M155">
        <v>31</v>
      </c>
      <c r="N155">
        <v>33</v>
      </c>
      <c r="O155">
        <v>29</v>
      </c>
      <c r="P155">
        <v>28</v>
      </c>
      <c r="Q155">
        <v>51</v>
      </c>
      <c r="R155">
        <v>46</v>
      </c>
      <c r="S155">
        <v>44</v>
      </c>
      <c r="T155">
        <v>23</v>
      </c>
      <c r="U155">
        <v>-15</v>
      </c>
      <c r="V155">
        <v>-21</v>
      </c>
      <c r="W155">
        <v>6</v>
      </c>
      <c r="X155">
        <v>11</v>
      </c>
      <c r="Y155">
        <v>19</v>
      </c>
      <c r="Z155">
        <v>37</v>
      </c>
      <c r="AA155">
        <v>34</v>
      </c>
      <c r="AB155">
        <v>27</v>
      </c>
      <c r="AC155">
        <v>25</v>
      </c>
      <c r="AD155">
        <v>23</v>
      </c>
      <c r="AE155">
        <v>28</v>
      </c>
      <c r="AF155">
        <v>19</v>
      </c>
      <c r="AG155">
        <v>29</v>
      </c>
      <c r="AH155">
        <v>20</v>
      </c>
      <c r="AI155">
        <v>21</v>
      </c>
      <c r="AJ155">
        <v>31</v>
      </c>
      <c r="AK155">
        <v>33</v>
      </c>
      <c r="AL155">
        <v>30</v>
      </c>
      <c r="AM155">
        <v>12</v>
      </c>
      <c r="AN155">
        <v>20</v>
      </c>
      <c r="AO155">
        <v>9</v>
      </c>
      <c r="AP155">
        <v>30</v>
      </c>
      <c r="AQ155">
        <v>17</v>
      </c>
      <c r="AR155">
        <v>3</v>
      </c>
      <c r="AS155">
        <v>18</v>
      </c>
      <c r="AT155">
        <v>20</v>
      </c>
      <c r="AU155">
        <v>18</v>
      </c>
      <c r="AV155">
        <v>27</v>
      </c>
      <c r="AW155">
        <v>29</v>
      </c>
      <c r="AX155">
        <v>30</v>
      </c>
      <c r="AY155">
        <v>46</v>
      </c>
      <c r="AZ155">
        <v>16</v>
      </c>
      <c r="BA155">
        <v>17</v>
      </c>
      <c r="BB155">
        <v>14</v>
      </c>
      <c r="BC155">
        <v>-65</v>
      </c>
      <c r="BD155">
        <v>-18</v>
      </c>
      <c r="BE155">
        <v>12</v>
      </c>
      <c r="BF155">
        <v>9</v>
      </c>
      <c r="BG155">
        <v>26</v>
      </c>
      <c r="BH155">
        <v>36</v>
      </c>
      <c r="BI155">
        <v>2</v>
      </c>
      <c r="BJ155">
        <v>23</v>
      </c>
      <c r="BK155">
        <v>7</v>
      </c>
      <c r="BL155">
        <v>23</v>
      </c>
      <c r="BM155">
        <v>42</v>
      </c>
      <c r="BN155">
        <v>22</v>
      </c>
      <c r="BO155">
        <v>14</v>
      </c>
      <c r="BP155">
        <v>-6</v>
      </c>
      <c r="BQ155">
        <v>7</v>
      </c>
      <c r="BR155">
        <v>4</v>
      </c>
      <c r="BS155">
        <v>1</v>
      </c>
      <c r="BT155">
        <v>29</v>
      </c>
      <c r="BU155">
        <v>-6</v>
      </c>
      <c r="BV155">
        <v>29</v>
      </c>
    </row>
    <row r="156" spans="1:74" x14ac:dyDescent="0.25">
      <c r="A156" t="s">
        <v>490</v>
      </c>
      <c r="B156" t="s">
        <v>129</v>
      </c>
      <c r="C156" t="s">
        <v>101</v>
      </c>
      <c r="D156">
        <v>18.3</v>
      </c>
      <c r="E156">
        <v>11</v>
      </c>
      <c r="F156">
        <v>40</v>
      </c>
      <c r="G156">
        <v>22</v>
      </c>
      <c r="H156">
        <v>45</v>
      </c>
      <c r="I156">
        <v>50</v>
      </c>
      <c r="J156">
        <v>46</v>
      </c>
      <c r="K156">
        <v>49</v>
      </c>
      <c r="L156">
        <v>54</v>
      </c>
      <c r="M156">
        <v>45</v>
      </c>
      <c r="N156">
        <v>44</v>
      </c>
      <c r="O156">
        <v>70</v>
      </c>
      <c r="P156">
        <v>60</v>
      </c>
      <c r="Q156">
        <v>61</v>
      </c>
      <c r="R156">
        <v>56</v>
      </c>
      <c r="S156">
        <v>37</v>
      </c>
      <c r="T156">
        <v>21</v>
      </c>
      <c r="U156">
        <v>-10</v>
      </c>
      <c r="V156">
        <v>-37</v>
      </c>
      <c r="W156">
        <v>-1</v>
      </c>
      <c r="X156">
        <v>31</v>
      </c>
      <c r="Y156">
        <v>25</v>
      </c>
      <c r="Z156">
        <v>43</v>
      </c>
      <c r="AA156">
        <v>55</v>
      </c>
      <c r="AB156">
        <v>24</v>
      </c>
      <c r="AC156">
        <v>42</v>
      </c>
      <c r="AD156">
        <v>24</v>
      </c>
      <c r="AE156">
        <v>39</v>
      </c>
      <c r="AF156">
        <v>21</v>
      </c>
      <c r="AG156">
        <v>22</v>
      </c>
      <c r="AH156">
        <v>15</v>
      </c>
      <c r="AI156">
        <v>16</v>
      </c>
      <c r="AJ156">
        <v>29</v>
      </c>
      <c r="AK156">
        <v>24</v>
      </c>
      <c r="AL156">
        <v>27</v>
      </c>
      <c r="AM156">
        <v>28</v>
      </c>
      <c r="AN156">
        <v>31</v>
      </c>
      <c r="AO156">
        <v>34</v>
      </c>
      <c r="AP156">
        <v>30</v>
      </c>
      <c r="AQ156">
        <v>19</v>
      </c>
      <c r="AR156">
        <v>33</v>
      </c>
      <c r="AS156">
        <v>30</v>
      </c>
      <c r="AT156">
        <v>18</v>
      </c>
      <c r="AU156">
        <v>29</v>
      </c>
      <c r="AV156">
        <v>30</v>
      </c>
      <c r="AW156">
        <v>24</v>
      </c>
      <c r="AX156">
        <v>24</v>
      </c>
      <c r="AY156">
        <v>20</v>
      </c>
      <c r="AZ156">
        <v>20</v>
      </c>
      <c r="BA156">
        <v>20</v>
      </c>
      <c r="BB156">
        <v>17</v>
      </c>
      <c r="BC156">
        <v>-77</v>
      </c>
      <c r="BD156">
        <v>-12</v>
      </c>
      <c r="BE156">
        <v>1</v>
      </c>
      <c r="BF156">
        <v>10</v>
      </c>
      <c r="BG156">
        <v>16</v>
      </c>
      <c r="BH156">
        <v>25</v>
      </c>
      <c r="BI156">
        <v>-9</v>
      </c>
      <c r="BJ156">
        <v>-31</v>
      </c>
      <c r="BK156">
        <v>-9</v>
      </c>
      <c r="BL156">
        <v>-12</v>
      </c>
      <c r="BM156">
        <v>-11</v>
      </c>
      <c r="BN156">
        <v>-5</v>
      </c>
      <c r="BO156">
        <v>-18</v>
      </c>
      <c r="BP156">
        <v>-21</v>
      </c>
      <c r="BQ156">
        <v>-16</v>
      </c>
      <c r="BR156">
        <v>-31</v>
      </c>
      <c r="BS156">
        <v>3</v>
      </c>
      <c r="BT156">
        <v>0</v>
      </c>
      <c r="BU156">
        <v>-19</v>
      </c>
      <c r="BV156">
        <v>-10</v>
      </c>
    </row>
    <row r="157" spans="1:74" x14ac:dyDescent="0.25">
      <c r="A157" t="s">
        <v>491</v>
      </c>
      <c r="B157" t="s">
        <v>241</v>
      </c>
      <c r="C157" t="s">
        <v>101</v>
      </c>
      <c r="D157">
        <v>18.670999999999999</v>
      </c>
      <c r="E157">
        <v>16</v>
      </c>
      <c r="F157">
        <v>30</v>
      </c>
      <c r="G157">
        <v>11</v>
      </c>
      <c r="H157">
        <v>33</v>
      </c>
      <c r="I157">
        <v>26</v>
      </c>
      <c r="J157">
        <v>14</v>
      </c>
      <c r="K157">
        <v>25</v>
      </c>
      <c r="L157">
        <v>49</v>
      </c>
      <c r="M157">
        <v>41</v>
      </c>
      <c r="N157">
        <v>43</v>
      </c>
      <c r="O157">
        <v>46</v>
      </c>
      <c r="P157">
        <v>40</v>
      </c>
      <c r="Q157">
        <v>41</v>
      </c>
      <c r="R157">
        <v>38</v>
      </c>
      <c r="S157">
        <v>29</v>
      </c>
      <c r="T157">
        <v>15</v>
      </c>
      <c r="U157">
        <v>-16</v>
      </c>
      <c r="V157">
        <v>-22</v>
      </c>
      <c r="W157">
        <v>5</v>
      </c>
      <c r="X157">
        <v>27</v>
      </c>
      <c r="Y157">
        <v>29</v>
      </c>
      <c r="Z157">
        <v>40</v>
      </c>
      <c r="AA157">
        <v>44</v>
      </c>
      <c r="AB157">
        <v>41</v>
      </c>
      <c r="AC157">
        <v>30</v>
      </c>
      <c r="AD157">
        <v>33</v>
      </c>
      <c r="AE157">
        <v>31</v>
      </c>
      <c r="AF157">
        <v>31</v>
      </c>
      <c r="AG157">
        <v>34</v>
      </c>
      <c r="AH157">
        <v>29</v>
      </c>
      <c r="AI157">
        <v>27</v>
      </c>
      <c r="AJ157">
        <v>44</v>
      </c>
      <c r="AK157">
        <v>30</v>
      </c>
      <c r="AL157">
        <v>28</v>
      </c>
      <c r="AM157">
        <v>25</v>
      </c>
      <c r="AN157">
        <v>29</v>
      </c>
      <c r="AO157">
        <v>22</v>
      </c>
      <c r="AP157">
        <v>26</v>
      </c>
      <c r="AQ157">
        <v>28</v>
      </c>
      <c r="AR157">
        <v>20</v>
      </c>
      <c r="AS157">
        <v>30</v>
      </c>
      <c r="AT157">
        <v>40</v>
      </c>
      <c r="AU157">
        <v>36</v>
      </c>
      <c r="AV157">
        <v>44</v>
      </c>
      <c r="AW157">
        <v>28</v>
      </c>
      <c r="AX157">
        <v>25</v>
      </c>
      <c r="AY157">
        <v>21</v>
      </c>
      <c r="AZ157">
        <v>23</v>
      </c>
      <c r="BA157">
        <v>8</v>
      </c>
      <c r="BB157">
        <v>14</v>
      </c>
      <c r="BC157">
        <v>-42</v>
      </c>
      <c r="BD157">
        <v>-3</v>
      </c>
      <c r="BE157">
        <v>6</v>
      </c>
      <c r="BF157">
        <v>13</v>
      </c>
      <c r="BG157">
        <v>21</v>
      </c>
      <c r="BH157">
        <v>14</v>
      </c>
      <c r="BI157">
        <v>-11</v>
      </c>
      <c r="BJ157">
        <v>-26</v>
      </c>
      <c r="BK157">
        <v>5</v>
      </c>
      <c r="BL157">
        <v>4</v>
      </c>
      <c r="BM157">
        <v>-12</v>
      </c>
      <c r="BN157">
        <v>0</v>
      </c>
      <c r="BO157">
        <v>-9</v>
      </c>
      <c r="BP157">
        <v>-4</v>
      </c>
      <c r="BQ157">
        <v>-2</v>
      </c>
      <c r="BR157">
        <v>-10</v>
      </c>
      <c r="BS157">
        <v>-11</v>
      </c>
      <c r="BT157">
        <v>1</v>
      </c>
      <c r="BU157">
        <v>-15</v>
      </c>
      <c r="BV157">
        <v>7</v>
      </c>
    </row>
    <row r="158" spans="1:74" x14ac:dyDescent="0.25">
      <c r="A158" t="s">
        <v>492</v>
      </c>
      <c r="B158" t="s">
        <v>242</v>
      </c>
      <c r="C158" t="s">
        <v>101</v>
      </c>
      <c r="D158">
        <v>15.243</v>
      </c>
      <c r="E158">
        <v>37</v>
      </c>
      <c r="F158">
        <v>57</v>
      </c>
      <c r="G158">
        <v>55</v>
      </c>
      <c r="H158">
        <v>63</v>
      </c>
      <c r="I158">
        <v>43</v>
      </c>
      <c r="J158">
        <v>24</v>
      </c>
      <c r="K158">
        <v>61</v>
      </c>
      <c r="L158">
        <v>47</v>
      </c>
      <c r="M158">
        <v>40</v>
      </c>
      <c r="N158">
        <v>59</v>
      </c>
      <c r="O158">
        <v>50</v>
      </c>
      <c r="P158">
        <v>34</v>
      </c>
      <c r="Q158">
        <v>43</v>
      </c>
      <c r="R158">
        <v>54</v>
      </c>
      <c r="S158">
        <v>21</v>
      </c>
      <c r="T158">
        <v>14</v>
      </c>
      <c r="U158">
        <v>-45</v>
      </c>
      <c r="V158">
        <v>-42</v>
      </c>
      <c r="W158">
        <v>0</v>
      </c>
      <c r="X158">
        <v>22</v>
      </c>
      <c r="Y158">
        <v>20</v>
      </c>
      <c r="Z158">
        <v>40</v>
      </c>
      <c r="AA158">
        <v>56</v>
      </c>
      <c r="AB158">
        <v>43</v>
      </c>
      <c r="AC158">
        <v>24</v>
      </c>
      <c r="AD158">
        <v>9</v>
      </c>
      <c r="AE158">
        <v>1</v>
      </c>
      <c r="AF158">
        <v>-5</v>
      </c>
      <c r="AG158">
        <v>9</v>
      </c>
      <c r="AH158">
        <v>9</v>
      </c>
      <c r="AI158">
        <v>22</v>
      </c>
      <c r="AJ158">
        <v>13</v>
      </c>
      <c r="AK158">
        <v>8</v>
      </c>
      <c r="AL158">
        <v>3</v>
      </c>
      <c r="AM158">
        <v>9</v>
      </c>
      <c r="AN158">
        <v>-6</v>
      </c>
      <c r="AO158">
        <v>31</v>
      </c>
      <c r="AP158">
        <v>12</v>
      </c>
      <c r="AQ158">
        <v>-4</v>
      </c>
      <c r="AR158">
        <v>13</v>
      </c>
      <c r="AS158">
        <v>3</v>
      </c>
      <c r="AT158">
        <v>25</v>
      </c>
      <c r="AU158">
        <v>23</v>
      </c>
      <c r="AV158">
        <v>41</v>
      </c>
      <c r="AW158">
        <v>31</v>
      </c>
      <c r="AX158">
        <v>18</v>
      </c>
      <c r="AY158">
        <v>18</v>
      </c>
      <c r="AZ158">
        <v>-22</v>
      </c>
      <c r="BA158">
        <v>-17</v>
      </c>
      <c r="BB158">
        <v>-1</v>
      </c>
      <c r="BC158">
        <v>-71</v>
      </c>
      <c r="BD158">
        <v>-8</v>
      </c>
      <c r="BE158">
        <v>18</v>
      </c>
      <c r="BF158">
        <v>22</v>
      </c>
      <c r="BG158">
        <v>34</v>
      </c>
      <c r="BH158">
        <v>40</v>
      </c>
      <c r="BI158">
        <v>13</v>
      </c>
      <c r="BJ158">
        <v>-35</v>
      </c>
      <c r="BK158">
        <v>15</v>
      </c>
      <c r="BL158">
        <v>20</v>
      </c>
      <c r="BM158">
        <v>-5</v>
      </c>
      <c r="BN158">
        <v>-16</v>
      </c>
      <c r="BO158">
        <v>-6</v>
      </c>
      <c r="BP158">
        <v>-3</v>
      </c>
      <c r="BQ158">
        <v>-2</v>
      </c>
      <c r="BR158">
        <v>-8</v>
      </c>
      <c r="BS158">
        <v>7</v>
      </c>
      <c r="BT158">
        <v>-14</v>
      </c>
      <c r="BU158">
        <v>-13</v>
      </c>
      <c r="BV158">
        <v>16</v>
      </c>
    </row>
    <row r="159" spans="1:74" x14ac:dyDescent="0.25">
      <c r="A159" t="s">
        <v>493</v>
      </c>
      <c r="B159" t="s">
        <v>132</v>
      </c>
      <c r="C159" t="s">
        <v>101</v>
      </c>
      <c r="D159">
        <v>9.9</v>
      </c>
      <c r="E159">
        <v>0</v>
      </c>
      <c r="F159">
        <v>4</v>
      </c>
      <c r="G159">
        <v>0</v>
      </c>
      <c r="H159">
        <v>27</v>
      </c>
      <c r="I159">
        <v>54</v>
      </c>
      <c r="J159">
        <v>12</v>
      </c>
      <c r="K159">
        <v>14</v>
      </c>
      <c r="L159">
        <v>49</v>
      </c>
      <c r="M159">
        <v>-28</v>
      </c>
      <c r="N159">
        <v>41</v>
      </c>
      <c r="O159">
        <v>30</v>
      </c>
      <c r="P159">
        <v>15</v>
      </c>
      <c r="Q159">
        <v>57</v>
      </c>
      <c r="R159">
        <v>-6</v>
      </c>
      <c r="S159">
        <v>22</v>
      </c>
      <c r="T159">
        <v>40</v>
      </c>
      <c r="U159">
        <v>9</v>
      </c>
      <c r="V159">
        <v>23</v>
      </c>
      <c r="W159">
        <v>0</v>
      </c>
      <c r="X159">
        <v>-13</v>
      </c>
      <c r="Y159">
        <v>28</v>
      </c>
      <c r="Z159">
        <v>17</v>
      </c>
      <c r="AA159">
        <v>13</v>
      </c>
      <c r="AB159">
        <v>8</v>
      </c>
      <c r="AC159">
        <v>2</v>
      </c>
      <c r="AD159">
        <v>12</v>
      </c>
      <c r="AE159">
        <v>3</v>
      </c>
      <c r="AF159">
        <v>27</v>
      </c>
      <c r="AG159">
        <v>-12</v>
      </c>
      <c r="AH159">
        <v>17</v>
      </c>
      <c r="AI159">
        <v>5</v>
      </c>
      <c r="AJ159">
        <v>11</v>
      </c>
      <c r="AK159">
        <v>7</v>
      </c>
      <c r="AL159">
        <v>10</v>
      </c>
      <c r="AM159">
        <v>14</v>
      </c>
      <c r="AN159">
        <v>4</v>
      </c>
      <c r="AO159">
        <v>2</v>
      </c>
      <c r="AP159">
        <v>7</v>
      </c>
      <c r="AQ159">
        <v>-4</v>
      </c>
      <c r="AR159">
        <v>21</v>
      </c>
      <c r="AS159">
        <v>5</v>
      </c>
      <c r="AT159">
        <v>14</v>
      </c>
      <c r="AU159">
        <v>12</v>
      </c>
      <c r="AV159">
        <v>-11</v>
      </c>
      <c r="AW159">
        <v>4</v>
      </c>
      <c r="AX159">
        <v>0</v>
      </c>
      <c r="AY159">
        <v>4</v>
      </c>
      <c r="AZ159">
        <v>24</v>
      </c>
      <c r="BA159">
        <v>16</v>
      </c>
      <c r="BB159">
        <v>28</v>
      </c>
      <c r="BC159">
        <v>-7</v>
      </c>
      <c r="BD159">
        <v>27</v>
      </c>
      <c r="BE159">
        <v>14</v>
      </c>
      <c r="BF159">
        <v>12</v>
      </c>
      <c r="BG159">
        <v>23</v>
      </c>
      <c r="BH159">
        <v>17</v>
      </c>
      <c r="BI159">
        <v>-1</v>
      </c>
      <c r="BJ159">
        <v>-5</v>
      </c>
      <c r="BK159">
        <v>-17</v>
      </c>
      <c r="BL159">
        <v>12</v>
      </c>
      <c r="BM159">
        <v>-10</v>
      </c>
      <c r="BN159">
        <v>-25</v>
      </c>
      <c r="BO159">
        <v>6</v>
      </c>
      <c r="BP159">
        <v>-14</v>
      </c>
      <c r="BQ159">
        <v>-16</v>
      </c>
      <c r="BR159">
        <v>11</v>
      </c>
      <c r="BS159">
        <v>9</v>
      </c>
      <c r="BT159">
        <v>7</v>
      </c>
      <c r="BU159">
        <v>8</v>
      </c>
      <c r="BV159">
        <v>4</v>
      </c>
    </row>
    <row r="160" spans="1:74" x14ac:dyDescent="0.25">
      <c r="A160" t="s">
        <v>494</v>
      </c>
      <c r="B160" t="s">
        <v>243</v>
      </c>
      <c r="C160" t="s">
        <v>101</v>
      </c>
      <c r="D160">
        <v>0.5</v>
      </c>
      <c r="E160">
        <v>0</v>
      </c>
      <c r="F160">
        <v>23</v>
      </c>
      <c r="G160">
        <v>0</v>
      </c>
      <c r="H160">
        <v>9</v>
      </c>
      <c r="I160">
        <v>13</v>
      </c>
      <c r="J160">
        <v>-3</v>
      </c>
      <c r="K160">
        <v>27</v>
      </c>
      <c r="L160">
        <v>15</v>
      </c>
      <c r="M160">
        <v>13</v>
      </c>
      <c r="N160">
        <v>15</v>
      </c>
      <c r="O160">
        <v>28</v>
      </c>
      <c r="P160">
        <v>20</v>
      </c>
      <c r="Q160">
        <v>16</v>
      </c>
      <c r="R160">
        <v>13</v>
      </c>
      <c r="S160">
        <v>5</v>
      </c>
      <c r="T160">
        <v>25</v>
      </c>
      <c r="U160">
        <v>-32</v>
      </c>
      <c r="V160">
        <v>5</v>
      </c>
      <c r="W160">
        <v>16</v>
      </c>
      <c r="X160">
        <v>16</v>
      </c>
      <c r="Y160">
        <v>18</v>
      </c>
      <c r="Z160">
        <v>27</v>
      </c>
      <c r="AA160">
        <v>26</v>
      </c>
      <c r="AB160">
        <v>-11</v>
      </c>
      <c r="AC160">
        <v>10</v>
      </c>
      <c r="AD160">
        <v>17</v>
      </c>
      <c r="AE160">
        <v>14</v>
      </c>
      <c r="AF160">
        <v>-2</v>
      </c>
      <c r="AG160">
        <v>-5</v>
      </c>
      <c r="AH160">
        <v>-11</v>
      </c>
      <c r="AI160">
        <v>-8</v>
      </c>
      <c r="AJ160">
        <v>1</v>
      </c>
      <c r="AK160">
        <v>-5</v>
      </c>
      <c r="AL160">
        <v>5</v>
      </c>
      <c r="AM160">
        <v>-3</v>
      </c>
      <c r="AN160">
        <v>-1</v>
      </c>
      <c r="AO160">
        <v>2</v>
      </c>
      <c r="AP160">
        <v>-4</v>
      </c>
      <c r="AQ160">
        <v>6</v>
      </c>
      <c r="AR160">
        <v>11</v>
      </c>
      <c r="AS160">
        <v>11</v>
      </c>
      <c r="AT160">
        <v>13</v>
      </c>
      <c r="AU160">
        <v>-4</v>
      </c>
      <c r="AV160">
        <v>9</v>
      </c>
      <c r="AW160">
        <v>-4</v>
      </c>
      <c r="AX160">
        <v>-4</v>
      </c>
      <c r="AY160">
        <v>-8</v>
      </c>
      <c r="AZ160">
        <v>-12</v>
      </c>
      <c r="BA160">
        <v>-20</v>
      </c>
      <c r="BB160">
        <v>-12</v>
      </c>
      <c r="BC160">
        <v>-63</v>
      </c>
      <c r="BD160">
        <v>2</v>
      </c>
      <c r="BE160">
        <v>3</v>
      </c>
      <c r="BF160">
        <v>-3</v>
      </c>
      <c r="BG160">
        <v>11</v>
      </c>
      <c r="BH160">
        <v>1</v>
      </c>
      <c r="BI160">
        <v>-5</v>
      </c>
      <c r="BJ160">
        <v>-46</v>
      </c>
      <c r="BK160">
        <v>-13</v>
      </c>
      <c r="BL160">
        <v>-15</v>
      </c>
      <c r="BM160">
        <v>-15</v>
      </c>
      <c r="BN160">
        <v>-16</v>
      </c>
      <c r="BO160">
        <v>2</v>
      </c>
      <c r="BP160">
        <v>-20</v>
      </c>
      <c r="BQ160">
        <v>-14</v>
      </c>
      <c r="BR160">
        <v>6</v>
      </c>
      <c r="BS160">
        <v>-20</v>
      </c>
      <c r="BT160">
        <v>-12</v>
      </c>
      <c r="BU160">
        <v>-25</v>
      </c>
      <c r="BV160">
        <v>-3</v>
      </c>
    </row>
    <row r="161" spans="1:3" x14ac:dyDescent="0.25">
      <c r="A161" t="s">
        <v>495</v>
      </c>
      <c r="B161" t="s">
        <v>37</v>
      </c>
      <c r="C161" t="s">
        <v>101</v>
      </c>
    </row>
    <row r="162" spans="1:3" x14ac:dyDescent="0.25">
      <c r="A162" t="s">
        <v>496</v>
      </c>
      <c r="B162" t="s">
        <v>134</v>
      </c>
      <c r="C162" t="s">
        <v>101</v>
      </c>
    </row>
    <row r="163" spans="1:3" x14ac:dyDescent="0.25">
      <c r="A163" t="s">
        <v>497</v>
      </c>
      <c r="B163" t="s">
        <v>135</v>
      </c>
      <c r="C163" t="s">
        <v>101</v>
      </c>
    </row>
    <row r="164" spans="1:3" x14ac:dyDescent="0.25">
      <c r="A164" t="s">
        <v>498</v>
      </c>
      <c r="B164" t="s">
        <v>136</v>
      </c>
      <c r="C164" t="s">
        <v>101</v>
      </c>
    </row>
    <row r="165" spans="1:3" x14ac:dyDescent="0.25">
      <c r="A165" t="s">
        <v>499</v>
      </c>
      <c r="B165" t="s">
        <v>38</v>
      </c>
      <c r="C165" t="s">
        <v>101</v>
      </c>
    </row>
    <row r="166" spans="1:3" x14ac:dyDescent="0.25">
      <c r="A166" t="s">
        <v>500</v>
      </c>
      <c r="B166" t="s">
        <v>137</v>
      </c>
      <c r="C166" t="s">
        <v>101</v>
      </c>
    </row>
    <row r="167" spans="1:3" x14ac:dyDescent="0.25">
      <c r="A167" t="s">
        <v>501</v>
      </c>
      <c r="B167" t="s">
        <v>138</v>
      </c>
      <c r="C167" t="s">
        <v>101</v>
      </c>
    </row>
    <row r="168" spans="1:3" x14ac:dyDescent="0.25">
      <c r="A168" t="s">
        <v>502</v>
      </c>
      <c r="B168" t="s">
        <v>139</v>
      </c>
      <c r="C168" t="s">
        <v>101</v>
      </c>
    </row>
    <row r="169" spans="1:3" x14ac:dyDescent="0.25">
      <c r="A169" t="s">
        <v>503</v>
      </c>
      <c r="B169" t="s">
        <v>140</v>
      </c>
      <c r="C169" t="s">
        <v>101</v>
      </c>
    </row>
    <row r="170" spans="1:3" x14ac:dyDescent="0.25">
      <c r="A170" t="s">
        <v>504</v>
      </c>
      <c r="B170" t="s">
        <v>141</v>
      </c>
      <c r="C170" t="s">
        <v>101</v>
      </c>
    </row>
    <row r="171" spans="1:3" x14ac:dyDescent="0.25">
      <c r="A171" t="s">
        <v>505</v>
      </c>
      <c r="B171" t="s">
        <v>142</v>
      </c>
      <c r="C171" t="s">
        <v>101</v>
      </c>
    </row>
    <row r="172" spans="1:3" x14ac:dyDescent="0.25">
      <c r="A172" t="s">
        <v>506</v>
      </c>
      <c r="B172" t="s">
        <v>143</v>
      </c>
      <c r="C172" t="s">
        <v>101</v>
      </c>
    </row>
    <row r="173" spans="1:3" x14ac:dyDescent="0.25">
      <c r="A173" t="s">
        <v>507</v>
      </c>
      <c r="B173" t="s">
        <v>144</v>
      </c>
      <c r="C173" t="s">
        <v>101</v>
      </c>
    </row>
    <row r="174" spans="1:3" x14ac:dyDescent="0.25">
      <c r="A174" t="s">
        <v>508</v>
      </c>
      <c r="B174" t="s">
        <v>145</v>
      </c>
      <c r="C174" t="s">
        <v>101</v>
      </c>
    </row>
    <row r="175" spans="1:3" x14ac:dyDescent="0.25">
      <c r="A175" t="s">
        <v>509</v>
      </c>
      <c r="B175" t="s">
        <v>146</v>
      </c>
      <c r="C175" t="s">
        <v>101</v>
      </c>
    </row>
    <row r="176" spans="1:3" x14ac:dyDescent="0.25">
      <c r="A176" t="s">
        <v>510</v>
      </c>
      <c r="B176" t="s">
        <v>147</v>
      </c>
      <c r="C176" t="s">
        <v>101</v>
      </c>
    </row>
    <row r="177" spans="1:3" x14ac:dyDescent="0.25">
      <c r="A177" t="s">
        <v>511</v>
      </c>
      <c r="B177" t="s">
        <v>148</v>
      </c>
      <c r="C177" t="s">
        <v>101</v>
      </c>
    </row>
    <row r="178" spans="1:3" x14ac:dyDescent="0.25">
      <c r="A178" t="s">
        <v>512</v>
      </c>
      <c r="B178" t="s">
        <v>149</v>
      </c>
      <c r="C178" t="s">
        <v>101</v>
      </c>
    </row>
    <row r="179" spans="1:3" x14ac:dyDescent="0.25">
      <c r="A179" t="s">
        <v>513</v>
      </c>
      <c r="B179" t="s">
        <v>150</v>
      </c>
      <c r="C179" t="s">
        <v>101</v>
      </c>
    </row>
    <row r="180" spans="1:3" x14ac:dyDescent="0.25">
      <c r="A180" t="s">
        <v>514</v>
      </c>
      <c r="B180" t="s">
        <v>151</v>
      </c>
      <c r="C180" t="s">
        <v>101</v>
      </c>
    </row>
    <row r="181" spans="1:3" x14ac:dyDescent="0.25">
      <c r="A181" t="s">
        <v>515</v>
      </c>
      <c r="B181" t="s">
        <v>152</v>
      </c>
      <c r="C181" t="s">
        <v>101</v>
      </c>
    </row>
    <row r="182" spans="1:3" x14ac:dyDescent="0.25">
      <c r="A182" t="s">
        <v>516</v>
      </c>
      <c r="B182" t="s">
        <v>153</v>
      </c>
      <c r="C182" t="s">
        <v>101</v>
      </c>
    </row>
    <row r="183" spans="1:3" x14ac:dyDescent="0.25">
      <c r="A183" t="s">
        <v>517</v>
      </c>
      <c r="B183" t="s">
        <v>154</v>
      </c>
      <c r="C183" t="s">
        <v>101</v>
      </c>
    </row>
    <row r="184" spans="1:3" x14ac:dyDescent="0.25">
      <c r="A184" t="s">
        <v>518</v>
      </c>
      <c r="B184" t="s">
        <v>155</v>
      </c>
      <c r="C184" t="s">
        <v>101</v>
      </c>
    </row>
    <row r="185" spans="1:3" x14ac:dyDescent="0.25">
      <c r="A185" t="s">
        <v>519</v>
      </c>
      <c r="B185" t="s">
        <v>156</v>
      </c>
      <c r="C185" t="s">
        <v>101</v>
      </c>
    </row>
    <row r="186" spans="1:3" x14ac:dyDescent="0.25">
      <c r="A186" t="s">
        <v>520</v>
      </c>
      <c r="B186" t="s">
        <v>157</v>
      </c>
      <c r="C186" t="s">
        <v>101</v>
      </c>
    </row>
    <row r="187" spans="1:3" x14ac:dyDescent="0.25">
      <c r="A187" t="s">
        <v>521</v>
      </c>
      <c r="B187" t="s">
        <v>158</v>
      </c>
      <c r="C187" t="s">
        <v>101</v>
      </c>
    </row>
    <row r="188" spans="1:3" x14ac:dyDescent="0.25">
      <c r="A188" t="s">
        <v>522</v>
      </c>
      <c r="B188" t="s">
        <v>159</v>
      </c>
      <c r="C188" t="s">
        <v>101</v>
      </c>
    </row>
    <row r="189" spans="1:3" x14ac:dyDescent="0.25">
      <c r="A189" t="s">
        <v>523</v>
      </c>
      <c r="B189" t="s">
        <v>160</v>
      </c>
      <c r="C189" t="s">
        <v>101</v>
      </c>
    </row>
    <row r="190" spans="1:3" x14ac:dyDescent="0.25">
      <c r="A190" t="s">
        <v>524</v>
      </c>
      <c r="B190" t="s">
        <v>244</v>
      </c>
      <c r="C190" t="s">
        <v>101</v>
      </c>
    </row>
    <row r="191" spans="1:3" x14ac:dyDescent="0.25">
      <c r="A191" t="s">
        <v>525</v>
      </c>
      <c r="B191" t="s">
        <v>245</v>
      </c>
      <c r="C191" t="s">
        <v>101</v>
      </c>
    </row>
    <row r="192" spans="1:3" x14ac:dyDescent="0.25">
      <c r="A192" t="s">
        <v>526</v>
      </c>
      <c r="B192" t="s">
        <v>246</v>
      </c>
      <c r="C192" t="s">
        <v>101</v>
      </c>
    </row>
    <row r="193" spans="1:74" x14ac:dyDescent="0.25">
      <c r="A193" t="s">
        <v>527</v>
      </c>
      <c r="B193" t="s">
        <v>164</v>
      </c>
      <c r="C193" t="s">
        <v>101</v>
      </c>
    </row>
    <row r="194" spans="1:74" x14ac:dyDescent="0.25">
      <c r="A194" t="s">
        <v>528</v>
      </c>
      <c r="B194" t="s">
        <v>165</v>
      </c>
      <c r="C194" t="s">
        <v>101</v>
      </c>
    </row>
    <row r="195" spans="1:74" x14ac:dyDescent="0.25">
      <c r="A195" t="s">
        <v>529</v>
      </c>
      <c r="B195" t="s">
        <v>166</v>
      </c>
      <c r="C195" t="s">
        <v>101</v>
      </c>
    </row>
    <row r="196" spans="1:74" x14ac:dyDescent="0.25">
      <c r="A196" t="s">
        <v>530</v>
      </c>
      <c r="B196" t="s">
        <v>167</v>
      </c>
      <c r="C196" t="s">
        <v>101</v>
      </c>
    </row>
    <row r="197" spans="1:74" x14ac:dyDescent="0.25">
      <c r="A197" t="s">
        <v>531</v>
      </c>
      <c r="B197" t="s">
        <v>247</v>
      </c>
      <c r="C197" t="s">
        <v>101</v>
      </c>
    </row>
    <row r="198" spans="1:74" x14ac:dyDescent="0.25">
      <c r="A198" t="s">
        <v>532</v>
      </c>
      <c r="B198" t="s">
        <v>169</v>
      </c>
      <c r="C198" t="s">
        <v>101</v>
      </c>
    </row>
    <row r="199" spans="1:74" x14ac:dyDescent="0.25">
      <c r="A199" t="s">
        <v>533</v>
      </c>
      <c r="B199" t="s">
        <v>170</v>
      </c>
      <c r="C199" t="s">
        <v>101</v>
      </c>
    </row>
    <row r="200" spans="1:74" x14ac:dyDescent="0.25">
      <c r="A200" t="s">
        <v>534</v>
      </c>
      <c r="B200" t="s">
        <v>45</v>
      </c>
      <c r="C200" t="s">
        <v>102</v>
      </c>
      <c r="D200">
        <v>2.2429999999999999</v>
      </c>
      <c r="E200">
        <v>-19</v>
      </c>
      <c r="F200">
        <v>-11</v>
      </c>
      <c r="G200">
        <v>-12</v>
      </c>
      <c r="H200">
        <v>-11</v>
      </c>
      <c r="I200">
        <v>-6</v>
      </c>
      <c r="J200">
        <v>-10</v>
      </c>
      <c r="K200">
        <v>-6</v>
      </c>
      <c r="L200">
        <v>3</v>
      </c>
      <c r="M200">
        <v>8</v>
      </c>
      <c r="N200">
        <v>6</v>
      </c>
      <c r="O200">
        <v>13</v>
      </c>
      <c r="P200">
        <v>17</v>
      </c>
      <c r="Q200">
        <v>14</v>
      </c>
      <c r="R200">
        <v>9</v>
      </c>
      <c r="S200">
        <v>6</v>
      </c>
      <c r="T200">
        <v>-2</v>
      </c>
      <c r="U200">
        <v>-23</v>
      </c>
      <c r="V200">
        <v>-30</v>
      </c>
      <c r="W200">
        <v>-17</v>
      </c>
      <c r="X200">
        <v>-6</v>
      </c>
      <c r="Y200">
        <v>4</v>
      </c>
      <c r="Z200">
        <v>14</v>
      </c>
      <c r="AA200">
        <v>17</v>
      </c>
      <c r="AB200">
        <v>18</v>
      </c>
      <c r="AC200">
        <v>12</v>
      </c>
      <c r="AD200">
        <v>8</v>
      </c>
      <c r="AE200">
        <v>11</v>
      </c>
      <c r="AF200">
        <v>3</v>
      </c>
      <c r="AG200">
        <v>3</v>
      </c>
      <c r="AH200">
        <v>3</v>
      </c>
      <c r="AI200">
        <v>8</v>
      </c>
      <c r="AJ200">
        <v>10</v>
      </c>
      <c r="AK200">
        <v>11</v>
      </c>
      <c r="AL200">
        <v>8</v>
      </c>
      <c r="AM200">
        <v>9</v>
      </c>
      <c r="AN200">
        <v>12</v>
      </c>
      <c r="AO200">
        <v>11</v>
      </c>
      <c r="AP200">
        <v>12</v>
      </c>
      <c r="AQ200">
        <v>12</v>
      </c>
      <c r="AR200">
        <v>13</v>
      </c>
      <c r="AS200">
        <v>14</v>
      </c>
      <c r="AT200">
        <v>17</v>
      </c>
      <c r="AU200">
        <v>19</v>
      </c>
      <c r="AV200">
        <v>22</v>
      </c>
      <c r="AW200">
        <v>21</v>
      </c>
      <c r="AX200">
        <v>19</v>
      </c>
      <c r="AY200">
        <v>16</v>
      </c>
      <c r="AZ200">
        <v>14</v>
      </c>
      <c r="BA200">
        <v>5</v>
      </c>
      <c r="BB200">
        <v>6</v>
      </c>
      <c r="BC200">
        <v>-37</v>
      </c>
      <c r="BD200">
        <v>-15</v>
      </c>
      <c r="BE200">
        <v>-8</v>
      </c>
      <c r="BF200">
        <v>0</v>
      </c>
      <c r="BG200">
        <v>13</v>
      </c>
      <c r="BH200">
        <v>12</v>
      </c>
      <c r="BI200">
        <v>6</v>
      </c>
      <c r="BJ200">
        <v>-10</v>
      </c>
      <c r="BK200">
        <v>1</v>
      </c>
      <c r="BL200">
        <v>4</v>
      </c>
      <c r="BM200">
        <v>-7</v>
      </c>
      <c r="BN200">
        <v>-9</v>
      </c>
      <c r="BO200">
        <v>-7</v>
      </c>
      <c r="BP200">
        <v>-10</v>
      </c>
      <c r="BQ200">
        <v>-10</v>
      </c>
      <c r="BR200">
        <v>-7</v>
      </c>
      <c r="BS200">
        <v>-9</v>
      </c>
      <c r="BT200">
        <v>-8</v>
      </c>
      <c r="BU200">
        <v>-11</v>
      </c>
      <c r="BV200">
        <v>-6</v>
      </c>
    </row>
    <row r="201" spans="1:74" x14ac:dyDescent="0.25">
      <c r="A201" t="s">
        <v>535</v>
      </c>
      <c r="B201" t="s">
        <v>110</v>
      </c>
      <c r="C201" t="s">
        <v>102</v>
      </c>
      <c r="D201">
        <v>3.7570000000000001</v>
      </c>
      <c r="E201">
        <v>-14</v>
      </c>
      <c r="F201">
        <v>-6</v>
      </c>
      <c r="G201">
        <v>-9</v>
      </c>
      <c r="H201">
        <v>-3</v>
      </c>
      <c r="I201">
        <v>0</v>
      </c>
      <c r="J201">
        <v>-6</v>
      </c>
      <c r="K201">
        <v>-1</v>
      </c>
      <c r="L201">
        <v>10</v>
      </c>
      <c r="M201">
        <v>13</v>
      </c>
      <c r="N201">
        <v>14</v>
      </c>
      <c r="O201">
        <v>21</v>
      </c>
      <c r="P201">
        <v>24</v>
      </c>
      <c r="Q201">
        <v>21</v>
      </c>
      <c r="R201">
        <v>15</v>
      </c>
      <c r="S201">
        <v>13</v>
      </c>
      <c r="T201">
        <v>1</v>
      </c>
      <c r="U201">
        <v>-32</v>
      </c>
      <c r="V201">
        <v>-44</v>
      </c>
      <c r="W201">
        <v>-25</v>
      </c>
      <c r="X201">
        <v>-8</v>
      </c>
      <c r="Y201">
        <v>8</v>
      </c>
      <c r="Z201">
        <v>22</v>
      </c>
      <c r="AA201">
        <v>27</v>
      </c>
      <c r="AB201">
        <v>28</v>
      </c>
      <c r="AC201">
        <v>15</v>
      </c>
      <c r="AD201">
        <v>14</v>
      </c>
      <c r="AE201">
        <v>14</v>
      </c>
      <c r="AF201">
        <v>2</v>
      </c>
      <c r="AG201">
        <v>2</v>
      </c>
      <c r="AH201">
        <v>3</v>
      </c>
      <c r="AI201">
        <v>8</v>
      </c>
      <c r="AJ201">
        <v>12</v>
      </c>
      <c r="AK201">
        <v>13</v>
      </c>
      <c r="AL201">
        <v>9</v>
      </c>
      <c r="AM201">
        <v>11</v>
      </c>
      <c r="AN201">
        <v>13</v>
      </c>
      <c r="AO201">
        <v>11</v>
      </c>
      <c r="AP201">
        <v>12</v>
      </c>
      <c r="AQ201">
        <v>13</v>
      </c>
      <c r="AR201">
        <v>12</v>
      </c>
      <c r="AS201">
        <v>14</v>
      </c>
      <c r="AT201">
        <v>21</v>
      </c>
      <c r="AU201">
        <v>24</v>
      </c>
      <c r="AV201">
        <v>27</v>
      </c>
      <c r="AW201">
        <v>26</v>
      </c>
      <c r="AX201">
        <v>22</v>
      </c>
      <c r="AY201">
        <v>16</v>
      </c>
      <c r="AZ201">
        <v>10</v>
      </c>
      <c r="BA201">
        <v>-4</v>
      </c>
      <c r="BB201">
        <v>-1</v>
      </c>
      <c r="BC201">
        <v>-41</v>
      </c>
      <c r="BD201">
        <v>-17</v>
      </c>
      <c r="BE201">
        <v>-1</v>
      </c>
      <c r="BF201">
        <v>13</v>
      </c>
      <c r="BG201">
        <v>21</v>
      </c>
      <c r="BH201">
        <v>23</v>
      </c>
      <c r="BI201">
        <v>9</v>
      </c>
      <c r="BJ201">
        <v>-10</v>
      </c>
      <c r="BK201">
        <v>3</v>
      </c>
      <c r="BL201">
        <v>7</v>
      </c>
      <c r="BM201">
        <v>-12</v>
      </c>
      <c r="BN201">
        <v>-11</v>
      </c>
      <c r="BO201">
        <v>-10</v>
      </c>
      <c r="BP201">
        <v>-17</v>
      </c>
      <c r="BQ201">
        <v>-17</v>
      </c>
      <c r="BR201">
        <v>-12</v>
      </c>
      <c r="BS201">
        <v>-16</v>
      </c>
      <c r="BT201">
        <v>-13</v>
      </c>
      <c r="BU201">
        <v>-15</v>
      </c>
      <c r="BV201">
        <v>-9</v>
      </c>
    </row>
    <row r="202" spans="1:74" x14ac:dyDescent="0.25">
      <c r="A202" t="s">
        <v>536</v>
      </c>
      <c r="B202" t="s">
        <v>111</v>
      </c>
      <c r="C202" t="s">
        <v>102</v>
      </c>
      <c r="D202">
        <v>-4.7430000000000003</v>
      </c>
      <c r="E202">
        <v>-19</v>
      </c>
      <c r="F202">
        <v>-16</v>
      </c>
      <c r="G202">
        <v>-16</v>
      </c>
      <c r="H202">
        <v>-20</v>
      </c>
      <c r="I202">
        <v>-15</v>
      </c>
      <c r="J202">
        <v>-15</v>
      </c>
      <c r="K202">
        <v>-17</v>
      </c>
      <c r="L202">
        <v>-7</v>
      </c>
      <c r="M202">
        <v>6</v>
      </c>
      <c r="N202">
        <v>4</v>
      </c>
      <c r="O202">
        <v>17</v>
      </c>
      <c r="P202">
        <v>26</v>
      </c>
      <c r="Q202">
        <v>3</v>
      </c>
      <c r="R202">
        <v>-3</v>
      </c>
      <c r="S202">
        <v>5</v>
      </c>
      <c r="T202">
        <v>-4</v>
      </c>
      <c r="U202">
        <v>-33</v>
      </c>
      <c r="V202">
        <v>-33</v>
      </c>
      <c r="W202">
        <v>-26</v>
      </c>
      <c r="X202">
        <v>-28</v>
      </c>
      <c r="Y202">
        <v>-6</v>
      </c>
      <c r="Z202">
        <v>-4</v>
      </c>
      <c r="AA202">
        <v>-4</v>
      </c>
      <c r="AB202">
        <v>1</v>
      </c>
      <c r="AC202">
        <v>4</v>
      </c>
      <c r="AD202">
        <v>2</v>
      </c>
      <c r="AE202">
        <v>0</v>
      </c>
      <c r="AF202">
        <v>-7</v>
      </c>
      <c r="AG202">
        <v>3</v>
      </c>
      <c r="AH202">
        <v>-19</v>
      </c>
      <c r="AI202">
        <v>1</v>
      </c>
      <c r="AJ202">
        <v>-1</v>
      </c>
      <c r="AK202">
        <v>-9</v>
      </c>
      <c r="AL202">
        <v>-10</v>
      </c>
      <c r="AM202">
        <v>-13</v>
      </c>
      <c r="AN202">
        <v>-3</v>
      </c>
      <c r="AO202">
        <v>-7</v>
      </c>
      <c r="AP202">
        <v>-2</v>
      </c>
      <c r="AQ202">
        <v>-1</v>
      </c>
      <c r="AR202">
        <v>6</v>
      </c>
      <c r="AS202">
        <v>5</v>
      </c>
      <c r="AT202">
        <v>6</v>
      </c>
      <c r="AU202">
        <v>9</v>
      </c>
      <c r="AV202">
        <v>22</v>
      </c>
      <c r="AW202">
        <v>20</v>
      </c>
      <c r="AX202">
        <v>19</v>
      </c>
      <c r="AY202">
        <v>22</v>
      </c>
      <c r="AZ202">
        <v>16</v>
      </c>
      <c r="BA202">
        <v>9</v>
      </c>
      <c r="BB202">
        <v>22</v>
      </c>
      <c r="BC202">
        <v>-48</v>
      </c>
      <c r="BD202">
        <v>-6</v>
      </c>
      <c r="BE202">
        <v>3</v>
      </c>
      <c r="BF202">
        <v>11</v>
      </c>
      <c r="BG202">
        <v>14</v>
      </c>
      <c r="BH202">
        <v>14</v>
      </c>
      <c r="BI202">
        <v>8</v>
      </c>
      <c r="BJ202">
        <v>-11</v>
      </c>
      <c r="BK202">
        <v>-4</v>
      </c>
      <c r="BL202">
        <v>4</v>
      </c>
      <c r="BM202">
        <v>-11</v>
      </c>
      <c r="BN202">
        <v>-20</v>
      </c>
      <c r="BO202">
        <v>-8</v>
      </c>
      <c r="BP202">
        <v>-27</v>
      </c>
      <c r="BQ202">
        <v>-25</v>
      </c>
      <c r="BR202">
        <v>-16</v>
      </c>
      <c r="BS202">
        <v>-30</v>
      </c>
      <c r="BT202">
        <v>-28</v>
      </c>
      <c r="BU202">
        <v>-23</v>
      </c>
      <c r="BV202">
        <v>-19</v>
      </c>
    </row>
    <row r="203" spans="1:74" x14ac:dyDescent="0.25">
      <c r="A203" t="s">
        <v>537</v>
      </c>
      <c r="B203" t="s">
        <v>112</v>
      </c>
      <c r="C203" t="s">
        <v>102</v>
      </c>
      <c r="D203">
        <v>7.6859999999999999</v>
      </c>
      <c r="E203">
        <v>-12</v>
      </c>
      <c r="F203">
        <v>-7</v>
      </c>
      <c r="G203">
        <v>-10</v>
      </c>
      <c r="H203">
        <v>-8</v>
      </c>
      <c r="I203">
        <v>0</v>
      </c>
      <c r="J203">
        <v>-6</v>
      </c>
      <c r="K203">
        <v>2</v>
      </c>
      <c r="L203">
        <v>6</v>
      </c>
      <c r="M203">
        <v>10</v>
      </c>
      <c r="N203">
        <v>8</v>
      </c>
      <c r="O203">
        <v>14</v>
      </c>
      <c r="P203">
        <v>20</v>
      </c>
      <c r="Q203">
        <v>15</v>
      </c>
      <c r="R203">
        <v>8</v>
      </c>
      <c r="S203">
        <v>10</v>
      </c>
      <c r="T203">
        <v>-3</v>
      </c>
      <c r="U203">
        <v>-8</v>
      </c>
      <c r="V203">
        <v>-3</v>
      </c>
      <c r="W203">
        <v>-8</v>
      </c>
      <c r="X203">
        <v>0</v>
      </c>
      <c r="Y203">
        <v>14</v>
      </c>
      <c r="Z203">
        <v>16</v>
      </c>
      <c r="AA203">
        <v>18</v>
      </c>
      <c r="AB203">
        <v>16</v>
      </c>
      <c r="AC203">
        <v>11</v>
      </c>
      <c r="AD203">
        <v>5</v>
      </c>
      <c r="AE203">
        <v>14</v>
      </c>
      <c r="AF203">
        <v>2</v>
      </c>
      <c r="AG203">
        <v>11</v>
      </c>
      <c r="AH203">
        <v>14</v>
      </c>
      <c r="AI203">
        <v>20</v>
      </c>
      <c r="AJ203">
        <v>18</v>
      </c>
      <c r="AK203">
        <v>15</v>
      </c>
      <c r="AL203">
        <v>21</v>
      </c>
      <c r="AM203">
        <v>19</v>
      </c>
      <c r="AN203">
        <v>22</v>
      </c>
      <c r="AO203">
        <v>22</v>
      </c>
      <c r="AP203">
        <v>21</v>
      </c>
      <c r="AQ203">
        <v>21</v>
      </c>
      <c r="AR203">
        <v>15</v>
      </c>
      <c r="AS203">
        <v>23</v>
      </c>
      <c r="AT203">
        <v>26</v>
      </c>
      <c r="AU203">
        <v>22</v>
      </c>
      <c r="AV203">
        <v>25</v>
      </c>
      <c r="AW203">
        <v>31</v>
      </c>
      <c r="AX203">
        <v>20</v>
      </c>
      <c r="AY203">
        <v>19</v>
      </c>
      <c r="AZ203">
        <v>17</v>
      </c>
      <c r="BA203">
        <v>10</v>
      </c>
      <c r="BB203">
        <v>17</v>
      </c>
      <c r="BC203">
        <v>-25</v>
      </c>
      <c r="BD203">
        <v>4</v>
      </c>
      <c r="BE203">
        <v>-1</v>
      </c>
      <c r="BF203">
        <v>4</v>
      </c>
      <c r="BG203">
        <v>8</v>
      </c>
      <c r="BH203">
        <v>4</v>
      </c>
      <c r="BI203">
        <v>1</v>
      </c>
      <c r="BJ203">
        <v>-24</v>
      </c>
      <c r="BK203">
        <v>-7</v>
      </c>
      <c r="BL203">
        <v>1</v>
      </c>
      <c r="BM203">
        <v>1</v>
      </c>
      <c r="BN203">
        <v>-1</v>
      </c>
      <c r="BO203">
        <v>13</v>
      </c>
      <c r="BP203">
        <v>7</v>
      </c>
      <c r="BQ203">
        <v>15</v>
      </c>
      <c r="BR203">
        <v>5</v>
      </c>
      <c r="BS203">
        <v>-15</v>
      </c>
      <c r="BT203">
        <v>-10</v>
      </c>
      <c r="BU203">
        <v>0</v>
      </c>
      <c r="BV203">
        <v>5</v>
      </c>
    </row>
    <row r="204" spans="1:74" x14ac:dyDescent="0.25">
      <c r="A204" t="s">
        <v>538</v>
      </c>
      <c r="B204" t="s">
        <v>113</v>
      </c>
      <c r="C204" t="s">
        <v>102</v>
      </c>
      <c r="D204">
        <v>5.7140000000000004</v>
      </c>
      <c r="E204">
        <v>2</v>
      </c>
      <c r="F204">
        <v>3</v>
      </c>
      <c r="G204">
        <v>-6</v>
      </c>
      <c r="H204">
        <v>-15</v>
      </c>
      <c r="I204">
        <v>-7</v>
      </c>
      <c r="J204">
        <v>-19</v>
      </c>
      <c r="K204">
        <v>-17</v>
      </c>
      <c r="L204">
        <v>-1</v>
      </c>
      <c r="M204">
        <v>2</v>
      </c>
      <c r="N204">
        <v>4</v>
      </c>
      <c r="O204">
        <v>2</v>
      </c>
      <c r="P204">
        <v>18</v>
      </c>
      <c r="Q204">
        <v>-2</v>
      </c>
      <c r="R204">
        <v>-17</v>
      </c>
      <c r="S204">
        <v>-5</v>
      </c>
      <c r="T204">
        <v>-15</v>
      </c>
      <c r="U204">
        <v>-28</v>
      </c>
      <c r="V204">
        <v>-39</v>
      </c>
      <c r="W204">
        <v>-18</v>
      </c>
      <c r="X204">
        <v>-6</v>
      </c>
      <c r="Y204">
        <v>1</v>
      </c>
      <c r="Z204">
        <v>2</v>
      </c>
      <c r="AA204">
        <v>13</v>
      </c>
      <c r="AB204">
        <v>1</v>
      </c>
      <c r="AC204">
        <v>5</v>
      </c>
      <c r="AD204">
        <v>19</v>
      </c>
      <c r="AE204">
        <v>18</v>
      </c>
      <c r="AF204">
        <v>18</v>
      </c>
      <c r="AG204">
        <v>15</v>
      </c>
      <c r="AH204">
        <v>22</v>
      </c>
      <c r="AI204">
        <v>14</v>
      </c>
      <c r="AJ204">
        <v>27</v>
      </c>
      <c r="AK204">
        <v>27</v>
      </c>
      <c r="AL204">
        <v>19</v>
      </c>
      <c r="AM204">
        <v>26</v>
      </c>
      <c r="AN204">
        <v>17</v>
      </c>
      <c r="AO204">
        <v>29</v>
      </c>
      <c r="AP204">
        <v>27</v>
      </c>
      <c r="AQ204">
        <v>29</v>
      </c>
      <c r="AR204">
        <v>30</v>
      </c>
      <c r="AS204">
        <v>26</v>
      </c>
      <c r="AT204">
        <v>26</v>
      </c>
      <c r="AU204">
        <v>31</v>
      </c>
      <c r="AV204">
        <v>32</v>
      </c>
      <c r="AW204">
        <v>23</v>
      </c>
      <c r="AX204">
        <v>39</v>
      </c>
      <c r="AY204">
        <v>30</v>
      </c>
      <c r="AZ204">
        <v>22</v>
      </c>
      <c r="BA204">
        <v>23</v>
      </c>
      <c r="BB204">
        <v>24</v>
      </c>
      <c r="BC204">
        <v>-26</v>
      </c>
      <c r="BD204">
        <v>-8</v>
      </c>
      <c r="BE204">
        <v>-4</v>
      </c>
      <c r="BF204">
        <v>5</v>
      </c>
      <c r="BG204">
        <v>29</v>
      </c>
      <c r="BH204">
        <v>13</v>
      </c>
      <c r="BI204">
        <v>4</v>
      </c>
      <c r="BJ204">
        <v>-11</v>
      </c>
      <c r="BK204">
        <v>14</v>
      </c>
      <c r="BL204">
        <v>23</v>
      </c>
      <c r="BM204">
        <v>-8</v>
      </c>
      <c r="BN204">
        <v>-7</v>
      </c>
      <c r="BO204">
        <v>-10</v>
      </c>
      <c r="BP204">
        <v>-1</v>
      </c>
      <c r="BQ204">
        <v>-5</v>
      </c>
      <c r="BR204">
        <v>-24</v>
      </c>
      <c r="BS204">
        <v>-1</v>
      </c>
      <c r="BT204">
        <v>-11</v>
      </c>
      <c r="BU204">
        <v>-26</v>
      </c>
      <c r="BV204">
        <v>-17</v>
      </c>
    </row>
    <row r="205" spans="1:74" x14ac:dyDescent="0.25">
      <c r="A205" t="s">
        <v>539</v>
      </c>
      <c r="B205" t="s">
        <v>114</v>
      </c>
      <c r="C205" t="s">
        <v>102</v>
      </c>
      <c r="D205">
        <v>-3.4</v>
      </c>
      <c r="E205">
        <v>-22</v>
      </c>
      <c r="F205">
        <v>-10</v>
      </c>
      <c r="G205">
        <v>-12</v>
      </c>
      <c r="H205">
        <v>-16</v>
      </c>
      <c r="I205">
        <v>-8</v>
      </c>
      <c r="J205">
        <v>-7</v>
      </c>
      <c r="K205">
        <v>-7</v>
      </c>
      <c r="L205">
        <v>0</v>
      </c>
      <c r="M205">
        <v>-3</v>
      </c>
      <c r="N205">
        <v>-4</v>
      </c>
      <c r="O205">
        <v>8</v>
      </c>
      <c r="P205">
        <v>5</v>
      </c>
      <c r="Q205">
        <v>10</v>
      </c>
      <c r="R205">
        <v>8</v>
      </c>
      <c r="S205">
        <v>-1</v>
      </c>
      <c r="T205">
        <v>-8</v>
      </c>
      <c r="U205">
        <v>-29</v>
      </c>
      <c r="V205">
        <v>-36</v>
      </c>
      <c r="W205">
        <v>-24</v>
      </c>
      <c r="X205">
        <v>-7</v>
      </c>
      <c r="Y205">
        <v>6</v>
      </c>
      <c r="Z205">
        <v>18</v>
      </c>
      <c r="AA205">
        <v>18</v>
      </c>
      <c r="AB205">
        <v>16</v>
      </c>
      <c r="AC205">
        <v>5</v>
      </c>
      <c r="AD205">
        <v>9</v>
      </c>
      <c r="AE205">
        <v>0</v>
      </c>
      <c r="AF205">
        <v>-3</v>
      </c>
      <c r="AG205">
        <v>-6</v>
      </c>
      <c r="AH205">
        <v>-2</v>
      </c>
      <c r="AI205">
        <v>6</v>
      </c>
      <c r="AJ205">
        <v>4</v>
      </c>
      <c r="AK205">
        <v>8</v>
      </c>
      <c r="AL205">
        <v>3</v>
      </c>
      <c r="AM205">
        <v>9</v>
      </c>
      <c r="AN205">
        <v>8</v>
      </c>
      <c r="AO205">
        <v>11</v>
      </c>
      <c r="AP205">
        <v>7</v>
      </c>
      <c r="AQ205">
        <v>11</v>
      </c>
      <c r="AR205">
        <v>8</v>
      </c>
      <c r="AS205">
        <v>8</v>
      </c>
      <c r="AT205">
        <v>15</v>
      </c>
      <c r="AU205">
        <v>15</v>
      </c>
      <c r="AV205">
        <v>7</v>
      </c>
      <c r="AW205">
        <v>9</v>
      </c>
      <c r="AX205">
        <v>7</v>
      </c>
      <c r="AY205">
        <v>-1</v>
      </c>
      <c r="AZ205">
        <v>5</v>
      </c>
      <c r="BA205">
        <v>-6</v>
      </c>
      <c r="BB205">
        <v>0</v>
      </c>
      <c r="BC205">
        <v>-44</v>
      </c>
      <c r="BD205">
        <v>-19</v>
      </c>
      <c r="BE205">
        <v>-4</v>
      </c>
      <c r="BF205">
        <v>-5</v>
      </c>
      <c r="BG205">
        <v>9</v>
      </c>
      <c r="BH205">
        <v>19</v>
      </c>
      <c r="BI205">
        <v>-1</v>
      </c>
      <c r="BJ205">
        <v>-24</v>
      </c>
      <c r="BK205">
        <v>-8</v>
      </c>
      <c r="BL205">
        <v>-1</v>
      </c>
      <c r="BM205">
        <v>-20</v>
      </c>
      <c r="BN205">
        <v>-20</v>
      </c>
      <c r="BO205">
        <v>-19</v>
      </c>
      <c r="BP205">
        <v>-23</v>
      </c>
      <c r="BQ205">
        <v>-23</v>
      </c>
      <c r="BR205">
        <v>-13</v>
      </c>
      <c r="BS205">
        <v>-11</v>
      </c>
      <c r="BT205">
        <v>-18</v>
      </c>
      <c r="BU205">
        <v>-26</v>
      </c>
      <c r="BV205">
        <v>-19</v>
      </c>
    </row>
    <row r="206" spans="1:74" x14ac:dyDescent="0.25">
      <c r="A206" t="s">
        <v>540</v>
      </c>
      <c r="B206" t="s">
        <v>115</v>
      </c>
      <c r="C206" t="s">
        <v>102</v>
      </c>
      <c r="D206">
        <v>-2.9289999999999998</v>
      </c>
      <c r="E206">
        <v>-22</v>
      </c>
      <c r="F206">
        <v>-11</v>
      </c>
      <c r="G206">
        <v>-3</v>
      </c>
      <c r="H206">
        <v>-12</v>
      </c>
      <c r="I206">
        <v>-10</v>
      </c>
      <c r="J206">
        <v>-2</v>
      </c>
      <c r="K206">
        <v>-4</v>
      </c>
      <c r="L206">
        <v>-1</v>
      </c>
      <c r="M206">
        <v>-7</v>
      </c>
      <c r="N206">
        <v>3</v>
      </c>
      <c r="O206">
        <v>7</v>
      </c>
      <c r="P206">
        <v>8</v>
      </c>
      <c r="Q206">
        <v>8</v>
      </c>
      <c r="R206">
        <v>6</v>
      </c>
      <c r="S206">
        <v>-2</v>
      </c>
      <c r="T206">
        <v>-8</v>
      </c>
      <c r="U206">
        <v>-32</v>
      </c>
      <c r="V206">
        <v>-41</v>
      </c>
      <c r="W206">
        <v>-23</v>
      </c>
      <c r="X206">
        <v>-5</v>
      </c>
      <c r="Y206">
        <v>4</v>
      </c>
      <c r="Z206">
        <v>20</v>
      </c>
      <c r="AA206">
        <v>17</v>
      </c>
      <c r="AB206">
        <v>14</v>
      </c>
      <c r="AC206">
        <v>-1</v>
      </c>
      <c r="AD206">
        <v>3</v>
      </c>
      <c r="AE206">
        <v>-3</v>
      </c>
      <c r="AF206">
        <v>-3</v>
      </c>
      <c r="AG206">
        <v>-8</v>
      </c>
      <c r="AH206">
        <v>-8</v>
      </c>
      <c r="AI206">
        <v>5</v>
      </c>
      <c r="AJ206">
        <v>-3</v>
      </c>
      <c r="AK206">
        <v>6</v>
      </c>
      <c r="AL206">
        <v>5</v>
      </c>
      <c r="AM206">
        <v>1</v>
      </c>
      <c r="AN206">
        <v>5</v>
      </c>
      <c r="AO206">
        <v>11</v>
      </c>
      <c r="AP206">
        <v>8</v>
      </c>
      <c r="AQ206">
        <v>13</v>
      </c>
      <c r="AR206">
        <v>15</v>
      </c>
      <c r="AS206">
        <v>16</v>
      </c>
      <c r="AT206">
        <v>15</v>
      </c>
      <c r="AU206">
        <v>17</v>
      </c>
      <c r="AV206">
        <v>3</v>
      </c>
      <c r="AW206">
        <v>5</v>
      </c>
      <c r="AX206">
        <v>8</v>
      </c>
      <c r="AY206">
        <v>-2</v>
      </c>
      <c r="AZ206">
        <v>4</v>
      </c>
      <c r="BA206">
        <v>-7</v>
      </c>
      <c r="BB206">
        <v>-4</v>
      </c>
      <c r="BC206">
        <v>-34</v>
      </c>
      <c r="BD206">
        <v>-13</v>
      </c>
      <c r="BE206">
        <v>9</v>
      </c>
      <c r="BF206">
        <v>1</v>
      </c>
      <c r="BG206">
        <v>14</v>
      </c>
      <c r="BH206">
        <v>28</v>
      </c>
      <c r="BI206">
        <v>2</v>
      </c>
      <c r="BJ206">
        <v>-27</v>
      </c>
      <c r="BK206">
        <v>-12</v>
      </c>
      <c r="BL206">
        <v>2</v>
      </c>
      <c r="BM206">
        <v>-20</v>
      </c>
      <c r="BN206">
        <v>-23</v>
      </c>
      <c r="BO206">
        <v>-14</v>
      </c>
      <c r="BP206">
        <v>-20</v>
      </c>
      <c r="BQ206">
        <v>-12</v>
      </c>
      <c r="BR206">
        <v>-9</v>
      </c>
      <c r="BS206">
        <v>-16</v>
      </c>
      <c r="BT206">
        <v>-24</v>
      </c>
      <c r="BU206">
        <v>-28</v>
      </c>
      <c r="BV206">
        <v>-14</v>
      </c>
    </row>
    <row r="207" spans="1:74" x14ac:dyDescent="0.25">
      <c r="A207" t="s">
        <v>541</v>
      </c>
      <c r="B207" t="s">
        <v>116</v>
      </c>
      <c r="C207" t="s">
        <v>102</v>
      </c>
      <c r="D207">
        <v>-1.9430000000000001</v>
      </c>
      <c r="E207">
        <v>-15</v>
      </c>
      <c r="F207">
        <v>-9</v>
      </c>
      <c r="G207">
        <v>-11</v>
      </c>
      <c r="H207">
        <v>-12</v>
      </c>
      <c r="I207">
        <v>-6</v>
      </c>
      <c r="J207">
        <v>-4</v>
      </c>
      <c r="K207">
        <v>-11</v>
      </c>
      <c r="L207">
        <v>11</v>
      </c>
      <c r="M207">
        <v>3</v>
      </c>
      <c r="N207">
        <v>9</v>
      </c>
      <c r="O207">
        <v>18</v>
      </c>
      <c r="P207">
        <v>15</v>
      </c>
      <c r="Q207">
        <v>6</v>
      </c>
      <c r="R207">
        <v>0</v>
      </c>
      <c r="S207">
        <v>-4</v>
      </c>
      <c r="T207">
        <v>-24</v>
      </c>
      <c r="U207">
        <v>-33</v>
      </c>
      <c r="V207">
        <v>-50</v>
      </c>
      <c r="W207">
        <v>-23</v>
      </c>
      <c r="X207">
        <v>-12</v>
      </c>
      <c r="Y207">
        <v>10</v>
      </c>
      <c r="Z207">
        <v>12</v>
      </c>
      <c r="AA207">
        <v>6</v>
      </c>
      <c r="AB207">
        <v>8</v>
      </c>
      <c r="AC207">
        <v>5</v>
      </c>
      <c r="AD207">
        <v>11</v>
      </c>
      <c r="AE207">
        <v>6</v>
      </c>
      <c r="AF207">
        <v>-7</v>
      </c>
      <c r="AG207">
        <v>-3</v>
      </c>
      <c r="AH207">
        <v>-4</v>
      </c>
      <c r="AI207">
        <v>-2</v>
      </c>
      <c r="AJ207">
        <v>14</v>
      </c>
      <c r="AK207">
        <v>15</v>
      </c>
      <c r="AL207">
        <v>9</v>
      </c>
      <c r="AM207">
        <v>3</v>
      </c>
      <c r="AN207">
        <v>8</v>
      </c>
      <c r="AO207">
        <v>-2</v>
      </c>
      <c r="AP207">
        <v>1</v>
      </c>
      <c r="AQ207">
        <v>14</v>
      </c>
      <c r="AR207">
        <v>6</v>
      </c>
      <c r="AS207">
        <v>7</v>
      </c>
      <c r="AT207">
        <v>14</v>
      </c>
      <c r="AU207">
        <v>23</v>
      </c>
      <c r="AV207">
        <v>17</v>
      </c>
      <c r="AW207">
        <v>20</v>
      </c>
      <c r="AX207">
        <v>17</v>
      </c>
      <c r="AY207">
        <v>17</v>
      </c>
      <c r="AZ207">
        <v>12</v>
      </c>
      <c r="BA207">
        <v>0</v>
      </c>
      <c r="BB207">
        <v>9</v>
      </c>
      <c r="BC207">
        <v>-23</v>
      </c>
      <c r="BD207">
        <v>0</v>
      </c>
      <c r="BE207">
        <v>8</v>
      </c>
      <c r="BF207">
        <v>29</v>
      </c>
      <c r="BG207">
        <v>25</v>
      </c>
      <c r="BH207">
        <v>19</v>
      </c>
      <c r="BI207">
        <v>7</v>
      </c>
      <c r="BJ207">
        <v>-23</v>
      </c>
      <c r="BK207">
        <v>-4</v>
      </c>
      <c r="BL207">
        <v>-9</v>
      </c>
      <c r="BM207">
        <v>-25</v>
      </c>
      <c r="BN207">
        <v>-33</v>
      </c>
      <c r="BO207">
        <v>-23</v>
      </c>
      <c r="BP207">
        <v>-35</v>
      </c>
      <c r="BQ207">
        <v>-39</v>
      </c>
      <c r="BR207">
        <v>-24</v>
      </c>
      <c r="BS207">
        <v>-11</v>
      </c>
      <c r="BT207">
        <v>-17</v>
      </c>
      <c r="BU207">
        <v>-36</v>
      </c>
      <c r="BV207">
        <v>-16</v>
      </c>
    </row>
    <row r="208" spans="1:74" x14ac:dyDescent="0.25">
      <c r="A208" t="s">
        <v>542</v>
      </c>
      <c r="B208" t="s">
        <v>117</v>
      </c>
      <c r="C208" t="s">
        <v>102</v>
      </c>
      <c r="D208">
        <v>1.5</v>
      </c>
      <c r="E208">
        <v>-6</v>
      </c>
      <c r="F208">
        <v>0</v>
      </c>
      <c r="G208">
        <v>-4</v>
      </c>
      <c r="H208">
        <v>-1</v>
      </c>
      <c r="I208">
        <v>1</v>
      </c>
      <c r="J208">
        <v>-6</v>
      </c>
      <c r="K208">
        <v>8</v>
      </c>
      <c r="L208">
        <v>4</v>
      </c>
      <c r="M208">
        <v>9</v>
      </c>
      <c r="N208">
        <v>9</v>
      </c>
      <c r="O208">
        <v>11</v>
      </c>
      <c r="P208">
        <v>18</v>
      </c>
      <c r="Q208">
        <v>14</v>
      </c>
      <c r="R208">
        <v>9</v>
      </c>
      <c r="S208">
        <v>14</v>
      </c>
      <c r="T208">
        <v>4</v>
      </c>
      <c r="U208">
        <v>-29</v>
      </c>
      <c r="V208">
        <v>-37</v>
      </c>
      <c r="W208">
        <v>-22</v>
      </c>
      <c r="X208">
        <v>-11</v>
      </c>
      <c r="Y208">
        <v>3</v>
      </c>
      <c r="Z208">
        <v>30</v>
      </c>
      <c r="AA208">
        <v>28</v>
      </c>
      <c r="AB208">
        <v>19</v>
      </c>
      <c r="AC208">
        <v>-1</v>
      </c>
      <c r="AD208">
        <v>10</v>
      </c>
      <c r="AE208">
        <v>14</v>
      </c>
      <c r="AF208">
        <v>-1</v>
      </c>
      <c r="AG208">
        <v>6</v>
      </c>
      <c r="AH208">
        <v>20</v>
      </c>
      <c r="AI208">
        <v>-5</v>
      </c>
      <c r="AJ208">
        <v>-5</v>
      </c>
      <c r="AK208">
        <v>10</v>
      </c>
      <c r="AL208">
        <v>14</v>
      </c>
      <c r="AM208">
        <v>6</v>
      </c>
      <c r="AN208">
        <v>11</v>
      </c>
      <c r="AO208">
        <v>-2</v>
      </c>
      <c r="AP208">
        <v>8</v>
      </c>
      <c r="AQ208">
        <v>12</v>
      </c>
      <c r="AR208">
        <v>11</v>
      </c>
      <c r="AS208">
        <v>13</v>
      </c>
      <c r="AT208">
        <v>19</v>
      </c>
      <c r="AU208">
        <v>19</v>
      </c>
      <c r="AV208">
        <v>26</v>
      </c>
      <c r="AW208">
        <v>27</v>
      </c>
      <c r="AX208">
        <v>30</v>
      </c>
      <c r="AY208">
        <v>13</v>
      </c>
      <c r="AZ208">
        <v>-1</v>
      </c>
      <c r="BA208">
        <v>2</v>
      </c>
      <c r="BB208">
        <v>-7</v>
      </c>
      <c r="BC208">
        <v>-35</v>
      </c>
      <c r="BD208">
        <v>-15</v>
      </c>
      <c r="BE208">
        <v>-10</v>
      </c>
      <c r="BF208">
        <v>17</v>
      </c>
      <c r="BG208">
        <v>10</v>
      </c>
      <c r="BH208">
        <v>11</v>
      </c>
      <c r="BI208">
        <v>1</v>
      </c>
      <c r="BJ208">
        <v>-12</v>
      </c>
      <c r="BK208">
        <v>-13</v>
      </c>
      <c r="BL208">
        <v>-11</v>
      </c>
      <c r="BM208">
        <v>-25</v>
      </c>
      <c r="BN208">
        <v>-5</v>
      </c>
      <c r="BO208">
        <v>-11</v>
      </c>
      <c r="BP208">
        <v>-7</v>
      </c>
      <c r="BQ208">
        <v>-6</v>
      </c>
      <c r="BR208">
        <v>-10</v>
      </c>
      <c r="BS208">
        <v>-23</v>
      </c>
      <c r="BT208">
        <v>-34</v>
      </c>
      <c r="BU208">
        <v>-17</v>
      </c>
      <c r="BV208">
        <v>-14</v>
      </c>
    </row>
    <row r="209" spans="1:74" x14ac:dyDescent="0.25">
      <c r="A209" t="s">
        <v>543</v>
      </c>
      <c r="B209" t="s">
        <v>118</v>
      </c>
      <c r="C209" t="s">
        <v>102</v>
      </c>
      <c r="D209">
        <v>-5.9139999999999997</v>
      </c>
      <c r="E209">
        <v>-20</v>
      </c>
      <c r="F209">
        <v>-1</v>
      </c>
      <c r="G209">
        <v>0</v>
      </c>
      <c r="H209">
        <v>4</v>
      </c>
      <c r="I209">
        <v>3</v>
      </c>
      <c r="J209">
        <v>-5</v>
      </c>
      <c r="K209">
        <v>-5</v>
      </c>
      <c r="L209">
        <v>11</v>
      </c>
      <c r="M209">
        <v>16</v>
      </c>
      <c r="N209">
        <v>12</v>
      </c>
      <c r="O209">
        <v>14</v>
      </c>
      <c r="P209">
        <v>9</v>
      </c>
      <c r="Q209">
        <v>8</v>
      </c>
      <c r="R209">
        <v>9</v>
      </c>
      <c r="S209">
        <v>9</v>
      </c>
      <c r="T209">
        <v>-4</v>
      </c>
      <c r="U209">
        <v>-20</v>
      </c>
      <c r="V209">
        <v>-30</v>
      </c>
      <c r="W209">
        <v>-22</v>
      </c>
      <c r="X209">
        <v>-10</v>
      </c>
      <c r="Y209">
        <v>2</v>
      </c>
      <c r="Z209">
        <v>4</v>
      </c>
      <c r="AA209">
        <v>0</v>
      </c>
      <c r="AB209">
        <v>4</v>
      </c>
      <c r="AC209">
        <v>-4</v>
      </c>
      <c r="AD209">
        <v>-10</v>
      </c>
      <c r="AE209">
        <v>-12</v>
      </c>
      <c r="AF209">
        <v>1</v>
      </c>
      <c r="AG209">
        <v>-1</v>
      </c>
      <c r="AH209">
        <v>-5</v>
      </c>
      <c r="AI209">
        <v>2</v>
      </c>
      <c r="AJ209">
        <v>5</v>
      </c>
      <c r="AK209">
        <v>-5</v>
      </c>
      <c r="AL209">
        <v>-5</v>
      </c>
      <c r="AM209">
        <v>-2</v>
      </c>
      <c r="AN209">
        <v>13</v>
      </c>
      <c r="AO209">
        <v>4</v>
      </c>
      <c r="AP209">
        <v>13</v>
      </c>
      <c r="AQ209">
        <v>9</v>
      </c>
      <c r="AR209">
        <v>-2</v>
      </c>
      <c r="AS209">
        <v>-9</v>
      </c>
      <c r="AT209">
        <v>4</v>
      </c>
      <c r="AU209">
        <v>-2</v>
      </c>
      <c r="AV209">
        <v>5</v>
      </c>
      <c r="AW209">
        <v>2</v>
      </c>
      <c r="AX209">
        <v>6</v>
      </c>
      <c r="AY209">
        <v>3</v>
      </c>
      <c r="AZ209">
        <v>-1</v>
      </c>
      <c r="BA209">
        <v>-11</v>
      </c>
      <c r="BB209">
        <v>-4</v>
      </c>
      <c r="BC209">
        <v>-60</v>
      </c>
      <c r="BD209">
        <v>-26</v>
      </c>
      <c r="BE209">
        <v>-18</v>
      </c>
      <c r="BF209">
        <v>-13</v>
      </c>
      <c r="BG209">
        <v>0</v>
      </c>
      <c r="BH209">
        <v>-5</v>
      </c>
      <c r="BI209">
        <v>-11</v>
      </c>
      <c r="BJ209">
        <v>-13</v>
      </c>
      <c r="BK209">
        <v>-12</v>
      </c>
      <c r="BL209">
        <v>-17</v>
      </c>
      <c r="BM209">
        <v>-18</v>
      </c>
      <c r="BN209">
        <v>-26</v>
      </c>
      <c r="BO209">
        <v>-23</v>
      </c>
      <c r="BP209">
        <v>-26</v>
      </c>
      <c r="BQ209">
        <v>-19</v>
      </c>
      <c r="BR209">
        <v>-29</v>
      </c>
      <c r="BS209">
        <v>-27</v>
      </c>
      <c r="BT209">
        <v>-19</v>
      </c>
      <c r="BU209">
        <v>-24</v>
      </c>
      <c r="BV209">
        <v>-10</v>
      </c>
    </row>
    <row r="210" spans="1:74" x14ac:dyDescent="0.25">
      <c r="A210" t="s">
        <v>544</v>
      </c>
      <c r="B210" t="s">
        <v>119</v>
      </c>
      <c r="C210" t="s">
        <v>102</v>
      </c>
      <c r="D210">
        <v>8.2569999999999997</v>
      </c>
      <c r="E210">
        <v>-15</v>
      </c>
      <c r="F210">
        <v>-10</v>
      </c>
      <c r="G210">
        <v>-15</v>
      </c>
      <c r="H210">
        <v>-4</v>
      </c>
      <c r="I210">
        <v>6</v>
      </c>
      <c r="J210">
        <v>-3</v>
      </c>
      <c r="K210">
        <v>3</v>
      </c>
      <c r="L210">
        <v>9</v>
      </c>
      <c r="M210">
        <v>2</v>
      </c>
      <c r="N210">
        <v>16</v>
      </c>
      <c r="O210">
        <v>14</v>
      </c>
      <c r="P210">
        <v>18</v>
      </c>
      <c r="Q210">
        <v>20</v>
      </c>
      <c r="R210">
        <v>16</v>
      </c>
      <c r="S210">
        <v>14</v>
      </c>
      <c r="T210">
        <v>7</v>
      </c>
      <c r="U210">
        <v>-34</v>
      </c>
      <c r="V210">
        <v>-45</v>
      </c>
      <c r="W210">
        <v>-11</v>
      </c>
      <c r="X210">
        <v>8</v>
      </c>
      <c r="Y210">
        <v>15</v>
      </c>
      <c r="Z210">
        <v>20</v>
      </c>
      <c r="AA210">
        <v>29</v>
      </c>
      <c r="AB210">
        <v>31</v>
      </c>
      <c r="AC210">
        <v>14</v>
      </c>
      <c r="AD210">
        <v>18</v>
      </c>
      <c r="AE210">
        <v>19</v>
      </c>
      <c r="AF210">
        <v>13</v>
      </c>
      <c r="AG210">
        <v>7</v>
      </c>
      <c r="AH210">
        <v>4</v>
      </c>
      <c r="AI210">
        <v>16</v>
      </c>
      <c r="AJ210">
        <v>18</v>
      </c>
      <c r="AK210">
        <v>20</v>
      </c>
      <c r="AL210">
        <v>7</v>
      </c>
      <c r="AM210">
        <v>13</v>
      </c>
      <c r="AN210">
        <v>17</v>
      </c>
      <c r="AO210">
        <v>16</v>
      </c>
      <c r="AP210">
        <v>17</v>
      </c>
      <c r="AQ210">
        <v>14</v>
      </c>
      <c r="AR210">
        <v>20</v>
      </c>
      <c r="AS210">
        <v>19</v>
      </c>
      <c r="AT210">
        <v>34</v>
      </c>
      <c r="AU210">
        <v>31</v>
      </c>
      <c r="AV210">
        <v>39</v>
      </c>
      <c r="AW210">
        <v>32</v>
      </c>
      <c r="AX210">
        <v>36</v>
      </c>
      <c r="AY210">
        <v>26</v>
      </c>
      <c r="AZ210">
        <v>22</v>
      </c>
      <c r="BA210">
        <v>14</v>
      </c>
      <c r="BB210">
        <v>18</v>
      </c>
      <c r="BC210">
        <v>-25</v>
      </c>
      <c r="BD210">
        <v>-6</v>
      </c>
      <c r="BE210">
        <v>8</v>
      </c>
      <c r="BF210">
        <v>20</v>
      </c>
      <c r="BG210">
        <v>29</v>
      </c>
      <c r="BH210">
        <v>32</v>
      </c>
      <c r="BI210">
        <v>14</v>
      </c>
      <c r="BJ210">
        <v>-9</v>
      </c>
      <c r="BK210">
        <v>-1</v>
      </c>
      <c r="BL210">
        <v>1</v>
      </c>
      <c r="BM210">
        <v>-15</v>
      </c>
      <c r="BN210">
        <v>-13</v>
      </c>
      <c r="BO210">
        <v>-1</v>
      </c>
      <c r="BP210">
        <v>-12</v>
      </c>
      <c r="BQ210">
        <v>-3</v>
      </c>
      <c r="BR210">
        <v>3</v>
      </c>
      <c r="BS210">
        <v>-11</v>
      </c>
      <c r="BT210">
        <v>-9</v>
      </c>
      <c r="BU210">
        <v>-7</v>
      </c>
      <c r="BV210">
        <v>-12</v>
      </c>
    </row>
    <row r="211" spans="1:74" x14ac:dyDescent="0.25">
      <c r="A211" t="s">
        <v>545</v>
      </c>
      <c r="B211" t="s">
        <v>120</v>
      </c>
      <c r="C211" t="s">
        <v>102</v>
      </c>
      <c r="D211">
        <v>16.814</v>
      </c>
      <c r="E211">
        <v>-18</v>
      </c>
      <c r="F211">
        <v>-6</v>
      </c>
      <c r="G211">
        <v>-13</v>
      </c>
      <c r="H211">
        <v>-8</v>
      </c>
      <c r="I211">
        <v>5</v>
      </c>
      <c r="J211">
        <v>1</v>
      </c>
      <c r="K211">
        <v>11</v>
      </c>
      <c r="L211">
        <v>13</v>
      </c>
      <c r="M211">
        <v>20</v>
      </c>
      <c r="N211">
        <v>14</v>
      </c>
      <c r="O211">
        <v>26</v>
      </c>
      <c r="P211">
        <v>29</v>
      </c>
      <c r="Q211">
        <v>24</v>
      </c>
      <c r="R211">
        <v>27</v>
      </c>
      <c r="S211">
        <v>29</v>
      </c>
      <c r="T211">
        <v>5</v>
      </c>
      <c r="U211">
        <v>1</v>
      </c>
      <c r="V211">
        <v>-6</v>
      </c>
      <c r="W211">
        <v>-4</v>
      </c>
      <c r="X211">
        <v>2</v>
      </c>
      <c r="Y211">
        <v>24</v>
      </c>
      <c r="Z211">
        <v>13</v>
      </c>
      <c r="AA211">
        <v>6</v>
      </c>
      <c r="AB211">
        <v>14</v>
      </c>
      <c r="AC211">
        <v>9</v>
      </c>
      <c r="AD211">
        <v>29</v>
      </c>
      <c r="AE211">
        <v>22</v>
      </c>
      <c r="AF211">
        <v>9</v>
      </c>
      <c r="AG211">
        <v>26</v>
      </c>
      <c r="AH211">
        <v>19</v>
      </c>
      <c r="AI211">
        <v>26</v>
      </c>
      <c r="AJ211">
        <v>23</v>
      </c>
      <c r="AK211">
        <v>30</v>
      </c>
      <c r="AL211">
        <v>21</v>
      </c>
      <c r="AM211">
        <v>25</v>
      </c>
      <c r="AN211">
        <v>34</v>
      </c>
      <c r="AO211">
        <v>27</v>
      </c>
      <c r="AP211">
        <v>25</v>
      </c>
      <c r="AQ211">
        <v>28</v>
      </c>
      <c r="AR211">
        <v>33</v>
      </c>
      <c r="AS211">
        <v>20</v>
      </c>
      <c r="AT211">
        <v>20</v>
      </c>
      <c r="AU211">
        <v>31</v>
      </c>
      <c r="AV211">
        <v>38</v>
      </c>
      <c r="AW211">
        <v>32</v>
      </c>
      <c r="AX211">
        <v>28</v>
      </c>
      <c r="AY211">
        <v>28</v>
      </c>
      <c r="AZ211">
        <v>29</v>
      </c>
      <c r="BA211">
        <v>24</v>
      </c>
      <c r="BB211">
        <v>33</v>
      </c>
      <c r="BC211">
        <v>0</v>
      </c>
      <c r="BD211">
        <v>9</v>
      </c>
      <c r="BE211">
        <v>19</v>
      </c>
      <c r="BF211">
        <v>20</v>
      </c>
      <c r="BG211">
        <v>9</v>
      </c>
      <c r="BH211">
        <v>24</v>
      </c>
      <c r="BI211">
        <v>24</v>
      </c>
      <c r="BJ211">
        <v>-7</v>
      </c>
      <c r="BK211">
        <v>-6</v>
      </c>
      <c r="BL211">
        <v>18</v>
      </c>
      <c r="BM211">
        <v>16</v>
      </c>
      <c r="BN211">
        <v>30</v>
      </c>
      <c r="BO211">
        <v>19</v>
      </c>
      <c r="BP211">
        <v>34</v>
      </c>
      <c r="BQ211">
        <v>35</v>
      </c>
      <c r="BR211">
        <v>27</v>
      </c>
      <c r="BS211">
        <v>0</v>
      </c>
      <c r="BT211">
        <v>16</v>
      </c>
      <c r="BU211">
        <v>5</v>
      </c>
      <c r="BV211">
        <v>7</v>
      </c>
    </row>
    <row r="212" spans="1:74" x14ac:dyDescent="0.25">
      <c r="A212" t="s">
        <v>546</v>
      </c>
      <c r="B212" t="s">
        <v>121</v>
      </c>
      <c r="C212" t="s">
        <v>102</v>
      </c>
      <c r="D212">
        <v>2.6139999999999999</v>
      </c>
      <c r="E212">
        <v>-12</v>
      </c>
      <c r="F212">
        <v>-5</v>
      </c>
      <c r="G212">
        <v>-3</v>
      </c>
      <c r="H212">
        <v>-7</v>
      </c>
      <c r="I212">
        <v>-3</v>
      </c>
      <c r="J212">
        <v>-18</v>
      </c>
      <c r="K212">
        <v>-5</v>
      </c>
      <c r="L212">
        <v>5</v>
      </c>
      <c r="M212">
        <v>14</v>
      </c>
      <c r="N212">
        <v>15</v>
      </c>
      <c r="O212">
        <v>25</v>
      </c>
      <c r="P212">
        <v>30</v>
      </c>
      <c r="Q212">
        <v>22</v>
      </c>
      <c r="R212">
        <v>13</v>
      </c>
      <c r="S212">
        <v>9</v>
      </c>
      <c r="T212">
        <v>1</v>
      </c>
      <c r="U212">
        <v>-40</v>
      </c>
      <c r="V212">
        <v>-57</v>
      </c>
      <c r="W212">
        <v>-20</v>
      </c>
      <c r="X212">
        <v>0</v>
      </c>
      <c r="Y212">
        <v>19</v>
      </c>
      <c r="Z212">
        <v>33</v>
      </c>
      <c r="AA212">
        <v>36</v>
      </c>
      <c r="AB212">
        <v>34</v>
      </c>
      <c r="AC212">
        <v>19</v>
      </c>
      <c r="AD212">
        <v>13</v>
      </c>
      <c r="AE212">
        <v>12</v>
      </c>
      <c r="AF212">
        <v>2</v>
      </c>
      <c r="AG212">
        <v>1</v>
      </c>
      <c r="AH212">
        <v>1</v>
      </c>
      <c r="AI212">
        <v>7</v>
      </c>
      <c r="AJ212">
        <v>17</v>
      </c>
      <c r="AK212">
        <v>20</v>
      </c>
      <c r="AL212">
        <v>7</v>
      </c>
      <c r="AM212">
        <v>10</v>
      </c>
      <c r="AN212">
        <v>13</v>
      </c>
      <c r="AO212">
        <v>18</v>
      </c>
      <c r="AP212">
        <v>14</v>
      </c>
      <c r="AQ212">
        <v>17</v>
      </c>
      <c r="AR212">
        <v>15</v>
      </c>
      <c r="AS212">
        <v>19</v>
      </c>
      <c r="AT212">
        <v>22</v>
      </c>
      <c r="AU212">
        <v>26</v>
      </c>
      <c r="AV212">
        <v>33</v>
      </c>
      <c r="AW212">
        <v>27</v>
      </c>
      <c r="AX212">
        <v>23</v>
      </c>
      <c r="AY212">
        <v>10</v>
      </c>
      <c r="AZ212">
        <v>6</v>
      </c>
      <c r="BA212">
        <v>-13</v>
      </c>
      <c r="BB212">
        <v>-18</v>
      </c>
      <c r="BC212">
        <v>-44</v>
      </c>
      <c r="BD212">
        <v>-21</v>
      </c>
      <c r="BE212">
        <v>-3</v>
      </c>
      <c r="BF212">
        <v>15</v>
      </c>
      <c r="BG212">
        <v>17</v>
      </c>
      <c r="BH212">
        <v>19</v>
      </c>
      <c r="BI212">
        <v>13</v>
      </c>
      <c r="BJ212">
        <v>-17</v>
      </c>
      <c r="BK212">
        <v>-7</v>
      </c>
      <c r="BL212">
        <v>0</v>
      </c>
      <c r="BM212">
        <v>-27</v>
      </c>
      <c r="BN212">
        <v>-23</v>
      </c>
      <c r="BO212">
        <v>-18</v>
      </c>
      <c r="BP212">
        <v>-24</v>
      </c>
      <c r="BQ212">
        <v>-22</v>
      </c>
      <c r="BR212">
        <v>-16</v>
      </c>
      <c r="BS212">
        <v>-24</v>
      </c>
      <c r="BT212">
        <v>-17</v>
      </c>
      <c r="BU212">
        <v>-16</v>
      </c>
      <c r="BV212">
        <v>-9</v>
      </c>
    </row>
    <row r="213" spans="1:74" x14ac:dyDescent="0.25">
      <c r="A213" t="s">
        <v>547</v>
      </c>
      <c r="B213" t="s">
        <v>122</v>
      </c>
      <c r="C213" t="s">
        <v>102</v>
      </c>
      <c r="D213">
        <v>-0.35699999999999998</v>
      </c>
      <c r="E213">
        <v>-21</v>
      </c>
      <c r="F213">
        <v>-9</v>
      </c>
      <c r="G213">
        <v>-11</v>
      </c>
      <c r="H213">
        <v>-6</v>
      </c>
      <c r="I213">
        <v>-11</v>
      </c>
      <c r="J213">
        <v>-19</v>
      </c>
      <c r="K213">
        <v>-11</v>
      </c>
      <c r="L213">
        <v>9</v>
      </c>
      <c r="M213">
        <v>2</v>
      </c>
      <c r="N213">
        <v>13</v>
      </c>
      <c r="O213">
        <v>19</v>
      </c>
      <c r="P213">
        <v>24</v>
      </c>
      <c r="Q213">
        <v>14</v>
      </c>
      <c r="R213">
        <v>4</v>
      </c>
      <c r="S213">
        <v>2</v>
      </c>
      <c r="T213">
        <v>-5</v>
      </c>
      <c r="U213">
        <v>-36</v>
      </c>
      <c r="V213">
        <v>-39</v>
      </c>
      <c r="W213">
        <v>-37</v>
      </c>
      <c r="X213">
        <v>-12</v>
      </c>
      <c r="Y213">
        <v>-2</v>
      </c>
      <c r="Z213">
        <v>21</v>
      </c>
      <c r="AA213">
        <v>22</v>
      </c>
      <c r="AB213">
        <v>26</v>
      </c>
      <c r="AC213">
        <v>15</v>
      </c>
      <c r="AD213">
        <v>5</v>
      </c>
      <c r="AE213">
        <v>7</v>
      </c>
      <c r="AF213">
        <v>4</v>
      </c>
      <c r="AG213">
        <v>8</v>
      </c>
      <c r="AH213">
        <v>5</v>
      </c>
      <c r="AI213">
        <v>12</v>
      </c>
      <c r="AJ213">
        <v>9</v>
      </c>
      <c r="AK213">
        <v>12</v>
      </c>
      <c r="AL213">
        <v>6</v>
      </c>
      <c r="AM213">
        <v>12</v>
      </c>
      <c r="AN213">
        <v>10</v>
      </c>
      <c r="AO213">
        <v>8</v>
      </c>
      <c r="AP213">
        <v>11</v>
      </c>
      <c r="AQ213">
        <v>4</v>
      </c>
      <c r="AR213">
        <v>10</v>
      </c>
      <c r="AS213">
        <v>18</v>
      </c>
      <c r="AT213">
        <v>19</v>
      </c>
      <c r="AU213">
        <v>20</v>
      </c>
      <c r="AV213">
        <v>30</v>
      </c>
      <c r="AW213">
        <v>20</v>
      </c>
      <c r="AX213">
        <v>19</v>
      </c>
      <c r="AY213">
        <v>15</v>
      </c>
      <c r="AZ213">
        <v>12</v>
      </c>
      <c r="BA213">
        <v>-1</v>
      </c>
      <c r="BB213">
        <v>13</v>
      </c>
      <c r="BC213">
        <v>-35</v>
      </c>
      <c r="BD213">
        <v>5</v>
      </c>
      <c r="BE213">
        <v>2</v>
      </c>
      <c r="BF213">
        <v>22</v>
      </c>
      <c r="BG213">
        <v>20</v>
      </c>
      <c r="BH213">
        <v>23</v>
      </c>
      <c r="BI213">
        <v>0</v>
      </c>
      <c r="BJ213">
        <v>-26</v>
      </c>
      <c r="BK213">
        <v>-11</v>
      </c>
      <c r="BL213">
        <v>-9</v>
      </c>
      <c r="BM213">
        <v>-31</v>
      </c>
      <c r="BN213">
        <v>-39</v>
      </c>
      <c r="BO213">
        <v>-25</v>
      </c>
      <c r="BP213">
        <v>-31</v>
      </c>
      <c r="BQ213">
        <v>-22</v>
      </c>
      <c r="BR213">
        <v>-17</v>
      </c>
      <c r="BS213">
        <v>-27</v>
      </c>
      <c r="BT213">
        <v>-22</v>
      </c>
      <c r="BU213">
        <v>-27</v>
      </c>
      <c r="BV213">
        <v>-15</v>
      </c>
    </row>
    <row r="214" spans="1:74" x14ac:dyDescent="0.25">
      <c r="A214" t="s">
        <v>548</v>
      </c>
      <c r="B214" t="s">
        <v>123</v>
      </c>
      <c r="C214" t="s">
        <v>102</v>
      </c>
      <c r="D214">
        <v>1.9570000000000001</v>
      </c>
      <c r="E214">
        <v>-6</v>
      </c>
      <c r="F214">
        <v>-5</v>
      </c>
      <c r="G214">
        <v>1</v>
      </c>
      <c r="H214">
        <v>10</v>
      </c>
      <c r="I214">
        <v>12</v>
      </c>
      <c r="J214">
        <v>-11</v>
      </c>
      <c r="K214">
        <v>11</v>
      </c>
      <c r="L214">
        <v>5</v>
      </c>
      <c r="M214">
        <v>23</v>
      </c>
      <c r="N214">
        <v>29</v>
      </c>
      <c r="O214">
        <v>33</v>
      </c>
      <c r="P214">
        <v>26</v>
      </c>
      <c r="Q214">
        <v>33</v>
      </c>
      <c r="R214">
        <v>17</v>
      </c>
      <c r="S214">
        <v>22</v>
      </c>
      <c r="T214">
        <v>6</v>
      </c>
      <c r="U214">
        <v>-47</v>
      </c>
      <c r="V214">
        <v>-65</v>
      </c>
      <c r="W214">
        <v>-29</v>
      </c>
      <c r="X214">
        <v>-9</v>
      </c>
      <c r="Y214">
        <v>6</v>
      </c>
      <c r="Z214">
        <v>27</v>
      </c>
      <c r="AA214">
        <v>28</v>
      </c>
      <c r="AB214">
        <v>37</v>
      </c>
      <c r="AC214">
        <v>20</v>
      </c>
      <c r="AD214">
        <v>13</v>
      </c>
      <c r="AE214">
        <v>25</v>
      </c>
      <c r="AF214">
        <v>-7</v>
      </c>
      <c r="AG214">
        <v>-12</v>
      </c>
      <c r="AH214">
        <v>2</v>
      </c>
      <c r="AI214">
        <v>-2</v>
      </c>
      <c r="AJ214">
        <v>2</v>
      </c>
      <c r="AK214">
        <v>11</v>
      </c>
      <c r="AL214">
        <v>10</v>
      </c>
      <c r="AM214">
        <v>11</v>
      </c>
      <c r="AN214">
        <v>20</v>
      </c>
      <c r="AO214">
        <v>2</v>
      </c>
      <c r="AP214">
        <v>-1</v>
      </c>
      <c r="AQ214">
        <v>4</v>
      </c>
      <c r="AR214">
        <v>5</v>
      </c>
      <c r="AS214">
        <v>8</v>
      </c>
      <c r="AT214">
        <v>20</v>
      </c>
      <c r="AU214">
        <v>18</v>
      </c>
      <c r="AV214">
        <v>24</v>
      </c>
      <c r="AW214">
        <v>23</v>
      </c>
      <c r="AX214">
        <v>16</v>
      </c>
      <c r="AY214">
        <v>12</v>
      </c>
      <c r="AZ214">
        <v>-1</v>
      </c>
      <c r="BA214">
        <v>-12</v>
      </c>
      <c r="BB214">
        <v>-21</v>
      </c>
      <c r="BC214">
        <v>-57</v>
      </c>
      <c r="BD214">
        <v>-26</v>
      </c>
      <c r="BE214">
        <v>-10</v>
      </c>
      <c r="BF214">
        <v>11</v>
      </c>
      <c r="BG214">
        <v>26</v>
      </c>
      <c r="BH214">
        <v>26</v>
      </c>
      <c r="BI214">
        <v>15</v>
      </c>
      <c r="BJ214">
        <v>-6</v>
      </c>
      <c r="BK214">
        <v>7</v>
      </c>
      <c r="BL214">
        <v>14</v>
      </c>
      <c r="BM214">
        <v>-18</v>
      </c>
      <c r="BN214">
        <v>-20</v>
      </c>
      <c r="BO214">
        <v>-17</v>
      </c>
      <c r="BP214">
        <v>-30</v>
      </c>
      <c r="BQ214">
        <v>-30</v>
      </c>
      <c r="BR214">
        <v>-21</v>
      </c>
      <c r="BS214">
        <v>-23</v>
      </c>
      <c r="BT214">
        <v>-19</v>
      </c>
      <c r="BU214">
        <v>-19</v>
      </c>
      <c r="BV214">
        <v>-10</v>
      </c>
    </row>
    <row r="215" spans="1:74" x14ac:dyDescent="0.25">
      <c r="A215" t="s">
        <v>549</v>
      </c>
      <c r="B215" t="s">
        <v>124</v>
      </c>
      <c r="C215" t="s">
        <v>102</v>
      </c>
      <c r="D215">
        <v>0.214</v>
      </c>
      <c r="E215">
        <v>-16</v>
      </c>
      <c r="F215">
        <v>-7</v>
      </c>
      <c r="G215">
        <v>-14</v>
      </c>
      <c r="H215">
        <v>-1</v>
      </c>
      <c r="I215">
        <v>2</v>
      </c>
      <c r="J215">
        <v>-11</v>
      </c>
      <c r="K215">
        <v>-1</v>
      </c>
      <c r="L215">
        <v>10</v>
      </c>
      <c r="M215">
        <v>17</v>
      </c>
      <c r="N215">
        <v>8</v>
      </c>
      <c r="O215">
        <v>23</v>
      </c>
      <c r="P215">
        <v>30</v>
      </c>
      <c r="Q215">
        <v>21</v>
      </c>
      <c r="R215">
        <v>16</v>
      </c>
      <c r="S215">
        <v>16</v>
      </c>
      <c r="T215">
        <v>1</v>
      </c>
      <c r="U215">
        <v>-44</v>
      </c>
      <c r="V215">
        <v>-56</v>
      </c>
      <c r="W215">
        <v>-30</v>
      </c>
      <c r="X215">
        <v>-10</v>
      </c>
      <c r="Y215">
        <v>9</v>
      </c>
      <c r="Z215">
        <v>22</v>
      </c>
      <c r="AA215">
        <v>28</v>
      </c>
      <c r="AB215">
        <v>30</v>
      </c>
      <c r="AC215">
        <v>15</v>
      </c>
      <c r="AD215">
        <v>11</v>
      </c>
      <c r="AE215">
        <v>10</v>
      </c>
      <c r="AF215">
        <v>-2</v>
      </c>
      <c r="AG215">
        <v>-4</v>
      </c>
      <c r="AH215">
        <v>-4</v>
      </c>
      <c r="AI215">
        <v>6</v>
      </c>
      <c r="AJ215">
        <v>11</v>
      </c>
      <c r="AK215">
        <v>10</v>
      </c>
      <c r="AL215">
        <v>8</v>
      </c>
      <c r="AM215">
        <v>10</v>
      </c>
      <c r="AN215">
        <v>12</v>
      </c>
      <c r="AO215">
        <v>7</v>
      </c>
      <c r="AP215">
        <v>9</v>
      </c>
      <c r="AQ215">
        <v>11</v>
      </c>
      <c r="AR215">
        <v>11</v>
      </c>
      <c r="AS215">
        <v>15</v>
      </c>
      <c r="AT215">
        <v>21</v>
      </c>
      <c r="AU215">
        <v>22</v>
      </c>
      <c r="AV215">
        <v>26</v>
      </c>
      <c r="AW215">
        <v>26</v>
      </c>
      <c r="AX215">
        <v>20</v>
      </c>
      <c r="AY215">
        <v>11</v>
      </c>
      <c r="AZ215">
        <v>4</v>
      </c>
      <c r="BA215">
        <v>-17</v>
      </c>
      <c r="BB215">
        <v>-16</v>
      </c>
      <c r="BC215">
        <v>-48</v>
      </c>
      <c r="BD215">
        <v>-27</v>
      </c>
      <c r="BE215">
        <v>-1</v>
      </c>
      <c r="BF215">
        <v>16</v>
      </c>
      <c r="BG215">
        <v>24</v>
      </c>
      <c r="BH215">
        <v>23</v>
      </c>
      <c r="BI215">
        <v>7</v>
      </c>
      <c r="BJ215">
        <v>-17</v>
      </c>
      <c r="BK215">
        <v>-4</v>
      </c>
      <c r="BL215">
        <v>1</v>
      </c>
      <c r="BM215">
        <v>-20</v>
      </c>
      <c r="BN215">
        <v>-20</v>
      </c>
      <c r="BO215">
        <v>-21</v>
      </c>
      <c r="BP215">
        <v>-32</v>
      </c>
      <c r="BQ215">
        <v>-31</v>
      </c>
      <c r="BR215">
        <v>-24</v>
      </c>
      <c r="BS215">
        <v>-26</v>
      </c>
      <c r="BT215">
        <v>-21</v>
      </c>
      <c r="BU215">
        <v>-26</v>
      </c>
      <c r="BV215">
        <v>-14</v>
      </c>
    </row>
    <row r="216" spans="1:74" x14ac:dyDescent="0.25">
      <c r="A216" t="s">
        <v>550</v>
      </c>
      <c r="B216" t="s">
        <v>125</v>
      </c>
      <c r="C216" t="s">
        <v>102</v>
      </c>
      <c r="D216">
        <v>7.0140000000000002</v>
      </c>
      <c r="E216">
        <v>-14</v>
      </c>
      <c r="F216">
        <v>-2</v>
      </c>
      <c r="G216">
        <v>-6</v>
      </c>
      <c r="H216">
        <v>-1</v>
      </c>
      <c r="I216">
        <v>9</v>
      </c>
      <c r="J216">
        <v>1</v>
      </c>
      <c r="K216">
        <v>1</v>
      </c>
      <c r="L216">
        <v>17</v>
      </c>
      <c r="M216">
        <v>18</v>
      </c>
      <c r="N216">
        <v>20</v>
      </c>
      <c r="O216">
        <v>30</v>
      </c>
      <c r="P216">
        <v>25</v>
      </c>
      <c r="Q216">
        <v>25</v>
      </c>
      <c r="R216">
        <v>20</v>
      </c>
      <c r="S216">
        <v>13</v>
      </c>
      <c r="T216">
        <v>4</v>
      </c>
      <c r="U216">
        <v>-31</v>
      </c>
      <c r="V216">
        <v>-47</v>
      </c>
      <c r="W216">
        <v>-29</v>
      </c>
      <c r="X216">
        <v>-6</v>
      </c>
      <c r="Y216">
        <v>9</v>
      </c>
      <c r="Z216">
        <v>30</v>
      </c>
      <c r="AA216">
        <v>36</v>
      </c>
      <c r="AB216">
        <v>38</v>
      </c>
      <c r="AC216">
        <v>18</v>
      </c>
      <c r="AD216">
        <v>17</v>
      </c>
      <c r="AE216">
        <v>15</v>
      </c>
      <c r="AF216">
        <v>0</v>
      </c>
      <c r="AG216">
        <v>3</v>
      </c>
      <c r="AH216">
        <v>6</v>
      </c>
      <c r="AI216">
        <v>12</v>
      </c>
      <c r="AJ216">
        <v>11</v>
      </c>
      <c r="AK216">
        <v>13</v>
      </c>
      <c r="AL216">
        <v>10</v>
      </c>
      <c r="AM216">
        <v>12</v>
      </c>
      <c r="AN216">
        <v>14</v>
      </c>
      <c r="AO216">
        <v>15</v>
      </c>
      <c r="AP216">
        <v>19</v>
      </c>
      <c r="AQ216">
        <v>13</v>
      </c>
      <c r="AR216">
        <v>15</v>
      </c>
      <c r="AS216">
        <v>19</v>
      </c>
      <c r="AT216">
        <v>23</v>
      </c>
      <c r="AU216">
        <v>32</v>
      </c>
      <c r="AV216">
        <v>32</v>
      </c>
      <c r="AW216">
        <v>28</v>
      </c>
      <c r="AX216">
        <v>28</v>
      </c>
      <c r="AY216">
        <v>16</v>
      </c>
      <c r="AZ216">
        <v>11</v>
      </c>
      <c r="BA216">
        <v>-7</v>
      </c>
      <c r="BB216">
        <v>-1</v>
      </c>
      <c r="BC216">
        <v>-45</v>
      </c>
      <c r="BD216">
        <v>-22</v>
      </c>
      <c r="BE216">
        <v>5</v>
      </c>
      <c r="BF216">
        <v>17</v>
      </c>
      <c r="BG216">
        <v>27</v>
      </c>
      <c r="BH216">
        <v>26</v>
      </c>
      <c r="BI216">
        <v>17</v>
      </c>
      <c r="BJ216">
        <v>-2</v>
      </c>
      <c r="BK216">
        <v>15</v>
      </c>
      <c r="BL216">
        <v>18</v>
      </c>
      <c r="BM216">
        <v>-8</v>
      </c>
      <c r="BN216">
        <v>-9</v>
      </c>
      <c r="BO216">
        <v>-8</v>
      </c>
      <c r="BP216">
        <v>-19</v>
      </c>
      <c r="BQ216">
        <v>-19</v>
      </c>
      <c r="BR216">
        <v>-11</v>
      </c>
      <c r="BS216">
        <v>-9</v>
      </c>
      <c r="BT216">
        <v>-6</v>
      </c>
      <c r="BU216">
        <v>-4</v>
      </c>
      <c r="BV216">
        <v>-6</v>
      </c>
    </row>
    <row r="217" spans="1:74" x14ac:dyDescent="0.25">
      <c r="A217" t="s">
        <v>551</v>
      </c>
      <c r="B217" t="s">
        <v>71</v>
      </c>
      <c r="C217" t="s">
        <v>102</v>
      </c>
      <c r="D217">
        <v>7.0570000000000004</v>
      </c>
      <c r="E217">
        <v>-13</v>
      </c>
      <c r="F217">
        <v>-3</v>
      </c>
      <c r="G217">
        <v>-6</v>
      </c>
      <c r="H217">
        <v>3</v>
      </c>
      <c r="I217">
        <v>11</v>
      </c>
      <c r="J217">
        <v>2</v>
      </c>
      <c r="K217">
        <v>1</v>
      </c>
      <c r="L217">
        <v>18</v>
      </c>
      <c r="M217">
        <v>19</v>
      </c>
      <c r="N217">
        <v>17</v>
      </c>
      <c r="O217">
        <v>27</v>
      </c>
      <c r="P217">
        <v>22</v>
      </c>
      <c r="Q217">
        <v>24</v>
      </c>
      <c r="R217">
        <v>21</v>
      </c>
      <c r="S217">
        <v>12</v>
      </c>
      <c r="T217">
        <v>0</v>
      </c>
      <c r="U217">
        <v>-31</v>
      </c>
      <c r="V217">
        <v>-45</v>
      </c>
      <c r="W217">
        <v>-28</v>
      </c>
      <c r="X217">
        <v>-3</v>
      </c>
      <c r="Y217">
        <v>14</v>
      </c>
      <c r="Z217">
        <v>33</v>
      </c>
      <c r="AA217">
        <v>37</v>
      </c>
      <c r="AB217">
        <v>38</v>
      </c>
      <c r="AC217">
        <v>14</v>
      </c>
      <c r="AD217">
        <v>13</v>
      </c>
      <c r="AE217">
        <v>14</v>
      </c>
      <c r="AF217">
        <v>1</v>
      </c>
      <c r="AG217">
        <v>-1</v>
      </c>
      <c r="AH217">
        <v>9</v>
      </c>
      <c r="AI217">
        <v>8</v>
      </c>
      <c r="AJ217">
        <v>10</v>
      </c>
      <c r="AK217">
        <v>13</v>
      </c>
      <c r="AL217">
        <v>11</v>
      </c>
      <c r="AM217">
        <v>17</v>
      </c>
      <c r="AN217">
        <v>14</v>
      </c>
      <c r="AO217">
        <v>17</v>
      </c>
      <c r="AP217">
        <v>17</v>
      </c>
      <c r="AQ217">
        <v>12</v>
      </c>
      <c r="AR217">
        <v>15</v>
      </c>
      <c r="AS217">
        <v>21</v>
      </c>
      <c r="AT217">
        <v>20</v>
      </c>
      <c r="AU217">
        <v>30</v>
      </c>
      <c r="AV217">
        <v>33</v>
      </c>
      <c r="AW217">
        <v>29</v>
      </c>
      <c r="AX217">
        <v>28</v>
      </c>
      <c r="AY217">
        <v>17</v>
      </c>
      <c r="AZ217">
        <v>13</v>
      </c>
      <c r="BA217">
        <v>-3</v>
      </c>
      <c r="BB217">
        <v>-2</v>
      </c>
      <c r="BC217">
        <v>-39</v>
      </c>
      <c r="BD217">
        <v>-25</v>
      </c>
      <c r="BE217">
        <v>2</v>
      </c>
      <c r="BF217">
        <v>17</v>
      </c>
      <c r="BG217">
        <v>25</v>
      </c>
      <c r="BH217">
        <v>25</v>
      </c>
      <c r="BI217">
        <v>14</v>
      </c>
      <c r="BJ217">
        <v>2</v>
      </c>
      <c r="BK217">
        <v>15</v>
      </c>
      <c r="BL217">
        <v>18</v>
      </c>
      <c r="BM217">
        <v>-8</v>
      </c>
      <c r="BN217">
        <v>-8</v>
      </c>
      <c r="BO217">
        <v>-7</v>
      </c>
      <c r="BP217">
        <v>-21</v>
      </c>
      <c r="BQ217">
        <v>-18</v>
      </c>
      <c r="BR217">
        <v>-16</v>
      </c>
      <c r="BS217">
        <v>-6</v>
      </c>
      <c r="BT217">
        <v>-8</v>
      </c>
      <c r="BU217">
        <v>-1</v>
      </c>
      <c r="BV217">
        <v>-7</v>
      </c>
    </row>
    <row r="218" spans="1:74" x14ac:dyDescent="0.25">
      <c r="A218" t="s">
        <v>552</v>
      </c>
      <c r="B218" t="s">
        <v>127</v>
      </c>
      <c r="C218" t="s">
        <v>102</v>
      </c>
      <c r="D218">
        <v>6.843</v>
      </c>
      <c r="E218">
        <v>-15</v>
      </c>
      <c r="F218">
        <v>-2</v>
      </c>
      <c r="G218">
        <v>-7</v>
      </c>
      <c r="H218">
        <v>-6</v>
      </c>
      <c r="I218">
        <v>6</v>
      </c>
      <c r="J218">
        <v>-1</v>
      </c>
      <c r="K218">
        <v>-1</v>
      </c>
      <c r="L218">
        <v>15</v>
      </c>
      <c r="M218">
        <v>16</v>
      </c>
      <c r="N218">
        <v>24</v>
      </c>
      <c r="O218">
        <v>34</v>
      </c>
      <c r="P218">
        <v>29</v>
      </c>
      <c r="Q218">
        <v>27</v>
      </c>
      <c r="R218">
        <v>20</v>
      </c>
      <c r="S218">
        <v>15</v>
      </c>
      <c r="T218">
        <v>9</v>
      </c>
      <c r="U218">
        <v>-32</v>
      </c>
      <c r="V218">
        <v>-51</v>
      </c>
      <c r="W218">
        <v>-32</v>
      </c>
      <c r="X218">
        <v>-12</v>
      </c>
      <c r="Y218">
        <v>1</v>
      </c>
      <c r="Z218">
        <v>24</v>
      </c>
      <c r="AA218">
        <v>34</v>
      </c>
      <c r="AB218">
        <v>39</v>
      </c>
      <c r="AC218">
        <v>23</v>
      </c>
      <c r="AD218">
        <v>23</v>
      </c>
      <c r="AE218">
        <v>16</v>
      </c>
      <c r="AF218">
        <v>1</v>
      </c>
      <c r="AG218">
        <v>9</v>
      </c>
      <c r="AH218">
        <v>2</v>
      </c>
      <c r="AI218">
        <v>17</v>
      </c>
      <c r="AJ218">
        <v>12</v>
      </c>
      <c r="AK218">
        <v>13</v>
      </c>
      <c r="AL218">
        <v>10</v>
      </c>
      <c r="AM218">
        <v>5</v>
      </c>
      <c r="AN218">
        <v>15</v>
      </c>
      <c r="AO218">
        <v>13</v>
      </c>
      <c r="AP218">
        <v>22</v>
      </c>
      <c r="AQ218">
        <v>13</v>
      </c>
      <c r="AR218">
        <v>16</v>
      </c>
      <c r="AS218">
        <v>16</v>
      </c>
      <c r="AT218">
        <v>27</v>
      </c>
      <c r="AU218">
        <v>34</v>
      </c>
      <c r="AV218">
        <v>30</v>
      </c>
      <c r="AW218">
        <v>27</v>
      </c>
      <c r="AX218">
        <v>27</v>
      </c>
      <c r="AY218">
        <v>14</v>
      </c>
      <c r="AZ218">
        <v>8</v>
      </c>
      <c r="BA218">
        <v>-13</v>
      </c>
      <c r="BB218">
        <v>-1</v>
      </c>
      <c r="BC218">
        <v>-53</v>
      </c>
      <c r="BD218">
        <v>-17</v>
      </c>
      <c r="BE218">
        <v>9</v>
      </c>
      <c r="BF218">
        <v>15</v>
      </c>
      <c r="BG218">
        <v>29</v>
      </c>
      <c r="BH218">
        <v>28</v>
      </c>
      <c r="BI218">
        <v>20</v>
      </c>
      <c r="BJ218">
        <v>-7</v>
      </c>
      <c r="BK218">
        <v>16</v>
      </c>
      <c r="BL218">
        <v>19</v>
      </c>
      <c r="BM218">
        <v>-7</v>
      </c>
      <c r="BN218">
        <v>-9</v>
      </c>
      <c r="BO218">
        <v>-9</v>
      </c>
      <c r="BP218">
        <v>-16</v>
      </c>
      <c r="BQ218">
        <v>-20</v>
      </c>
      <c r="BR218">
        <v>-4</v>
      </c>
      <c r="BS218">
        <v>-12</v>
      </c>
      <c r="BT218">
        <v>-4</v>
      </c>
      <c r="BU218">
        <v>-8</v>
      </c>
      <c r="BV218">
        <v>-4</v>
      </c>
    </row>
    <row r="219" spans="1:74" x14ac:dyDescent="0.25">
      <c r="A219" t="s">
        <v>553</v>
      </c>
      <c r="B219" t="s">
        <v>128</v>
      </c>
      <c r="C219" t="s">
        <v>102</v>
      </c>
      <c r="D219">
        <v>4.7709999999999999</v>
      </c>
      <c r="E219">
        <v>-10</v>
      </c>
      <c r="F219">
        <v>-1</v>
      </c>
      <c r="G219">
        <v>-7</v>
      </c>
      <c r="H219">
        <v>0</v>
      </c>
      <c r="I219">
        <v>6</v>
      </c>
      <c r="J219">
        <v>3</v>
      </c>
      <c r="K219">
        <v>7</v>
      </c>
      <c r="L219">
        <v>21</v>
      </c>
      <c r="M219">
        <v>24</v>
      </c>
      <c r="N219">
        <v>23</v>
      </c>
      <c r="O219">
        <v>29</v>
      </c>
      <c r="P219">
        <v>34</v>
      </c>
      <c r="Q219">
        <v>34</v>
      </c>
      <c r="R219">
        <v>29</v>
      </c>
      <c r="S219">
        <v>25</v>
      </c>
      <c r="T219">
        <v>8</v>
      </c>
      <c r="U219">
        <v>-32</v>
      </c>
      <c r="V219">
        <v>-51</v>
      </c>
      <c r="W219">
        <v>-39</v>
      </c>
      <c r="X219">
        <v>-19</v>
      </c>
      <c r="Y219">
        <v>1</v>
      </c>
      <c r="Z219">
        <v>23</v>
      </c>
      <c r="AA219">
        <v>37</v>
      </c>
      <c r="AB219">
        <v>36</v>
      </c>
      <c r="AC219">
        <v>24</v>
      </c>
      <c r="AD219">
        <v>22</v>
      </c>
      <c r="AE219">
        <v>20</v>
      </c>
      <c r="AF219">
        <v>1</v>
      </c>
      <c r="AG219">
        <v>4</v>
      </c>
      <c r="AH219">
        <v>5</v>
      </c>
      <c r="AI219">
        <v>8</v>
      </c>
      <c r="AJ219">
        <v>14</v>
      </c>
      <c r="AK219">
        <v>14</v>
      </c>
      <c r="AL219">
        <v>8</v>
      </c>
      <c r="AM219">
        <v>10</v>
      </c>
      <c r="AN219">
        <v>11</v>
      </c>
      <c r="AO219">
        <v>10</v>
      </c>
      <c r="AP219">
        <v>8</v>
      </c>
      <c r="AQ219">
        <v>8</v>
      </c>
      <c r="AR219">
        <v>10</v>
      </c>
      <c r="AS219">
        <v>11</v>
      </c>
      <c r="AT219">
        <v>18</v>
      </c>
      <c r="AU219">
        <v>24</v>
      </c>
      <c r="AV219">
        <v>28</v>
      </c>
      <c r="AW219">
        <v>28</v>
      </c>
      <c r="AX219">
        <v>23</v>
      </c>
      <c r="AY219">
        <v>16</v>
      </c>
      <c r="AZ219">
        <v>9</v>
      </c>
      <c r="BA219">
        <v>-11</v>
      </c>
      <c r="BB219">
        <v>-6</v>
      </c>
      <c r="BC219">
        <v>-51</v>
      </c>
      <c r="BD219">
        <v>-29</v>
      </c>
      <c r="BE219">
        <v>-6</v>
      </c>
      <c r="BF219">
        <v>10</v>
      </c>
      <c r="BG219">
        <v>22</v>
      </c>
      <c r="BH219">
        <v>30</v>
      </c>
      <c r="BI219">
        <v>9</v>
      </c>
      <c r="BJ219">
        <v>-7</v>
      </c>
      <c r="BK219">
        <v>7</v>
      </c>
      <c r="BL219">
        <v>11</v>
      </c>
      <c r="BM219">
        <v>-12</v>
      </c>
      <c r="BN219">
        <v>-12</v>
      </c>
      <c r="BO219">
        <v>-12</v>
      </c>
      <c r="BP219">
        <v>-21</v>
      </c>
      <c r="BQ219">
        <v>-22</v>
      </c>
      <c r="BR219">
        <v>-16</v>
      </c>
      <c r="BS219">
        <v>-21</v>
      </c>
      <c r="BT219">
        <v>-17</v>
      </c>
      <c r="BU219">
        <v>-15</v>
      </c>
      <c r="BV219">
        <v>-12</v>
      </c>
    </row>
    <row r="220" spans="1:74" x14ac:dyDescent="0.25">
      <c r="A220" t="s">
        <v>554</v>
      </c>
      <c r="B220" t="s">
        <v>72</v>
      </c>
      <c r="C220" t="s">
        <v>102</v>
      </c>
      <c r="D220">
        <v>0.157</v>
      </c>
      <c r="E220">
        <v>-20</v>
      </c>
      <c r="F220">
        <v>-16</v>
      </c>
      <c r="G220">
        <v>-13</v>
      </c>
      <c r="H220">
        <v>-8</v>
      </c>
      <c r="I220">
        <v>-23</v>
      </c>
      <c r="J220">
        <v>-15</v>
      </c>
      <c r="K220">
        <v>-8</v>
      </c>
      <c r="L220">
        <v>-2</v>
      </c>
      <c r="M220">
        <v>5</v>
      </c>
      <c r="N220">
        <v>-2</v>
      </c>
      <c r="O220">
        <v>5</v>
      </c>
      <c r="P220">
        <v>21</v>
      </c>
      <c r="Q220">
        <v>24</v>
      </c>
      <c r="R220">
        <v>20</v>
      </c>
      <c r="S220">
        <v>18</v>
      </c>
      <c r="T220">
        <v>-7</v>
      </c>
      <c r="U220">
        <v>-56</v>
      </c>
      <c r="V220">
        <v>-64</v>
      </c>
      <c r="W220">
        <v>-35</v>
      </c>
      <c r="X220">
        <v>-5</v>
      </c>
      <c r="Y220">
        <v>10</v>
      </c>
      <c r="Z220">
        <v>28</v>
      </c>
      <c r="AA220">
        <v>49</v>
      </c>
      <c r="AB220">
        <v>34</v>
      </c>
      <c r="AC220">
        <v>24</v>
      </c>
      <c r="AD220">
        <v>21</v>
      </c>
      <c r="AE220">
        <v>19</v>
      </c>
      <c r="AF220">
        <v>7</v>
      </c>
      <c r="AG220">
        <v>0</v>
      </c>
      <c r="AH220">
        <v>1</v>
      </c>
      <c r="AI220">
        <v>5</v>
      </c>
      <c r="AJ220">
        <v>14</v>
      </c>
      <c r="AK220">
        <v>21</v>
      </c>
      <c r="AL220">
        <v>16</v>
      </c>
      <c r="AM220">
        <v>15</v>
      </c>
      <c r="AN220">
        <v>14</v>
      </c>
      <c r="AO220">
        <v>8</v>
      </c>
      <c r="AP220">
        <v>15</v>
      </c>
      <c r="AQ220">
        <v>23</v>
      </c>
      <c r="AR220">
        <v>8</v>
      </c>
      <c r="AS220">
        <v>23</v>
      </c>
      <c r="AT220">
        <v>39</v>
      </c>
      <c r="AU220">
        <v>33</v>
      </c>
      <c r="AV220">
        <v>28</v>
      </c>
      <c r="AW220">
        <v>33</v>
      </c>
      <c r="AX220">
        <v>19</v>
      </c>
      <c r="AY220">
        <v>21</v>
      </c>
      <c r="AZ220">
        <v>-12</v>
      </c>
      <c r="BA220">
        <v>-24</v>
      </c>
      <c r="BB220">
        <v>-21</v>
      </c>
      <c r="BC220">
        <v>-74</v>
      </c>
      <c r="BD220">
        <v>-34</v>
      </c>
      <c r="BE220">
        <v>-14</v>
      </c>
      <c r="BF220">
        <v>6</v>
      </c>
      <c r="BG220">
        <v>11</v>
      </c>
      <c r="BH220">
        <v>8</v>
      </c>
      <c r="BI220">
        <v>-11</v>
      </c>
      <c r="BJ220">
        <v>2</v>
      </c>
      <c r="BK220">
        <v>13</v>
      </c>
      <c r="BL220">
        <v>4</v>
      </c>
      <c r="BM220">
        <v>-3</v>
      </c>
      <c r="BN220">
        <v>-7</v>
      </c>
      <c r="BO220">
        <v>-15</v>
      </c>
      <c r="BP220">
        <v>-29</v>
      </c>
      <c r="BQ220">
        <v>-39</v>
      </c>
      <c r="BR220">
        <v>-17</v>
      </c>
      <c r="BS220">
        <v>-33</v>
      </c>
      <c r="BT220">
        <v>-21</v>
      </c>
      <c r="BU220">
        <v>-10</v>
      </c>
      <c r="BV220">
        <v>-16</v>
      </c>
    </row>
    <row r="221" spans="1:74" x14ac:dyDescent="0.25">
      <c r="A221" t="s">
        <v>555</v>
      </c>
      <c r="B221" t="s">
        <v>240</v>
      </c>
      <c r="C221" t="s">
        <v>102</v>
      </c>
      <c r="D221">
        <v>6.5430000000000001</v>
      </c>
      <c r="E221">
        <v>-29</v>
      </c>
      <c r="F221">
        <v>-22</v>
      </c>
      <c r="G221">
        <v>-18</v>
      </c>
      <c r="H221">
        <v>-18</v>
      </c>
      <c r="I221">
        <v>-11</v>
      </c>
      <c r="J221">
        <v>3</v>
      </c>
      <c r="K221">
        <v>-13</v>
      </c>
      <c r="L221">
        <v>-7</v>
      </c>
      <c r="M221">
        <v>21</v>
      </c>
      <c r="N221">
        <v>15</v>
      </c>
      <c r="O221">
        <v>24</v>
      </c>
      <c r="P221">
        <v>18</v>
      </c>
      <c r="Q221">
        <v>4</v>
      </c>
      <c r="R221">
        <v>9</v>
      </c>
      <c r="S221">
        <v>34</v>
      </c>
      <c r="T221">
        <v>3</v>
      </c>
      <c r="U221">
        <v>-20</v>
      </c>
      <c r="V221">
        <v>-24</v>
      </c>
      <c r="W221">
        <v>-15</v>
      </c>
      <c r="X221">
        <v>-24</v>
      </c>
      <c r="Y221">
        <v>-3</v>
      </c>
      <c r="Z221">
        <v>35</v>
      </c>
      <c r="AA221">
        <v>10</v>
      </c>
      <c r="AB221">
        <v>32</v>
      </c>
      <c r="AC221">
        <v>15</v>
      </c>
      <c r="AD221">
        <v>13</v>
      </c>
      <c r="AE221">
        <v>16</v>
      </c>
      <c r="AF221">
        <v>-11</v>
      </c>
      <c r="AG221">
        <v>-3</v>
      </c>
      <c r="AH221">
        <v>-3</v>
      </c>
      <c r="AI221">
        <v>3</v>
      </c>
      <c r="AJ221">
        <v>7</v>
      </c>
      <c r="AK221">
        <v>9</v>
      </c>
      <c r="AL221">
        <v>6</v>
      </c>
      <c r="AM221">
        <v>9</v>
      </c>
      <c r="AN221">
        <v>16</v>
      </c>
      <c r="AO221">
        <v>11</v>
      </c>
      <c r="AP221">
        <v>12</v>
      </c>
      <c r="AQ221">
        <v>16</v>
      </c>
      <c r="AR221">
        <v>11</v>
      </c>
      <c r="AS221">
        <v>5</v>
      </c>
      <c r="AT221">
        <v>18</v>
      </c>
      <c r="AU221">
        <v>25</v>
      </c>
      <c r="AV221">
        <v>29</v>
      </c>
      <c r="AW221">
        <v>24</v>
      </c>
      <c r="AX221">
        <v>25</v>
      </c>
      <c r="AY221">
        <v>27</v>
      </c>
      <c r="AZ221">
        <v>24</v>
      </c>
      <c r="BA221">
        <v>0</v>
      </c>
      <c r="BB221">
        <v>13</v>
      </c>
      <c r="BC221">
        <v>-61</v>
      </c>
      <c r="BD221">
        <v>-64</v>
      </c>
      <c r="BE221">
        <v>-29</v>
      </c>
      <c r="BF221">
        <v>-5</v>
      </c>
      <c r="BG221">
        <v>10</v>
      </c>
      <c r="BH221">
        <v>37</v>
      </c>
      <c r="BI221">
        <v>21</v>
      </c>
      <c r="BJ221">
        <v>18</v>
      </c>
      <c r="BK221">
        <v>30</v>
      </c>
      <c r="BL221">
        <v>12</v>
      </c>
      <c r="BM221">
        <v>12</v>
      </c>
      <c r="BN221">
        <v>8</v>
      </c>
      <c r="BO221">
        <v>23</v>
      </c>
      <c r="BP221">
        <v>27</v>
      </c>
      <c r="BQ221">
        <v>8</v>
      </c>
      <c r="BR221">
        <v>20</v>
      </c>
      <c r="BS221">
        <v>10</v>
      </c>
      <c r="BT221">
        <v>32</v>
      </c>
      <c r="BU221">
        <v>13</v>
      </c>
      <c r="BV221">
        <v>15</v>
      </c>
    </row>
    <row r="222" spans="1:74" x14ac:dyDescent="0.25">
      <c r="A222" t="s">
        <v>556</v>
      </c>
      <c r="B222" t="s">
        <v>129</v>
      </c>
      <c r="C222" t="s">
        <v>102</v>
      </c>
      <c r="D222">
        <v>4.1289999999999996</v>
      </c>
      <c r="E222">
        <v>-13</v>
      </c>
      <c r="F222">
        <v>-8</v>
      </c>
      <c r="G222">
        <v>-21</v>
      </c>
      <c r="H222">
        <v>-2</v>
      </c>
      <c r="I222">
        <v>-4</v>
      </c>
      <c r="J222">
        <v>-5</v>
      </c>
      <c r="K222">
        <v>0</v>
      </c>
      <c r="L222">
        <v>18</v>
      </c>
      <c r="M222">
        <v>21</v>
      </c>
      <c r="N222">
        <v>11</v>
      </c>
      <c r="O222">
        <v>15</v>
      </c>
      <c r="P222">
        <v>22</v>
      </c>
      <c r="Q222">
        <v>24</v>
      </c>
      <c r="R222">
        <v>13</v>
      </c>
      <c r="S222">
        <v>16</v>
      </c>
      <c r="T222">
        <v>4</v>
      </c>
      <c r="U222">
        <v>-27</v>
      </c>
      <c r="V222">
        <v>-31</v>
      </c>
      <c r="W222">
        <v>-7</v>
      </c>
      <c r="X222">
        <v>7</v>
      </c>
      <c r="Y222">
        <v>13</v>
      </c>
      <c r="Z222">
        <v>18</v>
      </c>
      <c r="AA222">
        <v>18</v>
      </c>
      <c r="AB222">
        <v>17</v>
      </c>
      <c r="AC222">
        <v>19</v>
      </c>
      <c r="AD222">
        <v>0</v>
      </c>
      <c r="AE222">
        <v>12</v>
      </c>
      <c r="AF222">
        <v>6</v>
      </c>
      <c r="AG222">
        <v>-6</v>
      </c>
      <c r="AH222">
        <v>-2</v>
      </c>
      <c r="AI222">
        <v>2</v>
      </c>
      <c r="AJ222">
        <v>10</v>
      </c>
      <c r="AK222">
        <v>13</v>
      </c>
      <c r="AL222">
        <v>17</v>
      </c>
      <c r="AM222">
        <v>20</v>
      </c>
      <c r="AN222">
        <v>19</v>
      </c>
      <c r="AO222">
        <v>14</v>
      </c>
      <c r="AP222">
        <v>11</v>
      </c>
      <c r="AQ222">
        <v>19</v>
      </c>
      <c r="AR222">
        <v>17</v>
      </c>
      <c r="AS222">
        <v>9</v>
      </c>
      <c r="AT222">
        <v>28</v>
      </c>
      <c r="AU222">
        <v>23</v>
      </c>
      <c r="AV222">
        <v>25</v>
      </c>
      <c r="AW222">
        <v>19</v>
      </c>
      <c r="AX222">
        <v>12</v>
      </c>
      <c r="AY222">
        <v>8</v>
      </c>
      <c r="AZ222">
        <v>-2</v>
      </c>
      <c r="BA222">
        <v>0</v>
      </c>
      <c r="BB222">
        <v>0</v>
      </c>
      <c r="BC222">
        <v>-43</v>
      </c>
      <c r="BD222">
        <v>-2</v>
      </c>
      <c r="BE222">
        <v>15</v>
      </c>
      <c r="BF222">
        <v>18</v>
      </c>
      <c r="BG222">
        <v>13</v>
      </c>
      <c r="BH222">
        <v>22</v>
      </c>
      <c r="BI222">
        <v>18</v>
      </c>
      <c r="BJ222">
        <v>-10</v>
      </c>
      <c r="BK222">
        <v>1</v>
      </c>
      <c r="BL222">
        <v>6</v>
      </c>
      <c r="BM222">
        <v>-6</v>
      </c>
      <c r="BN222">
        <v>-9</v>
      </c>
      <c r="BO222">
        <v>-4</v>
      </c>
      <c r="BP222">
        <v>-14</v>
      </c>
      <c r="BQ222">
        <v>-18</v>
      </c>
      <c r="BR222">
        <v>-26</v>
      </c>
      <c r="BS222">
        <v>-15</v>
      </c>
      <c r="BT222">
        <v>-7</v>
      </c>
      <c r="BU222">
        <v>-17</v>
      </c>
      <c r="BV222">
        <v>-25</v>
      </c>
    </row>
    <row r="223" spans="1:74" x14ac:dyDescent="0.25">
      <c r="A223" t="s">
        <v>557</v>
      </c>
      <c r="B223" t="s">
        <v>241</v>
      </c>
      <c r="C223" t="s">
        <v>102</v>
      </c>
      <c r="D223">
        <v>4.9429999999999996</v>
      </c>
      <c r="E223">
        <v>-18</v>
      </c>
      <c r="F223">
        <v>0</v>
      </c>
      <c r="G223">
        <v>-12</v>
      </c>
      <c r="H223">
        <v>8</v>
      </c>
      <c r="I223">
        <v>-4</v>
      </c>
      <c r="J223">
        <v>-10</v>
      </c>
      <c r="K223">
        <v>-7</v>
      </c>
      <c r="L223">
        <v>10</v>
      </c>
      <c r="M223">
        <v>9</v>
      </c>
      <c r="N223">
        <v>11</v>
      </c>
      <c r="O223">
        <v>13</v>
      </c>
      <c r="P223">
        <v>15</v>
      </c>
      <c r="Q223">
        <v>10</v>
      </c>
      <c r="R223">
        <v>11</v>
      </c>
      <c r="S223">
        <v>6</v>
      </c>
      <c r="T223">
        <v>-4</v>
      </c>
      <c r="U223">
        <v>-24</v>
      </c>
      <c r="V223">
        <v>-35</v>
      </c>
      <c r="W223">
        <v>-16</v>
      </c>
      <c r="X223">
        <v>3</v>
      </c>
      <c r="Y223">
        <v>17</v>
      </c>
      <c r="Z223">
        <v>30</v>
      </c>
      <c r="AA223">
        <v>33</v>
      </c>
      <c r="AB223">
        <v>29</v>
      </c>
      <c r="AC223">
        <v>11</v>
      </c>
      <c r="AD223">
        <v>26</v>
      </c>
      <c r="AE223">
        <v>18</v>
      </c>
      <c r="AF223">
        <v>9</v>
      </c>
      <c r="AG223">
        <v>16</v>
      </c>
      <c r="AH223">
        <v>13</v>
      </c>
      <c r="AI223">
        <v>22</v>
      </c>
      <c r="AJ223">
        <v>12</v>
      </c>
      <c r="AK223">
        <v>13</v>
      </c>
      <c r="AL223">
        <v>14</v>
      </c>
      <c r="AM223">
        <v>14</v>
      </c>
      <c r="AN223">
        <v>13</v>
      </c>
      <c r="AO223">
        <v>10</v>
      </c>
      <c r="AP223">
        <v>12</v>
      </c>
      <c r="AQ223">
        <v>15</v>
      </c>
      <c r="AR223">
        <v>2</v>
      </c>
      <c r="AS223">
        <v>16</v>
      </c>
      <c r="AT223">
        <v>17</v>
      </c>
      <c r="AU223">
        <v>19</v>
      </c>
      <c r="AV223">
        <v>30</v>
      </c>
      <c r="AW223">
        <v>38</v>
      </c>
      <c r="AX223">
        <v>23</v>
      </c>
      <c r="AY223">
        <v>26</v>
      </c>
      <c r="AZ223">
        <v>23</v>
      </c>
      <c r="BA223">
        <v>4</v>
      </c>
      <c r="BB223">
        <v>5</v>
      </c>
      <c r="BC223">
        <v>-29</v>
      </c>
      <c r="BD223">
        <v>-6</v>
      </c>
      <c r="BE223">
        <v>-9</v>
      </c>
      <c r="BF223">
        <v>7</v>
      </c>
      <c r="BG223">
        <v>22</v>
      </c>
      <c r="BH223">
        <v>19</v>
      </c>
      <c r="BI223">
        <v>9</v>
      </c>
      <c r="BJ223">
        <v>-16</v>
      </c>
      <c r="BK223">
        <v>4</v>
      </c>
      <c r="BL223">
        <v>11</v>
      </c>
      <c r="BM223">
        <v>-10</v>
      </c>
      <c r="BN223">
        <v>-7</v>
      </c>
      <c r="BO223">
        <v>-14</v>
      </c>
      <c r="BP223">
        <v>-17</v>
      </c>
      <c r="BQ223">
        <v>-22</v>
      </c>
      <c r="BR223">
        <v>-13</v>
      </c>
      <c r="BS223">
        <v>-16</v>
      </c>
      <c r="BT223">
        <v>-22</v>
      </c>
      <c r="BU223">
        <v>-20</v>
      </c>
      <c r="BV223">
        <v>-21</v>
      </c>
    </row>
    <row r="224" spans="1:74" x14ac:dyDescent="0.25">
      <c r="A224" t="s">
        <v>558</v>
      </c>
      <c r="B224" t="s">
        <v>242</v>
      </c>
      <c r="C224" t="s">
        <v>102</v>
      </c>
      <c r="D224">
        <v>0.74299999999999999</v>
      </c>
      <c r="E224">
        <v>-15</v>
      </c>
      <c r="F224">
        <v>7</v>
      </c>
      <c r="G224">
        <v>3</v>
      </c>
      <c r="H224">
        <v>4</v>
      </c>
      <c r="I224">
        <v>-1</v>
      </c>
      <c r="J224">
        <v>-1</v>
      </c>
      <c r="K224">
        <v>2</v>
      </c>
      <c r="L224">
        <v>8</v>
      </c>
      <c r="M224">
        <v>-12</v>
      </c>
      <c r="N224">
        <v>9</v>
      </c>
      <c r="O224">
        <v>21</v>
      </c>
      <c r="P224">
        <v>38</v>
      </c>
      <c r="Q224">
        <v>14</v>
      </c>
      <c r="R224">
        <v>18</v>
      </c>
      <c r="S224">
        <v>4</v>
      </c>
      <c r="T224">
        <v>-9</v>
      </c>
      <c r="U224">
        <v>-29</v>
      </c>
      <c r="V224">
        <v>-50</v>
      </c>
      <c r="W224">
        <v>-21</v>
      </c>
      <c r="X224">
        <v>-34</v>
      </c>
      <c r="Y224">
        <v>-16</v>
      </c>
      <c r="Z224">
        <v>0</v>
      </c>
      <c r="AA224">
        <v>24</v>
      </c>
      <c r="AB224">
        <v>35</v>
      </c>
      <c r="AC224">
        <v>28</v>
      </c>
      <c r="AD224">
        <v>11</v>
      </c>
      <c r="AE224">
        <v>12</v>
      </c>
      <c r="AF224">
        <v>-7</v>
      </c>
      <c r="AG224">
        <v>-31</v>
      </c>
      <c r="AH224">
        <v>3</v>
      </c>
      <c r="AI224">
        <v>3</v>
      </c>
      <c r="AJ224">
        <v>23</v>
      </c>
      <c r="AK224">
        <v>6</v>
      </c>
      <c r="AL224">
        <v>-2</v>
      </c>
      <c r="AM224">
        <v>8</v>
      </c>
      <c r="AN224">
        <v>6</v>
      </c>
      <c r="AO224">
        <v>13</v>
      </c>
      <c r="AP224">
        <v>1</v>
      </c>
      <c r="AQ224">
        <v>8</v>
      </c>
      <c r="AR224">
        <v>-8</v>
      </c>
      <c r="AS224">
        <v>5</v>
      </c>
      <c r="AT224">
        <v>21</v>
      </c>
      <c r="AU224">
        <v>21</v>
      </c>
      <c r="AV224">
        <v>27</v>
      </c>
      <c r="AW224">
        <v>19</v>
      </c>
      <c r="AX224">
        <v>19</v>
      </c>
      <c r="AY224">
        <v>18</v>
      </c>
      <c r="AZ224">
        <v>-8</v>
      </c>
      <c r="BA224">
        <v>-8</v>
      </c>
      <c r="BB224">
        <v>-9</v>
      </c>
      <c r="BC224">
        <v>-67</v>
      </c>
      <c r="BD224">
        <v>-33</v>
      </c>
      <c r="BE224">
        <v>-10</v>
      </c>
      <c r="BF224">
        <v>14</v>
      </c>
      <c r="BG224">
        <v>17</v>
      </c>
      <c r="BH224">
        <v>24</v>
      </c>
      <c r="BI224">
        <v>15</v>
      </c>
      <c r="BJ224">
        <v>7</v>
      </c>
      <c r="BK224">
        <v>9</v>
      </c>
      <c r="BL224">
        <v>23</v>
      </c>
      <c r="BM224">
        <v>3</v>
      </c>
      <c r="BN224">
        <v>-13</v>
      </c>
      <c r="BO224">
        <v>-16</v>
      </c>
      <c r="BP224">
        <v>-25</v>
      </c>
      <c r="BQ224">
        <v>-20</v>
      </c>
      <c r="BR224">
        <v>-10</v>
      </c>
      <c r="BS224">
        <v>-6</v>
      </c>
      <c r="BT224">
        <v>-13</v>
      </c>
      <c r="BU224">
        <v>-23</v>
      </c>
      <c r="BV224">
        <v>-2</v>
      </c>
    </row>
    <row r="225" spans="1:74" x14ac:dyDescent="0.25">
      <c r="A225" t="s">
        <v>559</v>
      </c>
      <c r="B225" t="s">
        <v>132</v>
      </c>
      <c r="C225" t="s">
        <v>102</v>
      </c>
      <c r="D225">
        <v>21.314</v>
      </c>
      <c r="E225">
        <v>-11</v>
      </c>
      <c r="F225">
        <v>18</v>
      </c>
      <c r="G225">
        <v>10</v>
      </c>
      <c r="H225">
        <v>22</v>
      </c>
      <c r="I225">
        <v>-4</v>
      </c>
      <c r="J225">
        <v>11</v>
      </c>
      <c r="K225">
        <v>1</v>
      </c>
      <c r="L225">
        <v>19</v>
      </c>
      <c r="M225">
        <v>-11</v>
      </c>
      <c r="N225">
        <v>7</v>
      </c>
      <c r="O225">
        <v>22</v>
      </c>
      <c r="P225">
        <v>13</v>
      </c>
      <c r="Q225">
        <v>28</v>
      </c>
      <c r="R225">
        <v>14</v>
      </c>
      <c r="S225">
        <v>4</v>
      </c>
      <c r="T225">
        <v>18</v>
      </c>
      <c r="U225">
        <v>8</v>
      </c>
      <c r="V225">
        <v>2</v>
      </c>
      <c r="W225">
        <v>17</v>
      </c>
      <c r="X225">
        <v>19</v>
      </c>
      <c r="Y225">
        <v>26</v>
      </c>
      <c r="Z225">
        <v>6</v>
      </c>
      <c r="AA225">
        <v>13</v>
      </c>
      <c r="AB225">
        <v>9</v>
      </c>
      <c r="AC225">
        <v>28</v>
      </c>
      <c r="AD225">
        <v>13</v>
      </c>
      <c r="AE225">
        <v>14</v>
      </c>
      <c r="AF225">
        <v>20</v>
      </c>
      <c r="AG225">
        <v>16</v>
      </c>
      <c r="AH225">
        <v>6</v>
      </c>
      <c r="AI225">
        <v>5</v>
      </c>
      <c r="AJ225">
        <v>14</v>
      </c>
      <c r="AK225">
        <v>17</v>
      </c>
      <c r="AL225">
        <v>1</v>
      </c>
      <c r="AM225">
        <v>8</v>
      </c>
      <c r="AN225">
        <v>13</v>
      </c>
      <c r="AO225">
        <v>4</v>
      </c>
      <c r="AP225">
        <v>2</v>
      </c>
      <c r="AQ225">
        <v>3</v>
      </c>
      <c r="AR225">
        <v>12</v>
      </c>
      <c r="AS225">
        <v>-2</v>
      </c>
      <c r="AT225">
        <v>12</v>
      </c>
      <c r="AU225">
        <v>14</v>
      </c>
      <c r="AV225">
        <v>19</v>
      </c>
      <c r="AW225">
        <v>29</v>
      </c>
      <c r="AX225">
        <v>30</v>
      </c>
      <c r="AY225">
        <v>36</v>
      </c>
      <c r="AZ225">
        <v>35</v>
      </c>
      <c r="BA225">
        <v>38</v>
      </c>
      <c r="BB225">
        <v>35</v>
      </c>
      <c r="BC225">
        <v>-5</v>
      </c>
      <c r="BD225">
        <v>19</v>
      </c>
      <c r="BE225">
        <v>28</v>
      </c>
      <c r="BF225">
        <v>39</v>
      </c>
      <c r="BG225">
        <v>41</v>
      </c>
      <c r="BH225">
        <v>52</v>
      </c>
      <c r="BI225">
        <v>37</v>
      </c>
      <c r="BJ225">
        <v>20</v>
      </c>
      <c r="BK225">
        <v>41</v>
      </c>
      <c r="BL225">
        <v>45</v>
      </c>
      <c r="BM225">
        <v>54</v>
      </c>
      <c r="BN225">
        <v>58</v>
      </c>
      <c r="BO225">
        <v>61</v>
      </c>
      <c r="BP225">
        <v>55</v>
      </c>
      <c r="BQ225">
        <v>57</v>
      </c>
      <c r="BR225">
        <v>52</v>
      </c>
      <c r="BS225">
        <v>34</v>
      </c>
      <c r="BT225">
        <v>42</v>
      </c>
      <c r="BU225">
        <v>37</v>
      </c>
      <c r="BV225">
        <v>42</v>
      </c>
    </row>
    <row r="226" spans="1:74" x14ac:dyDescent="0.25">
      <c r="A226" t="s">
        <v>560</v>
      </c>
      <c r="B226" t="s">
        <v>243</v>
      </c>
      <c r="C226" t="s">
        <v>102</v>
      </c>
      <c r="D226">
        <v>6.8289999999999997</v>
      </c>
      <c r="E226">
        <v>-11</v>
      </c>
      <c r="F226">
        <v>-16</v>
      </c>
      <c r="G226">
        <v>-24</v>
      </c>
      <c r="H226">
        <v>-11</v>
      </c>
      <c r="I226">
        <v>-1</v>
      </c>
      <c r="J226">
        <v>-9</v>
      </c>
      <c r="K226">
        <v>-1</v>
      </c>
      <c r="L226">
        <v>-1</v>
      </c>
      <c r="M226">
        <v>-10</v>
      </c>
      <c r="N226">
        <v>10</v>
      </c>
      <c r="O226">
        <v>12</v>
      </c>
      <c r="P226">
        <v>20</v>
      </c>
      <c r="Q226">
        <v>23</v>
      </c>
      <c r="R226">
        <v>12</v>
      </c>
      <c r="S226">
        <v>0</v>
      </c>
      <c r="T226">
        <v>1</v>
      </c>
      <c r="U226">
        <v>-32</v>
      </c>
      <c r="V226">
        <v>-39</v>
      </c>
      <c r="W226">
        <v>-13</v>
      </c>
      <c r="X226">
        <v>-16</v>
      </c>
      <c r="Y226">
        <v>10</v>
      </c>
      <c r="Z226">
        <v>17</v>
      </c>
      <c r="AA226">
        <v>20</v>
      </c>
      <c r="AB226">
        <v>7</v>
      </c>
      <c r="AC226">
        <v>0</v>
      </c>
      <c r="AD226">
        <v>6</v>
      </c>
      <c r="AE226">
        <v>14</v>
      </c>
      <c r="AF226">
        <v>-10</v>
      </c>
      <c r="AG226">
        <v>-4</v>
      </c>
      <c r="AH226">
        <v>-3</v>
      </c>
      <c r="AI226">
        <v>5</v>
      </c>
      <c r="AJ226">
        <v>4</v>
      </c>
      <c r="AK226">
        <v>4</v>
      </c>
      <c r="AL226">
        <v>9</v>
      </c>
      <c r="AM226">
        <v>16</v>
      </c>
      <c r="AN226">
        <v>10</v>
      </c>
      <c r="AO226">
        <v>19</v>
      </c>
      <c r="AP226">
        <v>17</v>
      </c>
      <c r="AQ226">
        <v>27</v>
      </c>
      <c r="AR226">
        <v>24</v>
      </c>
      <c r="AS226">
        <v>22</v>
      </c>
      <c r="AT226">
        <v>22</v>
      </c>
      <c r="AU226">
        <v>29</v>
      </c>
      <c r="AV226">
        <v>34</v>
      </c>
      <c r="AW226">
        <v>37</v>
      </c>
      <c r="AX226">
        <v>22</v>
      </c>
      <c r="AY226">
        <v>30</v>
      </c>
      <c r="AZ226">
        <v>30</v>
      </c>
      <c r="BA226">
        <v>20</v>
      </c>
      <c r="BB226">
        <v>21</v>
      </c>
      <c r="BC226">
        <v>-21</v>
      </c>
      <c r="BD226">
        <v>9</v>
      </c>
      <c r="BE226">
        <v>9</v>
      </c>
      <c r="BF226">
        <v>20</v>
      </c>
      <c r="BG226">
        <v>27</v>
      </c>
      <c r="BH226">
        <v>28</v>
      </c>
      <c r="BI226">
        <v>21</v>
      </c>
      <c r="BJ226">
        <v>0</v>
      </c>
      <c r="BK226">
        <v>2</v>
      </c>
      <c r="BL226">
        <v>16</v>
      </c>
      <c r="BM226">
        <v>0</v>
      </c>
      <c r="BN226">
        <v>17</v>
      </c>
      <c r="BO226">
        <v>5</v>
      </c>
      <c r="BP226">
        <v>2</v>
      </c>
      <c r="BQ226">
        <v>-5</v>
      </c>
      <c r="BR226">
        <v>3</v>
      </c>
      <c r="BS226">
        <v>3</v>
      </c>
      <c r="BT226">
        <v>2</v>
      </c>
      <c r="BU226">
        <v>-16</v>
      </c>
      <c r="BV226">
        <v>3</v>
      </c>
    </row>
    <row r="227" spans="1:74" x14ac:dyDescent="0.25">
      <c r="A227" t="s">
        <v>561</v>
      </c>
      <c r="B227" t="s">
        <v>37</v>
      </c>
      <c r="C227" t="s">
        <v>102</v>
      </c>
      <c r="D227">
        <v>-9.4290000000000003</v>
      </c>
      <c r="E227">
        <v>-41</v>
      </c>
      <c r="F227">
        <v>-36</v>
      </c>
      <c r="G227">
        <v>-32</v>
      </c>
      <c r="H227">
        <v>-41</v>
      </c>
      <c r="I227">
        <v>-37</v>
      </c>
      <c r="J227">
        <v>-33</v>
      </c>
      <c r="K227">
        <v>-27</v>
      </c>
      <c r="L227">
        <v>-16</v>
      </c>
      <c r="M227">
        <v>-4</v>
      </c>
      <c r="N227">
        <v>-7</v>
      </c>
      <c r="O227">
        <v>1</v>
      </c>
      <c r="P227">
        <v>3</v>
      </c>
      <c r="Q227">
        <v>-3</v>
      </c>
      <c r="R227">
        <v>-7</v>
      </c>
      <c r="S227">
        <v>-12</v>
      </c>
      <c r="T227">
        <v>-22</v>
      </c>
      <c r="U227">
        <v>-36</v>
      </c>
      <c r="V227">
        <v>-31</v>
      </c>
      <c r="W227">
        <v>-27</v>
      </c>
      <c r="X227">
        <v>-24</v>
      </c>
      <c r="Y227">
        <v>-11</v>
      </c>
      <c r="Z227">
        <v>-8</v>
      </c>
      <c r="AA227">
        <v>-5</v>
      </c>
      <c r="AB227">
        <v>4</v>
      </c>
      <c r="AC227">
        <v>-6</v>
      </c>
      <c r="AD227">
        <v>-7</v>
      </c>
      <c r="AE227">
        <v>1</v>
      </c>
      <c r="AF227">
        <v>-9</v>
      </c>
      <c r="AG227">
        <v>-7</v>
      </c>
      <c r="AH227">
        <v>-4</v>
      </c>
      <c r="AI227">
        <v>-3</v>
      </c>
      <c r="AJ227">
        <v>0</v>
      </c>
      <c r="AK227">
        <v>4</v>
      </c>
      <c r="AL227">
        <v>-1</v>
      </c>
      <c r="AM227">
        <v>-1</v>
      </c>
      <c r="AN227">
        <v>3</v>
      </c>
      <c r="AO227">
        <v>0</v>
      </c>
      <c r="AP227">
        <v>4</v>
      </c>
      <c r="AQ227">
        <v>8</v>
      </c>
      <c r="AR227">
        <v>5</v>
      </c>
      <c r="AS227">
        <v>9</v>
      </c>
      <c r="AT227">
        <v>14</v>
      </c>
      <c r="AU227">
        <v>11</v>
      </c>
      <c r="AV227">
        <v>15</v>
      </c>
      <c r="AW227">
        <v>18</v>
      </c>
      <c r="AX227">
        <v>16</v>
      </c>
      <c r="AY227">
        <v>14</v>
      </c>
      <c r="AZ227">
        <v>17</v>
      </c>
      <c r="BA227">
        <v>5</v>
      </c>
      <c r="BB227">
        <v>6</v>
      </c>
      <c r="BC227">
        <v>-26</v>
      </c>
      <c r="BD227">
        <v>-9</v>
      </c>
      <c r="BE227">
        <v>-9</v>
      </c>
      <c r="BF227">
        <v>-3</v>
      </c>
      <c r="BG227">
        <v>3</v>
      </c>
      <c r="BH227">
        <v>5</v>
      </c>
      <c r="BI227">
        <v>-9</v>
      </c>
      <c r="BJ227">
        <v>-28</v>
      </c>
      <c r="BK227">
        <v>-17</v>
      </c>
      <c r="BL227">
        <v>-14</v>
      </c>
      <c r="BM227">
        <v>-28</v>
      </c>
      <c r="BN227">
        <v>-27</v>
      </c>
      <c r="BO227">
        <v>-25</v>
      </c>
      <c r="BP227">
        <v>-23</v>
      </c>
      <c r="BQ227">
        <v>-24</v>
      </c>
      <c r="BR227">
        <v>-14</v>
      </c>
      <c r="BS227">
        <v>-19</v>
      </c>
      <c r="BT227">
        <v>-15</v>
      </c>
      <c r="BU227">
        <v>-19</v>
      </c>
      <c r="BV227">
        <v>-19</v>
      </c>
    </row>
    <row r="228" spans="1:74" x14ac:dyDescent="0.25">
      <c r="A228" t="s">
        <v>562</v>
      </c>
      <c r="B228" t="s">
        <v>134</v>
      </c>
      <c r="C228" t="s">
        <v>102</v>
      </c>
      <c r="D228">
        <v>-9.1430000000000007</v>
      </c>
      <c r="E228">
        <v>-40</v>
      </c>
      <c r="F228">
        <v>-34</v>
      </c>
      <c r="G228">
        <v>-27</v>
      </c>
      <c r="H228">
        <v>-40</v>
      </c>
      <c r="I228">
        <v>-37</v>
      </c>
      <c r="J228">
        <v>-34</v>
      </c>
      <c r="K228">
        <v>-28</v>
      </c>
      <c r="L228">
        <v>-13</v>
      </c>
      <c r="M228">
        <v>0</v>
      </c>
      <c r="N228">
        <v>-7</v>
      </c>
      <c r="O228">
        <v>1</v>
      </c>
      <c r="P228">
        <v>2</v>
      </c>
      <c r="Q228">
        <v>-6</v>
      </c>
      <c r="R228">
        <v>-10</v>
      </c>
      <c r="S228">
        <v>-8</v>
      </c>
      <c r="T228">
        <v>-23</v>
      </c>
      <c r="U228">
        <v>-35</v>
      </c>
      <c r="V228">
        <v>-28</v>
      </c>
      <c r="W228">
        <v>-27</v>
      </c>
      <c r="X228">
        <v>-25</v>
      </c>
      <c r="Y228">
        <v>-7</v>
      </c>
      <c r="Z228">
        <v>-7</v>
      </c>
      <c r="AA228">
        <v>-2</v>
      </c>
      <c r="AB228">
        <v>7</v>
      </c>
      <c r="AC228">
        <v>-3</v>
      </c>
      <c r="AD228">
        <v>-4</v>
      </c>
      <c r="AE228">
        <v>6</v>
      </c>
      <c r="AF228">
        <v>-4</v>
      </c>
      <c r="AG228">
        <v>0</v>
      </c>
      <c r="AH228">
        <v>2</v>
      </c>
      <c r="AI228">
        <v>-1</v>
      </c>
      <c r="AJ228">
        <v>1</v>
      </c>
      <c r="AK228">
        <v>5</v>
      </c>
      <c r="AL228">
        <v>-2</v>
      </c>
      <c r="AM228">
        <v>2</v>
      </c>
      <c r="AN228">
        <v>7</v>
      </c>
      <c r="AO228">
        <v>0</v>
      </c>
      <c r="AP228">
        <v>5</v>
      </c>
      <c r="AQ228">
        <v>8</v>
      </c>
      <c r="AR228">
        <v>4</v>
      </c>
      <c r="AS228">
        <v>11</v>
      </c>
      <c r="AT228">
        <v>15</v>
      </c>
      <c r="AU228">
        <v>12</v>
      </c>
      <c r="AV228">
        <v>16</v>
      </c>
      <c r="AW228">
        <v>17</v>
      </c>
      <c r="AX228">
        <v>17</v>
      </c>
      <c r="AY228">
        <v>13</v>
      </c>
      <c r="AZ228">
        <v>19</v>
      </c>
      <c r="BA228">
        <v>8</v>
      </c>
      <c r="BB228">
        <v>5</v>
      </c>
      <c r="BC228">
        <v>-24</v>
      </c>
      <c r="BD228">
        <v>-8</v>
      </c>
      <c r="BE228">
        <v>-4</v>
      </c>
      <c r="BF228">
        <v>1</v>
      </c>
      <c r="BG228">
        <v>5</v>
      </c>
      <c r="BH228">
        <v>11</v>
      </c>
      <c r="BI228">
        <v>-9</v>
      </c>
      <c r="BJ228">
        <v>-32</v>
      </c>
      <c r="BK228">
        <v>-23</v>
      </c>
      <c r="BL228">
        <v>-24</v>
      </c>
      <c r="BM228">
        <v>-37</v>
      </c>
      <c r="BN228">
        <v>-32</v>
      </c>
      <c r="BO228">
        <v>-33</v>
      </c>
      <c r="BP228">
        <v>-31</v>
      </c>
      <c r="BQ228">
        <v>-29</v>
      </c>
      <c r="BR228">
        <v>-17</v>
      </c>
      <c r="BS228">
        <v>-25</v>
      </c>
      <c r="BT228">
        <v>-20</v>
      </c>
      <c r="BU228">
        <v>-17</v>
      </c>
      <c r="BV228">
        <v>-23</v>
      </c>
    </row>
    <row r="229" spans="1:74" x14ac:dyDescent="0.25">
      <c r="A229" t="s">
        <v>563</v>
      </c>
      <c r="B229" t="s">
        <v>135</v>
      </c>
      <c r="C229" t="s">
        <v>102</v>
      </c>
      <c r="D229">
        <v>-11.829000000000001</v>
      </c>
      <c r="E229">
        <v>-47</v>
      </c>
      <c r="F229">
        <v>-47</v>
      </c>
      <c r="G229">
        <v>-45</v>
      </c>
      <c r="H229">
        <v>-44</v>
      </c>
      <c r="I229">
        <v>-43</v>
      </c>
      <c r="J229">
        <v>-39</v>
      </c>
      <c r="K229">
        <v>-26</v>
      </c>
      <c r="L229">
        <v>-16</v>
      </c>
      <c r="M229">
        <v>-15</v>
      </c>
      <c r="N229">
        <v>-3</v>
      </c>
      <c r="O229">
        <v>10</v>
      </c>
      <c r="P229">
        <v>-6</v>
      </c>
      <c r="Q229">
        <v>-3</v>
      </c>
      <c r="R229">
        <v>-4</v>
      </c>
      <c r="S229">
        <v>-23</v>
      </c>
      <c r="T229">
        <v>-23</v>
      </c>
      <c r="U229">
        <v>-35</v>
      </c>
      <c r="V229">
        <v>-30</v>
      </c>
      <c r="W229">
        <v>-33</v>
      </c>
      <c r="X229">
        <v>-25</v>
      </c>
      <c r="Y229">
        <v>-15</v>
      </c>
      <c r="Z229">
        <v>-18</v>
      </c>
      <c r="AA229">
        <v>-14</v>
      </c>
      <c r="AB229">
        <v>0</v>
      </c>
      <c r="AC229">
        <v>-10</v>
      </c>
      <c r="AD229">
        <v>-13</v>
      </c>
      <c r="AE229">
        <v>3</v>
      </c>
      <c r="AF229">
        <v>-20</v>
      </c>
      <c r="AG229">
        <v>-19</v>
      </c>
      <c r="AH229">
        <v>-7</v>
      </c>
      <c r="AI229">
        <v>-12</v>
      </c>
      <c r="AJ229">
        <v>-4</v>
      </c>
      <c r="AK229">
        <v>1</v>
      </c>
      <c r="AL229">
        <v>-6</v>
      </c>
      <c r="AM229">
        <v>-8</v>
      </c>
      <c r="AN229">
        <v>-3</v>
      </c>
      <c r="AO229">
        <v>1</v>
      </c>
      <c r="AP229">
        <v>0</v>
      </c>
      <c r="AQ229">
        <v>2</v>
      </c>
      <c r="AR229">
        <v>-2</v>
      </c>
      <c r="AS229">
        <v>5</v>
      </c>
      <c r="AT229">
        <v>13</v>
      </c>
      <c r="AU229">
        <v>11</v>
      </c>
      <c r="AV229">
        <v>17</v>
      </c>
      <c r="AW229">
        <v>18</v>
      </c>
      <c r="AX229">
        <v>17</v>
      </c>
      <c r="AY229">
        <v>10</v>
      </c>
      <c r="AZ229">
        <v>7</v>
      </c>
      <c r="BA229">
        <v>0</v>
      </c>
      <c r="BB229">
        <v>3</v>
      </c>
      <c r="BC229">
        <v>-19</v>
      </c>
      <c r="BD229">
        <v>-12</v>
      </c>
      <c r="BE229">
        <v>-21</v>
      </c>
      <c r="BF229">
        <v>-14</v>
      </c>
      <c r="BG229">
        <v>-9</v>
      </c>
      <c r="BH229">
        <v>1</v>
      </c>
      <c r="BI229">
        <v>-26</v>
      </c>
      <c r="BJ229">
        <v>-30</v>
      </c>
      <c r="BK229">
        <v>-16</v>
      </c>
      <c r="BL229">
        <v>1</v>
      </c>
      <c r="BM229">
        <v>-18</v>
      </c>
      <c r="BN229">
        <v>-18</v>
      </c>
      <c r="BO229">
        <v>-18</v>
      </c>
      <c r="BP229">
        <v>-20</v>
      </c>
      <c r="BQ229">
        <v>-13</v>
      </c>
      <c r="BR229">
        <v>-2</v>
      </c>
      <c r="BS229">
        <v>-11</v>
      </c>
      <c r="BT229">
        <v>-9</v>
      </c>
      <c r="BU229">
        <v>-16</v>
      </c>
      <c r="BV229">
        <v>-18</v>
      </c>
    </row>
    <row r="230" spans="1:74" x14ac:dyDescent="0.25">
      <c r="A230" t="s">
        <v>564</v>
      </c>
      <c r="B230" t="s">
        <v>136</v>
      </c>
      <c r="C230" t="s">
        <v>102</v>
      </c>
      <c r="D230">
        <v>-8.3859999999999992</v>
      </c>
      <c r="E230">
        <v>-41</v>
      </c>
      <c r="F230">
        <v>-36</v>
      </c>
      <c r="G230">
        <v>-36</v>
      </c>
      <c r="H230">
        <v>-43</v>
      </c>
      <c r="I230">
        <v>-33</v>
      </c>
      <c r="J230">
        <v>-30</v>
      </c>
      <c r="K230">
        <v>-26</v>
      </c>
      <c r="L230">
        <v>-20</v>
      </c>
      <c r="M230">
        <v>-4</v>
      </c>
      <c r="N230">
        <v>-9</v>
      </c>
      <c r="O230">
        <v>-3</v>
      </c>
      <c r="P230">
        <v>6</v>
      </c>
      <c r="Q230">
        <v>0</v>
      </c>
      <c r="R230">
        <v>-3</v>
      </c>
      <c r="S230">
        <v>-13</v>
      </c>
      <c r="T230">
        <v>-19</v>
      </c>
      <c r="U230">
        <v>-37</v>
      </c>
      <c r="V230">
        <v>-36</v>
      </c>
      <c r="W230">
        <v>-22</v>
      </c>
      <c r="X230">
        <v>-19</v>
      </c>
      <c r="Y230">
        <v>-12</v>
      </c>
      <c r="Z230">
        <v>-1</v>
      </c>
      <c r="AA230">
        <v>-6</v>
      </c>
      <c r="AB230">
        <v>3</v>
      </c>
      <c r="AC230">
        <v>-9</v>
      </c>
      <c r="AD230">
        <v>-8</v>
      </c>
      <c r="AE230">
        <v>-3</v>
      </c>
      <c r="AF230">
        <v>-9</v>
      </c>
      <c r="AG230">
        <v>-8</v>
      </c>
      <c r="AH230">
        <v>-10</v>
      </c>
      <c r="AI230">
        <v>0</v>
      </c>
      <c r="AJ230">
        <v>2</v>
      </c>
      <c r="AK230">
        <v>5</v>
      </c>
      <c r="AL230">
        <v>3</v>
      </c>
      <c r="AM230">
        <v>-1</v>
      </c>
      <c r="AN230">
        <v>3</v>
      </c>
      <c r="AO230">
        <v>0</v>
      </c>
      <c r="AP230">
        <v>2</v>
      </c>
      <c r="AQ230">
        <v>10</v>
      </c>
      <c r="AR230">
        <v>8</v>
      </c>
      <c r="AS230">
        <v>8</v>
      </c>
      <c r="AT230">
        <v>12</v>
      </c>
      <c r="AU230">
        <v>11</v>
      </c>
      <c r="AV230">
        <v>13</v>
      </c>
      <c r="AW230">
        <v>19</v>
      </c>
      <c r="AX230">
        <v>14</v>
      </c>
      <c r="AY230">
        <v>15</v>
      </c>
      <c r="AZ230">
        <v>18</v>
      </c>
      <c r="BA230">
        <v>3</v>
      </c>
      <c r="BB230">
        <v>6</v>
      </c>
      <c r="BC230">
        <v>-30</v>
      </c>
      <c r="BD230">
        <v>-9</v>
      </c>
      <c r="BE230">
        <v>-10</v>
      </c>
      <c r="BF230">
        <v>-2</v>
      </c>
      <c r="BG230">
        <v>6</v>
      </c>
      <c r="BH230">
        <v>1</v>
      </c>
      <c r="BI230">
        <v>-3</v>
      </c>
      <c r="BJ230">
        <v>-19</v>
      </c>
      <c r="BK230">
        <v>-9</v>
      </c>
      <c r="BL230">
        <v>-6</v>
      </c>
      <c r="BM230">
        <v>-18</v>
      </c>
      <c r="BN230">
        <v>-20</v>
      </c>
      <c r="BO230">
        <v>-15</v>
      </c>
      <c r="BP230">
        <v>-14</v>
      </c>
      <c r="BQ230">
        <v>-20</v>
      </c>
      <c r="BR230">
        <v>-13</v>
      </c>
      <c r="BS230">
        <v>-17</v>
      </c>
      <c r="BT230">
        <v>-16</v>
      </c>
      <c r="BU230">
        <v>-21</v>
      </c>
      <c r="BV230">
        <v>-16</v>
      </c>
    </row>
    <row r="231" spans="1:74" x14ac:dyDescent="0.25">
      <c r="A231" t="s">
        <v>565</v>
      </c>
      <c r="B231" t="s">
        <v>38</v>
      </c>
      <c r="C231" t="s">
        <v>102</v>
      </c>
      <c r="D231">
        <v>-2.9710000000000001</v>
      </c>
      <c r="E231">
        <v>-24</v>
      </c>
      <c r="F231">
        <v>-21</v>
      </c>
      <c r="G231">
        <v>-20</v>
      </c>
      <c r="H231">
        <v>-16</v>
      </c>
      <c r="I231">
        <v>-10</v>
      </c>
      <c r="J231">
        <v>-16</v>
      </c>
      <c r="K231">
        <v>-10</v>
      </c>
      <c r="L231">
        <v>-2</v>
      </c>
      <c r="M231">
        <v>-1</v>
      </c>
      <c r="N231">
        <v>0</v>
      </c>
      <c r="O231">
        <v>5</v>
      </c>
      <c r="P231">
        <v>7</v>
      </c>
      <c r="Q231">
        <v>3</v>
      </c>
      <c r="R231">
        <v>-1</v>
      </c>
      <c r="S231">
        <v>-3</v>
      </c>
      <c r="T231">
        <v>-8</v>
      </c>
      <c r="U231">
        <v>-24</v>
      </c>
      <c r="V231">
        <v>-28</v>
      </c>
      <c r="W231">
        <v>-19</v>
      </c>
      <c r="X231">
        <v>-13</v>
      </c>
      <c r="Y231">
        <v>-4</v>
      </c>
      <c r="Z231">
        <v>10</v>
      </c>
      <c r="AA231">
        <v>12</v>
      </c>
      <c r="AB231">
        <v>15</v>
      </c>
      <c r="AC231">
        <v>9</v>
      </c>
      <c r="AD231">
        <v>6</v>
      </c>
      <c r="AE231">
        <v>9</v>
      </c>
      <c r="AF231">
        <v>2</v>
      </c>
      <c r="AG231">
        <v>1</v>
      </c>
      <c r="AH231">
        <v>0</v>
      </c>
      <c r="AI231">
        <v>4</v>
      </c>
      <c r="AJ231">
        <v>7</v>
      </c>
      <c r="AK231">
        <v>8</v>
      </c>
      <c r="AL231">
        <v>5</v>
      </c>
      <c r="AM231">
        <v>4</v>
      </c>
      <c r="AN231">
        <v>7</v>
      </c>
      <c r="AO231">
        <v>9</v>
      </c>
      <c r="AP231">
        <v>10</v>
      </c>
      <c r="AQ231">
        <v>9</v>
      </c>
      <c r="AR231">
        <v>10</v>
      </c>
      <c r="AS231">
        <v>10</v>
      </c>
      <c r="AT231">
        <v>13</v>
      </c>
      <c r="AU231">
        <v>14</v>
      </c>
      <c r="AV231">
        <v>17</v>
      </c>
      <c r="AW231">
        <v>16</v>
      </c>
      <c r="AX231">
        <v>14</v>
      </c>
      <c r="AY231">
        <v>11</v>
      </c>
      <c r="AZ231">
        <v>10</v>
      </c>
      <c r="BA231">
        <v>4</v>
      </c>
      <c r="BB231">
        <v>5</v>
      </c>
      <c r="BC231">
        <v>-40</v>
      </c>
      <c r="BD231">
        <v>-14</v>
      </c>
      <c r="BE231">
        <v>-13</v>
      </c>
      <c r="BF231">
        <v>-7</v>
      </c>
      <c r="BG231">
        <v>10</v>
      </c>
      <c r="BH231">
        <v>7</v>
      </c>
      <c r="BI231">
        <v>0</v>
      </c>
      <c r="BJ231">
        <v>-20</v>
      </c>
      <c r="BK231">
        <v>-5</v>
      </c>
      <c r="BL231">
        <v>-3</v>
      </c>
      <c r="BM231">
        <v>-14</v>
      </c>
      <c r="BN231">
        <v>-18</v>
      </c>
      <c r="BO231">
        <v>-14</v>
      </c>
      <c r="BP231">
        <v>-17</v>
      </c>
      <c r="BQ231">
        <v>-18</v>
      </c>
      <c r="BR231">
        <v>-17</v>
      </c>
      <c r="BS231">
        <v>-16</v>
      </c>
      <c r="BT231">
        <v>-16</v>
      </c>
      <c r="BU231">
        <v>-22</v>
      </c>
      <c r="BV231">
        <v>-17</v>
      </c>
    </row>
    <row r="232" spans="1:74" x14ac:dyDescent="0.25">
      <c r="A232" t="s">
        <v>566</v>
      </c>
      <c r="B232" t="s">
        <v>137</v>
      </c>
      <c r="C232" t="s">
        <v>102</v>
      </c>
      <c r="D232">
        <v>-0.52900000000000003</v>
      </c>
      <c r="E232">
        <v>-20</v>
      </c>
      <c r="F232">
        <v>-14</v>
      </c>
      <c r="G232">
        <v>-12</v>
      </c>
      <c r="H232">
        <v>-10</v>
      </c>
      <c r="I232">
        <v>-5</v>
      </c>
      <c r="J232">
        <v>-14</v>
      </c>
      <c r="K232">
        <v>-6</v>
      </c>
      <c r="L232">
        <v>4</v>
      </c>
      <c r="M232">
        <v>4</v>
      </c>
      <c r="N232">
        <v>4</v>
      </c>
      <c r="O232">
        <v>12</v>
      </c>
      <c r="P232">
        <v>14</v>
      </c>
      <c r="Q232">
        <v>9</v>
      </c>
      <c r="R232">
        <v>4</v>
      </c>
      <c r="S232">
        <v>2</v>
      </c>
      <c r="T232">
        <v>-3</v>
      </c>
      <c r="U232">
        <v>-22</v>
      </c>
      <c r="V232">
        <v>-29</v>
      </c>
      <c r="W232">
        <v>-20</v>
      </c>
      <c r="X232">
        <v>-8</v>
      </c>
      <c r="Y232">
        <v>0</v>
      </c>
      <c r="Z232">
        <v>14</v>
      </c>
      <c r="AA232">
        <v>14</v>
      </c>
      <c r="AB232">
        <v>19</v>
      </c>
      <c r="AC232">
        <v>11</v>
      </c>
      <c r="AD232">
        <v>9</v>
      </c>
      <c r="AE232">
        <v>12</v>
      </c>
      <c r="AF232">
        <v>4</v>
      </c>
      <c r="AG232">
        <v>5</v>
      </c>
      <c r="AH232">
        <v>2</v>
      </c>
      <c r="AI232">
        <v>6</v>
      </c>
      <c r="AJ232">
        <v>10</v>
      </c>
      <c r="AK232">
        <v>12</v>
      </c>
      <c r="AL232">
        <v>4</v>
      </c>
      <c r="AM232">
        <v>5</v>
      </c>
      <c r="AN232">
        <v>9</v>
      </c>
      <c r="AO232">
        <v>8</v>
      </c>
      <c r="AP232">
        <v>11</v>
      </c>
      <c r="AQ232">
        <v>9</v>
      </c>
      <c r="AR232">
        <v>12</v>
      </c>
      <c r="AS232">
        <v>12</v>
      </c>
      <c r="AT232">
        <v>17</v>
      </c>
      <c r="AU232">
        <v>16</v>
      </c>
      <c r="AV232">
        <v>21</v>
      </c>
      <c r="AW232">
        <v>19</v>
      </c>
      <c r="AX232">
        <v>17</v>
      </c>
      <c r="AY232">
        <v>13</v>
      </c>
      <c r="AZ232">
        <v>12</v>
      </c>
      <c r="BA232">
        <v>4</v>
      </c>
      <c r="BB232">
        <v>3</v>
      </c>
      <c r="BC232">
        <v>-40</v>
      </c>
      <c r="BD232">
        <v>-14</v>
      </c>
      <c r="BE232">
        <v>-8</v>
      </c>
      <c r="BF232">
        <v>1</v>
      </c>
      <c r="BG232">
        <v>16</v>
      </c>
      <c r="BH232">
        <v>12</v>
      </c>
      <c r="BI232">
        <v>3</v>
      </c>
      <c r="BJ232">
        <v>-17</v>
      </c>
      <c r="BK232">
        <v>-4</v>
      </c>
      <c r="BL232">
        <v>-3</v>
      </c>
      <c r="BM232">
        <v>-15</v>
      </c>
      <c r="BN232">
        <v>-19</v>
      </c>
      <c r="BO232">
        <v>-14</v>
      </c>
      <c r="BP232">
        <v>-20</v>
      </c>
      <c r="BQ232">
        <v>-23</v>
      </c>
      <c r="BR232">
        <v>-21</v>
      </c>
      <c r="BS232">
        <v>-17</v>
      </c>
      <c r="BT232">
        <v>-18</v>
      </c>
      <c r="BU232">
        <v>-21</v>
      </c>
      <c r="BV232">
        <v>-15</v>
      </c>
    </row>
    <row r="233" spans="1:74" x14ac:dyDescent="0.25">
      <c r="A233" t="s">
        <v>567</v>
      </c>
      <c r="B233" t="s">
        <v>138</v>
      </c>
      <c r="C233" t="s">
        <v>102</v>
      </c>
      <c r="D233">
        <v>-5.9710000000000001</v>
      </c>
      <c r="E233">
        <v>-31</v>
      </c>
      <c r="F233">
        <v>-30</v>
      </c>
      <c r="G233">
        <v>-30</v>
      </c>
      <c r="H233">
        <v>-22</v>
      </c>
      <c r="I233">
        <v>-16</v>
      </c>
      <c r="J233">
        <v>-21</v>
      </c>
      <c r="K233">
        <v>-14</v>
      </c>
      <c r="L233">
        <v>-7</v>
      </c>
      <c r="M233">
        <v>-7</v>
      </c>
      <c r="N233">
        <v>-5</v>
      </c>
      <c r="O233">
        <v>-2</v>
      </c>
      <c r="P233">
        <v>2</v>
      </c>
      <c r="Q233">
        <v>0</v>
      </c>
      <c r="R233">
        <v>-4</v>
      </c>
      <c r="S233">
        <v>-8</v>
      </c>
      <c r="T233">
        <v>-11</v>
      </c>
      <c r="U233">
        <v>-21</v>
      </c>
      <c r="V233">
        <v>-27</v>
      </c>
      <c r="W233">
        <v>-15</v>
      </c>
      <c r="X233">
        <v>-14</v>
      </c>
      <c r="Y233">
        <v>-7</v>
      </c>
      <c r="Z233">
        <v>6</v>
      </c>
      <c r="AA233">
        <v>9</v>
      </c>
      <c r="AB233">
        <v>10</v>
      </c>
      <c r="AC233">
        <v>5</v>
      </c>
      <c r="AD233">
        <v>1</v>
      </c>
      <c r="AE233">
        <v>4</v>
      </c>
      <c r="AF233">
        <v>-1</v>
      </c>
      <c r="AG233">
        <v>-1</v>
      </c>
      <c r="AH233">
        <v>-1</v>
      </c>
      <c r="AI233">
        <v>1</v>
      </c>
      <c r="AJ233">
        <v>3</v>
      </c>
      <c r="AK233">
        <v>4</v>
      </c>
      <c r="AL233">
        <v>5</v>
      </c>
      <c r="AM233">
        <v>1</v>
      </c>
      <c r="AN233">
        <v>4</v>
      </c>
      <c r="AO233">
        <v>9</v>
      </c>
      <c r="AP233">
        <v>7</v>
      </c>
      <c r="AQ233">
        <v>8</v>
      </c>
      <c r="AR233">
        <v>6</v>
      </c>
      <c r="AS233">
        <v>5</v>
      </c>
      <c r="AT233">
        <v>7</v>
      </c>
      <c r="AU233">
        <v>11</v>
      </c>
      <c r="AV233">
        <v>10</v>
      </c>
      <c r="AW233">
        <v>9</v>
      </c>
      <c r="AX233">
        <v>8</v>
      </c>
      <c r="AY233">
        <v>6</v>
      </c>
      <c r="AZ233">
        <v>6</v>
      </c>
      <c r="BA233">
        <v>4</v>
      </c>
      <c r="BB233">
        <v>7</v>
      </c>
      <c r="BC233">
        <v>-38</v>
      </c>
      <c r="BD233">
        <v>-12</v>
      </c>
      <c r="BE233">
        <v>-17</v>
      </c>
      <c r="BF233">
        <v>-14</v>
      </c>
      <c r="BG233">
        <v>5</v>
      </c>
      <c r="BH233">
        <v>2</v>
      </c>
      <c r="BI233">
        <v>-2</v>
      </c>
      <c r="BJ233">
        <v>-21</v>
      </c>
      <c r="BK233">
        <v>-8</v>
      </c>
      <c r="BL233">
        <v>-6</v>
      </c>
      <c r="BM233">
        <v>-17</v>
      </c>
      <c r="BN233">
        <v>-18</v>
      </c>
      <c r="BO233">
        <v>-17</v>
      </c>
      <c r="BP233">
        <v>-17</v>
      </c>
      <c r="BQ233">
        <v>-15</v>
      </c>
      <c r="BR233">
        <v>-16</v>
      </c>
      <c r="BS233">
        <v>-14</v>
      </c>
      <c r="BT233">
        <v>-15</v>
      </c>
      <c r="BU233">
        <v>-23</v>
      </c>
      <c r="BV233">
        <v>-18</v>
      </c>
    </row>
    <row r="234" spans="1:74" x14ac:dyDescent="0.25">
      <c r="A234" t="s">
        <v>568</v>
      </c>
      <c r="B234" t="s">
        <v>139</v>
      </c>
      <c r="C234" t="s">
        <v>102</v>
      </c>
      <c r="D234">
        <v>4.1429999999999998</v>
      </c>
      <c r="E234">
        <v>-18</v>
      </c>
      <c r="F234">
        <v>-8</v>
      </c>
      <c r="G234">
        <v>-9</v>
      </c>
      <c r="H234">
        <v>-10</v>
      </c>
      <c r="I234">
        <v>-5</v>
      </c>
      <c r="J234">
        <v>-7</v>
      </c>
      <c r="K234">
        <v>-6</v>
      </c>
      <c r="L234">
        <v>3</v>
      </c>
      <c r="M234">
        <v>8</v>
      </c>
      <c r="N234">
        <v>6</v>
      </c>
      <c r="O234">
        <v>12</v>
      </c>
      <c r="P234">
        <v>18</v>
      </c>
      <c r="Q234">
        <v>15</v>
      </c>
      <c r="R234">
        <v>11</v>
      </c>
      <c r="S234">
        <v>7</v>
      </c>
      <c r="T234">
        <v>1</v>
      </c>
      <c r="U234">
        <v>-16</v>
      </c>
      <c r="V234">
        <v>-23</v>
      </c>
      <c r="W234">
        <v>-11</v>
      </c>
      <c r="X234">
        <v>-2</v>
      </c>
      <c r="Y234">
        <v>4</v>
      </c>
      <c r="Z234">
        <v>13</v>
      </c>
      <c r="AA234">
        <v>15</v>
      </c>
      <c r="AB234">
        <v>15</v>
      </c>
      <c r="AC234">
        <v>13</v>
      </c>
      <c r="AD234">
        <v>9</v>
      </c>
      <c r="AE234">
        <v>10</v>
      </c>
      <c r="AF234">
        <v>5</v>
      </c>
      <c r="AG234">
        <v>5</v>
      </c>
      <c r="AH234">
        <v>4</v>
      </c>
      <c r="AI234">
        <v>9</v>
      </c>
      <c r="AJ234">
        <v>10</v>
      </c>
      <c r="AK234">
        <v>11</v>
      </c>
      <c r="AL234">
        <v>10</v>
      </c>
      <c r="AM234">
        <v>11</v>
      </c>
      <c r="AN234">
        <v>14</v>
      </c>
      <c r="AO234">
        <v>13</v>
      </c>
      <c r="AP234">
        <v>13</v>
      </c>
      <c r="AQ234">
        <v>13</v>
      </c>
      <c r="AR234">
        <v>14</v>
      </c>
      <c r="AS234">
        <v>16</v>
      </c>
      <c r="AT234">
        <v>16</v>
      </c>
      <c r="AU234">
        <v>19</v>
      </c>
      <c r="AV234">
        <v>21</v>
      </c>
      <c r="AW234">
        <v>21</v>
      </c>
      <c r="AX234">
        <v>20</v>
      </c>
      <c r="AY234">
        <v>17</v>
      </c>
      <c r="AZ234">
        <v>16</v>
      </c>
      <c r="BA234">
        <v>10</v>
      </c>
      <c r="BB234">
        <v>10</v>
      </c>
      <c r="BC234">
        <v>-35</v>
      </c>
      <c r="BD234">
        <v>-15</v>
      </c>
      <c r="BE234">
        <v>-11</v>
      </c>
      <c r="BF234">
        <v>-4</v>
      </c>
      <c r="BG234">
        <v>12</v>
      </c>
      <c r="BH234">
        <v>9</v>
      </c>
      <c r="BI234">
        <v>7</v>
      </c>
      <c r="BJ234">
        <v>-6</v>
      </c>
      <c r="BK234">
        <v>4</v>
      </c>
      <c r="BL234">
        <v>7</v>
      </c>
      <c r="BM234">
        <v>-1</v>
      </c>
      <c r="BN234">
        <v>-4</v>
      </c>
      <c r="BO234">
        <v>-1</v>
      </c>
      <c r="BP234">
        <v>-3</v>
      </c>
      <c r="BQ234">
        <v>-2</v>
      </c>
      <c r="BR234">
        <v>0</v>
      </c>
      <c r="BS234">
        <v>-2</v>
      </c>
      <c r="BT234">
        <v>-2</v>
      </c>
      <c r="BU234">
        <v>-6</v>
      </c>
      <c r="BV234">
        <v>0</v>
      </c>
    </row>
    <row r="235" spans="1:74" x14ac:dyDescent="0.25">
      <c r="A235" t="s">
        <v>569</v>
      </c>
      <c r="B235" t="s">
        <v>140</v>
      </c>
      <c r="C235" t="s">
        <v>102</v>
      </c>
      <c r="D235">
        <v>-1.9139999999999999</v>
      </c>
      <c r="E235">
        <v>-24</v>
      </c>
      <c r="F235">
        <v>-13</v>
      </c>
      <c r="G235">
        <v>-12</v>
      </c>
      <c r="H235">
        <v>-14</v>
      </c>
      <c r="I235">
        <v>-14</v>
      </c>
      <c r="J235">
        <v>-18</v>
      </c>
      <c r="K235">
        <v>-18</v>
      </c>
      <c r="L235">
        <v>0</v>
      </c>
      <c r="M235">
        <v>5</v>
      </c>
      <c r="N235">
        <v>2</v>
      </c>
      <c r="O235">
        <v>14</v>
      </c>
      <c r="P235">
        <v>20</v>
      </c>
      <c r="Q235">
        <v>18</v>
      </c>
      <c r="R235">
        <v>11</v>
      </c>
      <c r="S235">
        <v>8</v>
      </c>
      <c r="T235">
        <v>-6</v>
      </c>
      <c r="U235">
        <v>-37</v>
      </c>
      <c r="V235">
        <v>-42</v>
      </c>
      <c r="W235">
        <v>-30</v>
      </c>
      <c r="X235">
        <v>-16</v>
      </c>
      <c r="Y235">
        <v>-2</v>
      </c>
      <c r="Z235">
        <v>13</v>
      </c>
      <c r="AA235">
        <v>13</v>
      </c>
      <c r="AB235">
        <v>9</v>
      </c>
      <c r="AC235">
        <v>6</v>
      </c>
      <c r="AD235">
        <v>-1</v>
      </c>
      <c r="AE235">
        <v>-1</v>
      </c>
      <c r="AF235">
        <v>-6</v>
      </c>
      <c r="AG235">
        <v>-7</v>
      </c>
      <c r="AH235">
        <v>-8</v>
      </c>
      <c r="AI235">
        <v>2</v>
      </c>
      <c r="AJ235">
        <v>6</v>
      </c>
      <c r="AK235">
        <v>4</v>
      </c>
      <c r="AL235">
        <v>3</v>
      </c>
      <c r="AM235">
        <v>1</v>
      </c>
      <c r="AN235">
        <v>5</v>
      </c>
      <c r="AO235">
        <v>8</v>
      </c>
      <c r="AP235">
        <v>8</v>
      </c>
      <c r="AQ235">
        <v>9</v>
      </c>
      <c r="AR235">
        <v>7</v>
      </c>
      <c r="AS235">
        <v>10</v>
      </c>
      <c r="AT235">
        <v>9</v>
      </c>
      <c r="AU235">
        <v>16</v>
      </c>
      <c r="AV235">
        <v>18</v>
      </c>
      <c r="AW235">
        <v>16</v>
      </c>
      <c r="AX235">
        <v>17</v>
      </c>
      <c r="AY235">
        <v>14</v>
      </c>
      <c r="AZ235">
        <v>10</v>
      </c>
      <c r="BA235">
        <v>0</v>
      </c>
      <c r="BB235">
        <v>2</v>
      </c>
      <c r="BC235">
        <v>-47</v>
      </c>
      <c r="BD235">
        <v>-22</v>
      </c>
      <c r="BE235">
        <v>-15</v>
      </c>
      <c r="BF235">
        <v>-5</v>
      </c>
      <c r="BG235">
        <v>13</v>
      </c>
      <c r="BH235">
        <v>12</v>
      </c>
      <c r="BI235">
        <v>3</v>
      </c>
      <c r="BJ235">
        <v>-7</v>
      </c>
      <c r="BK235">
        <v>2</v>
      </c>
      <c r="BL235">
        <v>3</v>
      </c>
      <c r="BM235">
        <v>-10</v>
      </c>
      <c r="BN235">
        <v>-15</v>
      </c>
      <c r="BO235">
        <v>-10</v>
      </c>
      <c r="BP235">
        <v>-10</v>
      </c>
      <c r="BQ235">
        <v>-8</v>
      </c>
      <c r="BR235">
        <v>-4</v>
      </c>
      <c r="BS235">
        <v>-7</v>
      </c>
      <c r="BT235">
        <v>-8</v>
      </c>
      <c r="BU235">
        <v>-13</v>
      </c>
      <c r="BV235">
        <v>-1</v>
      </c>
    </row>
    <row r="236" spans="1:74" x14ac:dyDescent="0.25">
      <c r="A236" t="s">
        <v>570</v>
      </c>
      <c r="B236" t="s">
        <v>141</v>
      </c>
      <c r="C236" t="s">
        <v>102</v>
      </c>
      <c r="D236">
        <v>-4.9710000000000001</v>
      </c>
      <c r="E236">
        <v>-34</v>
      </c>
      <c r="F236">
        <v>-25</v>
      </c>
      <c r="G236">
        <v>-25</v>
      </c>
      <c r="H236">
        <v>-25</v>
      </c>
      <c r="I236">
        <v>-25</v>
      </c>
      <c r="J236">
        <v>-33</v>
      </c>
      <c r="K236">
        <v>-24</v>
      </c>
      <c r="L236">
        <v>-11</v>
      </c>
      <c r="M236">
        <v>-3</v>
      </c>
      <c r="N236">
        <v>-5</v>
      </c>
      <c r="O236">
        <v>8</v>
      </c>
      <c r="P236">
        <v>13</v>
      </c>
      <c r="Q236">
        <v>10</v>
      </c>
      <c r="R236">
        <v>6</v>
      </c>
      <c r="S236">
        <v>-3</v>
      </c>
      <c r="T236">
        <v>-11</v>
      </c>
      <c r="U236">
        <v>-35</v>
      </c>
      <c r="V236">
        <v>-39</v>
      </c>
      <c r="W236">
        <v>-30</v>
      </c>
      <c r="X236">
        <v>-15</v>
      </c>
      <c r="Y236">
        <v>-8</v>
      </c>
      <c r="Z236">
        <v>6</v>
      </c>
      <c r="AA236">
        <v>8</v>
      </c>
      <c r="AB236">
        <v>2</v>
      </c>
      <c r="AC236">
        <v>2</v>
      </c>
      <c r="AD236">
        <v>-6</v>
      </c>
      <c r="AE236">
        <v>-2</v>
      </c>
      <c r="AF236">
        <v>-6</v>
      </c>
      <c r="AG236">
        <v>-7</v>
      </c>
      <c r="AH236">
        <v>-7</v>
      </c>
      <c r="AI236">
        <v>0</v>
      </c>
      <c r="AJ236">
        <v>4</v>
      </c>
      <c r="AK236">
        <v>-1</v>
      </c>
      <c r="AL236">
        <v>-3</v>
      </c>
      <c r="AM236">
        <v>-3</v>
      </c>
      <c r="AN236">
        <v>1</v>
      </c>
      <c r="AO236">
        <v>6</v>
      </c>
      <c r="AP236">
        <v>6</v>
      </c>
      <c r="AQ236">
        <v>8</v>
      </c>
      <c r="AR236">
        <v>7</v>
      </c>
      <c r="AS236">
        <v>9</v>
      </c>
      <c r="AT236">
        <v>6</v>
      </c>
      <c r="AU236">
        <v>11</v>
      </c>
      <c r="AV236">
        <v>13</v>
      </c>
      <c r="AW236">
        <v>12</v>
      </c>
      <c r="AX236">
        <v>12</v>
      </c>
      <c r="AY236">
        <v>11</v>
      </c>
      <c r="AZ236">
        <v>8</v>
      </c>
      <c r="BA236">
        <v>2</v>
      </c>
      <c r="BB236">
        <v>3</v>
      </c>
      <c r="BC236">
        <v>-44</v>
      </c>
      <c r="BD236">
        <v>-23</v>
      </c>
      <c r="BE236">
        <v>-17</v>
      </c>
      <c r="BF236">
        <v>-6</v>
      </c>
      <c r="BG236">
        <v>7</v>
      </c>
      <c r="BH236">
        <v>9</v>
      </c>
      <c r="BI236">
        <v>2</v>
      </c>
      <c r="BJ236">
        <v>-7</v>
      </c>
      <c r="BK236">
        <v>1</v>
      </c>
      <c r="BL236">
        <v>3</v>
      </c>
      <c r="BM236">
        <v>-8</v>
      </c>
      <c r="BN236">
        <v>-12</v>
      </c>
      <c r="BO236">
        <v>-6</v>
      </c>
      <c r="BP236">
        <v>-8</v>
      </c>
      <c r="BQ236">
        <v>-5</v>
      </c>
      <c r="BR236">
        <v>3</v>
      </c>
      <c r="BS236">
        <v>-4</v>
      </c>
      <c r="BT236">
        <v>-5</v>
      </c>
      <c r="BU236">
        <v>-11</v>
      </c>
      <c r="BV236">
        <v>-5</v>
      </c>
    </row>
    <row r="237" spans="1:74" x14ac:dyDescent="0.25">
      <c r="A237" t="s">
        <v>571</v>
      </c>
      <c r="B237" t="s">
        <v>142</v>
      </c>
      <c r="C237" t="s">
        <v>102</v>
      </c>
      <c r="D237">
        <v>0.88600000000000001</v>
      </c>
      <c r="E237">
        <v>-20</v>
      </c>
      <c r="F237">
        <v>-6</v>
      </c>
      <c r="G237">
        <v>-5</v>
      </c>
      <c r="H237">
        <v>-2</v>
      </c>
      <c r="I237">
        <v>-4</v>
      </c>
      <c r="J237">
        <v>-8</v>
      </c>
      <c r="K237">
        <v>-11</v>
      </c>
      <c r="L237">
        <v>8</v>
      </c>
      <c r="M237">
        <v>12</v>
      </c>
      <c r="N237">
        <v>9</v>
      </c>
      <c r="O237">
        <v>21</v>
      </c>
      <c r="P237">
        <v>24</v>
      </c>
      <c r="Q237">
        <v>26</v>
      </c>
      <c r="R237">
        <v>14</v>
      </c>
      <c r="S237">
        <v>16</v>
      </c>
      <c r="T237">
        <v>-2</v>
      </c>
      <c r="U237">
        <v>-42</v>
      </c>
      <c r="V237">
        <v>-49</v>
      </c>
      <c r="W237">
        <v>-28</v>
      </c>
      <c r="X237">
        <v>-17</v>
      </c>
      <c r="Y237">
        <v>5</v>
      </c>
      <c r="Z237">
        <v>25</v>
      </c>
      <c r="AA237">
        <v>22</v>
      </c>
      <c r="AB237">
        <v>19</v>
      </c>
      <c r="AC237">
        <v>10</v>
      </c>
      <c r="AD237">
        <v>4</v>
      </c>
      <c r="AE237">
        <v>-3</v>
      </c>
      <c r="AF237">
        <v>-5</v>
      </c>
      <c r="AG237">
        <v>-7</v>
      </c>
      <c r="AH237">
        <v>-8</v>
      </c>
      <c r="AI237">
        <v>5</v>
      </c>
      <c r="AJ237">
        <v>10</v>
      </c>
      <c r="AK237">
        <v>11</v>
      </c>
      <c r="AL237">
        <v>9</v>
      </c>
      <c r="AM237">
        <v>4</v>
      </c>
      <c r="AN237">
        <v>10</v>
      </c>
      <c r="AO237">
        <v>11</v>
      </c>
      <c r="AP237">
        <v>9</v>
      </c>
      <c r="AQ237">
        <v>11</v>
      </c>
      <c r="AR237">
        <v>7</v>
      </c>
      <c r="AS237">
        <v>11</v>
      </c>
      <c r="AT237">
        <v>15</v>
      </c>
      <c r="AU237">
        <v>23</v>
      </c>
      <c r="AV237">
        <v>23</v>
      </c>
      <c r="AW237">
        <v>19</v>
      </c>
      <c r="AX237">
        <v>23</v>
      </c>
      <c r="AY237">
        <v>16</v>
      </c>
      <c r="AZ237">
        <v>11</v>
      </c>
      <c r="BA237">
        <v>-3</v>
      </c>
      <c r="BB237">
        <v>1</v>
      </c>
      <c r="BC237">
        <v>-50</v>
      </c>
      <c r="BD237">
        <v>-21</v>
      </c>
      <c r="BE237">
        <v>-13</v>
      </c>
      <c r="BF237">
        <v>-2</v>
      </c>
      <c r="BG237">
        <v>21</v>
      </c>
      <c r="BH237">
        <v>16</v>
      </c>
      <c r="BI237">
        <v>5</v>
      </c>
      <c r="BJ237">
        <v>-7</v>
      </c>
      <c r="BK237">
        <v>3</v>
      </c>
      <c r="BL237">
        <v>3</v>
      </c>
      <c r="BM237">
        <v>-13</v>
      </c>
      <c r="BN237">
        <v>-19</v>
      </c>
      <c r="BO237">
        <v>-15</v>
      </c>
      <c r="BP237">
        <v>-14</v>
      </c>
      <c r="BQ237">
        <v>-12</v>
      </c>
      <c r="BR237">
        <v>-10</v>
      </c>
      <c r="BS237">
        <v>-12</v>
      </c>
      <c r="BT237">
        <v>-11</v>
      </c>
      <c r="BU237">
        <v>-14</v>
      </c>
      <c r="BV237">
        <v>3</v>
      </c>
    </row>
    <row r="238" spans="1:74" x14ac:dyDescent="0.25">
      <c r="A238" t="s">
        <v>572</v>
      </c>
      <c r="B238" t="s">
        <v>143</v>
      </c>
      <c r="C238" t="s">
        <v>102</v>
      </c>
      <c r="D238">
        <v>3.4289999999999998</v>
      </c>
      <c r="E238">
        <v>-31</v>
      </c>
      <c r="F238">
        <v>-8</v>
      </c>
      <c r="G238">
        <v>-12</v>
      </c>
      <c r="H238">
        <v>-15</v>
      </c>
      <c r="I238">
        <v>-3</v>
      </c>
      <c r="J238">
        <v>-8</v>
      </c>
      <c r="K238">
        <v>-3</v>
      </c>
      <c r="L238">
        <v>5</v>
      </c>
      <c r="M238">
        <v>1</v>
      </c>
      <c r="N238">
        <v>8</v>
      </c>
      <c r="O238">
        <v>13</v>
      </c>
      <c r="P238">
        <v>17</v>
      </c>
      <c r="Q238">
        <v>16</v>
      </c>
      <c r="R238">
        <v>12</v>
      </c>
      <c r="S238">
        <v>-1</v>
      </c>
      <c r="T238">
        <v>0</v>
      </c>
      <c r="U238">
        <v>-11</v>
      </c>
      <c r="V238">
        <v>-31</v>
      </c>
      <c r="W238">
        <v>-11</v>
      </c>
      <c r="X238">
        <v>10</v>
      </c>
      <c r="Y238">
        <v>12</v>
      </c>
      <c r="Z238">
        <v>30</v>
      </c>
      <c r="AA238">
        <v>23</v>
      </c>
      <c r="AB238">
        <v>24</v>
      </c>
      <c r="AC238">
        <v>25</v>
      </c>
      <c r="AD238">
        <v>22</v>
      </c>
      <c r="AE238">
        <v>23</v>
      </c>
      <c r="AF238">
        <v>23</v>
      </c>
      <c r="AG238">
        <v>12</v>
      </c>
      <c r="AH238">
        <v>12</v>
      </c>
      <c r="AI238">
        <v>16</v>
      </c>
      <c r="AJ238">
        <v>10</v>
      </c>
      <c r="AK238">
        <v>16</v>
      </c>
      <c r="AL238">
        <v>17</v>
      </c>
      <c r="AM238">
        <v>19</v>
      </c>
      <c r="AN238">
        <v>18</v>
      </c>
      <c r="AO238">
        <v>23</v>
      </c>
      <c r="AP238">
        <v>21</v>
      </c>
      <c r="AQ238">
        <v>18</v>
      </c>
      <c r="AR238">
        <v>25</v>
      </c>
      <c r="AS238">
        <v>27</v>
      </c>
      <c r="AT238">
        <v>18</v>
      </c>
      <c r="AU238">
        <v>26</v>
      </c>
      <c r="AV238">
        <v>22</v>
      </c>
      <c r="AW238">
        <v>23</v>
      </c>
      <c r="AX238">
        <v>22</v>
      </c>
      <c r="AY238">
        <v>18</v>
      </c>
      <c r="AZ238">
        <v>17</v>
      </c>
      <c r="BA238">
        <v>17</v>
      </c>
      <c r="BB238">
        <v>13</v>
      </c>
      <c r="BC238">
        <v>-60</v>
      </c>
      <c r="BD238">
        <v>-29</v>
      </c>
      <c r="BE238">
        <v>-36</v>
      </c>
      <c r="BF238">
        <v>-23</v>
      </c>
      <c r="BG238">
        <v>7</v>
      </c>
      <c r="BH238">
        <v>-11</v>
      </c>
      <c r="BI238">
        <v>0</v>
      </c>
      <c r="BJ238">
        <v>-9</v>
      </c>
      <c r="BK238">
        <v>-5</v>
      </c>
      <c r="BL238">
        <v>-3</v>
      </c>
      <c r="BM238">
        <v>-9</v>
      </c>
      <c r="BN238">
        <v>-18</v>
      </c>
      <c r="BO238">
        <v>-15</v>
      </c>
      <c r="BP238">
        <v>-15</v>
      </c>
      <c r="BQ238">
        <v>-15</v>
      </c>
      <c r="BR238">
        <v>-18</v>
      </c>
      <c r="BS238">
        <v>-13</v>
      </c>
      <c r="BT238">
        <v>-5</v>
      </c>
      <c r="BU238">
        <v>-16</v>
      </c>
      <c r="BV238">
        <v>-7</v>
      </c>
    </row>
    <row r="239" spans="1:74" x14ac:dyDescent="0.25">
      <c r="A239" t="s">
        <v>573</v>
      </c>
      <c r="B239" t="s">
        <v>144</v>
      </c>
      <c r="C239" t="s">
        <v>102</v>
      </c>
      <c r="D239">
        <v>5.7</v>
      </c>
      <c r="E239">
        <v>-31</v>
      </c>
      <c r="F239">
        <v>-8</v>
      </c>
      <c r="G239">
        <v>-15</v>
      </c>
      <c r="H239">
        <v>-14</v>
      </c>
      <c r="I239">
        <v>-1</v>
      </c>
      <c r="J239">
        <v>4</v>
      </c>
      <c r="K239">
        <v>-3</v>
      </c>
      <c r="L239">
        <v>10</v>
      </c>
      <c r="M239">
        <v>8</v>
      </c>
      <c r="N239">
        <v>11</v>
      </c>
      <c r="O239">
        <v>19</v>
      </c>
      <c r="P239">
        <v>25</v>
      </c>
      <c r="Q239">
        <v>23</v>
      </c>
      <c r="R239">
        <v>13</v>
      </c>
      <c r="S239">
        <v>7</v>
      </c>
      <c r="T239">
        <v>-1</v>
      </c>
      <c r="U239">
        <v>-12</v>
      </c>
      <c r="V239">
        <v>-29</v>
      </c>
      <c r="W239">
        <v>-12</v>
      </c>
      <c r="X239">
        <v>16</v>
      </c>
      <c r="Y239">
        <v>21</v>
      </c>
      <c r="Z239">
        <v>38</v>
      </c>
      <c r="AA239">
        <v>33</v>
      </c>
      <c r="AB239">
        <v>30</v>
      </c>
      <c r="AC239">
        <v>31</v>
      </c>
      <c r="AD239">
        <v>26</v>
      </c>
      <c r="AE239">
        <v>31</v>
      </c>
      <c r="AF239">
        <v>26</v>
      </c>
      <c r="AG239">
        <v>13</v>
      </c>
      <c r="AH239">
        <v>13</v>
      </c>
      <c r="AI239">
        <v>19</v>
      </c>
      <c r="AJ239">
        <v>9</v>
      </c>
      <c r="AK239">
        <v>17</v>
      </c>
      <c r="AL239">
        <v>19</v>
      </c>
      <c r="AM239">
        <v>22</v>
      </c>
      <c r="AN239">
        <v>23</v>
      </c>
      <c r="AO239">
        <v>27</v>
      </c>
      <c r="AP239">
        <v>24</v>
      </c>
      <c r="AQ239">
        <v>21</v>
      </c>
      <c r="AR239">
        <v>29</v>
      </c>
      <c r="AS239">
        <v>30</v>
      </c>
      <c r="AT239">
        <v>17</v>
      </c>
      <c r="AU239">
        <v>29</v>
      </c>
      <c r="AV239">
        <v>23</v>
      </c>
      <c r="AW239">
        <v>25</v>
      </c>
      <c r="AX239">
        <v>23</v>
      </c>
      <c r="AY239">
        <v>22</v>
      </c>
      <c r="AZ239">
        <v>18</v>
      </c>
      <c r="BA239">
        <v>18</v>
      </c>
      <c r="BB239">
        <v>12</v>
      </c>
      <c r="BC239">
        <v>-65</v>
      </c>
      <c r="BD239">
        <v>-30</v>
      </c>
      <c r="BE239">
        <v>-34</v>
      </c>
      <c r="BF239">
        <v>-24</v>
      </c>
      <c r="BG239">
        <v>9</v>
      </c>
      <c r="BH239">
        <v>-12</v>
      </c>
      <c r="BI239">
        <v>1</v>
      </c>
      <c r="BJ239">
        <v>-5</v>
      </c>
      <c r="BK239">
        <v>-5</v>
      </c>
      <c r="BL239">
        <v>-5</v>
      </c>
      <c r="BM239">
        <v>-8</v>
      </c>
      <c r="BN239">
        <v>-18</v>
      </c>
      <c r="BO239">
        <v>-13</v>
      </c>
      <c r="BP239">
        <v>-13</v>
      </c>
      <c r="BQ239">
        <v>-16</v>
      </c>
      <c r="BR239">
        <v>-18</v>
      </c>
      <c r="BS239">
        <v>-12</v>
      </c>
      <c r="BT239">
        <v>-6</v>
      </c>
      <c r="BU239">
        <v>-20</v>
      </c>
      <c r="BV239">
        <v>-6</v>
      </c>
    </row>
    <row r="240" spans="1:74" x14ac:dyDescent="0.25">
      <c r="A240" t="s">
        <v>574</v>
      </c>
      <c r="B240" t="s">
        <v>145</v>
      </c>
      <c r="C240" t="s">
        <v>102</v>
      </c>
      <c r="D240">
        <v>-0.68600000000000005</v>
      </c>
      <c r="E240">
        <v>-31</v>
      </c>
      <c r="F240">
        <v>-9</v>
      </c>
      <c r="G240">
        <v>-5</v>
      </c>
      <c r="H240">
        <v>-16</v>
      </c>
      <c r="I240">
        <v>-8</v>
      </c>
      <c r="J240">
        <v>-21</v>
      </c>
      <c r="K240">
        <v>-5</v>
      </c>
      <c r="L240">
        <v>-4</v>
      </c>
      <c r="M240">
        <v>-9</v>
      </c>
      <c r="N240">
        <v>3</v>
      </c>
      <c r="O240">
        <v>5</v>
      </c>
      <c r="P240">
        <v>5</v>
      </c>
      <c r="Q240">
        <v>8</v>
      </c>
      <c r="R240">
        <v>11</v>
      </c>
      <c r="S240">
        <v>-11</v>
      </c>
      <c r="T240">
        <v>1</v>
      </c>
      <c r="U240">
        <v>-10</v>
      </c>
      <c r="V240">
        <v>-36</v>
      </c>
      <c r="W240">
        <v>-8</v>
      </c>
      <c r="X240">
        <v>-1</v>
      </c>
      <c r="Y240">
        <v>-2</v>
      </c>
      <c r="Z240">
        <v>14</v>
      </c>
      <c r="AA240">
        <v>2</v>
      </c>
      <c r="AB240">
        <v>12</v>
      </c>
      <c r="AC240">
        <v>14</v>
      </c>
      <c r="AD240">
        <v>11</v>
      </c>
      <c r="AE240">
        <v>9</v>
      </c>
      <c r="AF240">
        <v>16</v>
      </c>
      <c r="AG240">
        <v>10</v>
      </c>
      <c r="AH240">
        <v>8</v>
      </c>
      <c r="AI240">
        <v>12</v>
      </c>
      <c r="AJ240">
        <v>12</v>
      </c>
      <c r="AK240">
        <v>13</v>
      </c>
      <c r="AL240">
        <v>11</v>
      </c>
      <c r="AM240">
        <v>12</v>
      </c>
      <c r="AN240">
        <v>9</v>
      </c>
      <c r="AO240">
        <v>15</v>
      </c>
      <c r="AP240">
        <v>16</v>
      </c>
      <c r="AQ240">
        <v>12</v>
      </c>
      <c r="AR240">
        <v>17</v>
      </c>
      <c r="AS240">
        <v>19</v>
      </c>
      <c r="AT240">
        <v>21</v>
      </c>
      <c r="AU240">
        <v>19</v>
      </c>
      <c r="AV240">
        <v>21</v>
      </c>
      <c r="AW240">
        <v>19</v>
      </c>
      <c r="AX240">
        <v>22</v>
      </c>
      <c r="AY240">
        <v>11</v>
      </c>
      <c r="AZ240">
        <v>14</v>
      </c>
      <c r="BA240">
        <v>14</v>
      </c>
      <c r="BB240">
        <v>14</v>
      </c>
      <c r="BC240">
        <v>-54</v>
      </c>
      <c r="BD240">
        <v>-26</v>
      </c>
      <c r="BE240">
        <v>-40</v>
      </c>
      <c r="BF240">
        <v>-21</v>
      </c>
      <c r="BG240">
        <v>3</v>
      </c>
      <c r="BH240">
        <v>-11</v>
      </c>
      <c r="BI240">
        <v>-2</v>
      </c>
      <c r="BJ240">
        <v>-18</v>
      </c>
      <c r="BK240">
        <v>-4</v>
      </c>
      <c r="BL240">
        <v>2</v>
      </c>
      <c r="BM240">
        <v>-11</v>
      </c>
      <c r="BN240">
        <v>-18</v>
      </c>
      <c r="BO240">
        <v>-20</v>
      </c>
      <c r="BP240">
        <v>-20</v>
      </c>
      <c r="BQ240">
        <v>-14</v>
      </c>
      <c r="BR240">
        <v>-16</v>
      </c>
      <c r="BS240">
        <v>-14</v>
      </c>
      <c r="BT240">
        <v>-2</v>
      </c>
      <c r="BU240">
        <v>-10</v>
      </c>
      <c r="BV240">
        <v>-8</v>
      </c>
    </row>
    <row r="241" spans="1:74" x14ac:dyDescent="0.25">
      <c r="A241" t="s">
        <v>575</v>
      </c>
      <c r="B241" t="s">
        <v>146</v>
      </c>
      <c r="C241" t="s">
        <v>102</v>
      </c>
      <c r="D241">
        <v>3.129</v>
      </c>
      <c r="E241">
        <v>-9</v>
      </c>
      <c r="F241">
        <v>-5</v>
      </c>
      <c r="G241">
        <v>-2</v>
      </c>
      <c r="H241">
        <v>5</v>
      </c>
      <c r="I241">
        <v>13</v>
      </c>
      <c r="J241">
        <v>6</v>
      </c>
      <c r="K241">
        <v>11</v>
      </c>
      <c r="L241">
        <v>12</v>
      </c>
      <c r="M241">
        <v>8</v>
      </c>
      <c r="N241">
        <v>7</v>
      </c>
      <c r="O241">
        <v>24</v>
      </c>
      <c r="P241">
        <v>31</v>
      </c>
      <c r="Q241">
        <v>27</v>
      </c>
      <c r="R241">
        <v>16</v>
      </c>
      <c r="S241">
        <v>16</v>
      </c>
      <c r="T241">
        <v>10</v>
      </c>
      <c r="U241">
        <v>0</v>
      </c>
      <c r="V241">
        <v>-10</v>
      </c>
      <c r="W241">
        <v>-12</v>
      </c>
      <c r="X241">
        <v>-2</v>
      </c>
      <c r="Y241">
        <v>-3</v>
      </c>
      <c r="Z241">
        <v>8</v>
      </c>
      <c r="AA241">
        <v>21</v>
      </c>
      <c r="AB241">
        <v>4</v>
      </c>
      <c r="AC241">
        <v>14</v>
      </c>
      <c r="AD241">
        <v>0</v>
      </c>
      <c r="AE241">
        <v>8</v>
      </c>
      <c r="AF241">
        <v>5</v>
      </c>
      <c r="AG241">
        <v>-8</v>
      </c>
      <c r="AH241">
        <v>-11</v>
      </c>
      <c r="AI241">
        <v>5</v>
      </c>
      <c r="AJ241">
        <v>15</v>
      </c>
      <c r="AK241">
        <v>10</v>
      </c>
      <c r="AL241">
        <v>4</v>
      </c>
      <c r="AM241">
        <v>16</v>
      </c>
      <c r="AN241">
        <v>21</v>
      </c>
      <c r="AO241">
        <v>11</v>
      </c>
      <c r="AP241">
        <v>7</v>
      </c>
      <c r="AQ241">
        <v>17</v>
      </c>
      <c r="AR241">
        <v>7</v>
      </c>
      <c r="AS241">
        <v>11</v>
      </c>
      <c r="AT241">
        <v>4</v>
      </c>
      <c r="AU241">
        <v>13</v>
      </c>
      <c r="AV241">
        <v>15</v>
      </c>
      <c r="AW241">
        <v>22</v>
      </c>
      <c r="AX241">
        <v>19</v>
      </c>
      <c r="AY241">
        <v>7</v>
      </c>
      <c r="AZ241">
        <v>4</v>
      </c>
      <c r="BA241">
        <v>2</v>
      </c>
      <c r="BB241">
        <v>-6</v>
      </c>
      <c r="BC241">
        <v>-52</v>
      </c>
      <c r="BD241">
        <v>-23</v>
      </c>
      <c r="BE241">
        <v>-9</v>
      </c>
      <c r="BF241">
        <v>-8</v>
      </c>
      <c r="BG241">
        <v>17</v>
      </c>
      <c r="BH241">
        <v>15</v>
      </c>
      <c r="BI241">
        <v>-4</v>
      </c>
      <c r="BJ241">
        <v>-23</v>
      </c>
      <c r="BK241">
        <v>-16</v>
      </c>
      <c r="BL241">
        <v>-1</v>
      </c>
      <c r="BM241">
        <v>-13</v>
      </c>
      <c r="BN241">
        <v>-5</v>
      </c>
      <c r="BO241">
        <v>-6</v>
      </c>
      <c r="BP241">
        <v>0</v>
      </c>
      <c r="BQ241">
        <v>-1</v>
      </c>
      <c r="BR241">
        <v>10</v>
      </c>
      <c r="BS241">
        <v>0</v>
      </c>
      <c r="BT241">
        <v>-17</v>
      </c>
      <c r="BU241">
        <v>-15</v>
      </c>
      <c r="BV241">
        <v>-18</v>
      </c>
    </row>
    <row r="242" spans="1:74" x14ac:dyDescent="0.25">
      <c r="A242" t="s">
        <v>576</v>
      </c>
      <c r="B242" t="s">
        <v>147</v>
      </c>
      <c r="C242" t="s">
        <v>102</v>
      </c>
      <c r="D242">
        <v>3.0430000000000001</v>
      </c>
      <c r="E242">
        <v>-11</v>
      </c>
      <c r="F242">
        <v>0</v>
      </c>
      <c r="G242">
        <v>-11</v>
      </c>
      <c r="H242">
        <v>4</v>
      </c>
      <c r="I242">
        <v>4</v>
      </c>
      <c r="J242">
        <v>-10</v>
      </c>
      <c r="K242">
        <v>-5</v>
      </c>
      <c r="L242">
        <v>16</v>
      </c>
      <c r="M242">
        <v>6</v>
      </c>
      <c r="N242">
        <v>9</v>
      </c>
      <c r="O242">
        <v>26</v>
      </c>
      <c r="P242">
        <v>21</v>
      </c>
      <c r="Q242">
        <v>9</v>
      </c>
      <c r="R242">
        <v>12</v>
      </c>
      <c r="S242">
        <v>22</v>
      </c>
      <c r="T242">
        <v>-8</v>
      </c>
      <c r="U242">
        <v>7</v>
      </c>
      <c r="V242">
        <v>-12</v>
      </c>
      <c r="W242">
        <v>-10</v>
      </c>
      <c r="X242">
        <v>-9</v>
      </c>
      <c r="Y242">
        <v>2</v>
      </c>
      <c r="Z242">
        <v>8</v>
      </c>
      <c r="AA242">
        <v>5</v>
      </c>
      <c r="AB242">
        <v>13</v>
      </c>
      <c r="AC242">
        <v>4</v>
      </c>
      <c r="AD242">
        <v>2</v>
      </c>
      <c r="AE242">
        <v>19</v>
      </c>
      <c r="AF242">
        <v>14</v>
      </c>
      <c r="AG242">
        <v>5</v>
      </c>
      <c r="AH242">
        <v>-10</v>
      </c>
      <c r="AI242">
        <v>7</v>
      </c>
      <c r="AJ242">
        <v>2</v>
      </c>
      <c r="AK242">
        <v>8</v>
      </c>
      <c r="AL242">
        <v>7</v>
      </c>
      <c r="AM242">
        <v>13</v>
      </c>
      <c r="AN242">
        <v>17</v>
      </c>
      <c r="AO242">
        <v>19</v>
      </c>
      <c r="AP242">
        <v>4</v>
      </c>
      <c r="AQ242">
        <v>11</v>
      </c>
      <c r="AR242">
        <v>26</v>
      </c>
      <c r="AS242">
        <v>30</v>
      </c>
      <c r="AT242">
        <v>30</v>
      </c>
      <c r="AU242">
        <v>8</v>
      </c>
      <c r="AV242">
        <v>10</v>
      </c>
      <c r="AW242">
        <v>9</v>
      </c>
      <c r="AX242">
        <v>9</v>
      </c>
      <c r="AY242">
        <v>16</v>
      </c>
      <c r="AZ242">
        <v>16</v>
      </c>
      <c r="BA242">
        <v>14</v>
      </c>
      <c r="BB242">
        <v>30</v>
      </c>
      <c r="BC242">
        <v>-36</v>
      </c>
      <c r="BD242">
        <v>-31</v>
      </c>
      <c r="BE242">
        <v>-4</v>
      </c>
      <c r="BF242">
        <v>1</v>
      </c>
      <c r="BG242">
        <v>14</v>
      </c>
      <c r="BH242">
        <v>0</v>
      </c>
      <c r="BI242">
        <v>3</v>
      </c>
      <c r="BJ242">
        <v>-12</v>
      </c>
      <c r="BK242">
        <v>3</v>
      </c>
      <c r="BL242">
        <v>-8</v>
      </c>
      <c r="BM242">
        <v>6</v>
      </c>
      <c r="BN242">
        <v>-10</v>
      </c>
      <c r="BO242">
        <v>-13</v>
      </c>
      <c r="BP242">
        <v>-12</v>
      </c>
      <c r="BQ242">
        <v>-12</v>
      </c>
      <c r="BR242">
        <v>2</v>
      </c>
      <c r="BS242">
        <v>-17</v>
      </c>
      <c r="BT242">
        <v>-26</v>
      </c>
      <c r="BU242">
        <v>-28</v>
      </c>
      <c r="BV242">
        <v>-15</v>
      </c>
    </row>
    <row r="243" spans="1:74" x14ac:dyDescent="0.25">
      <c r="A243" t="s">
        <v>577</v>
      </c>
      <c r="B243" t="s">
        <v>148</v>
      </c>
      <c r="C243" t="s">
        <v>102</v>
      </c>
      <c r="D243">
        <v>10.8</v>
      </c>
      <c r="E243">
        <v>-13</v>
      </c>
      <c r="F243">
        <v>-1</v>
      </c>
      <c r="G243">
        <v>-1</v>
      </c>
      <c r="H243">
        <v>-2</v>
      </c>
      <c r="I243">
        <v>4</v>
      </c>
      <c r="J243">
        <v>7</v>
      </c>
      <c r="K243">
        <v>0</v>
      </c>
      <c r="L243">
        <v>13</v>
      </c>
      <c r="M243">
        <v>13</v>
      </c>
      <c r="N243">
        <v>13</v>
      </c>
      <c r="O243">
        <v>18</v>
      </c>
      <c r="P243">
        <v>25</v>
      </c>
      <c r="Q243">
        <v>24</v>
      </c>
      <c r="R243">
        <v>19</v>
      </c>
      <c r="S243">
        <v>12</v>
      </c>
      <c r="T243">
        <v>12</v>
      </c>
      <c r="U243">
        <v>-8</v>
      </c>
      <c r="V243">
        <v>-20</v>
      </c>
      <c r="W243">
        <v>-5</v>
      </c>
      <c r="X243">
        <v>5</v>
      </c>
      <c r="Y243">
        <v>10</v>
      </c>
      <c r="Z243">
        <v>16</v>
      </c>
      <c r="AA243">
        <v>22</v>
      </c>
      <c r="AB243">
        <v>20</v>
      </c>
      <c r="AC243">
        <v>18</v>
      </c>
      <c r="AD243">
        <v>14</v>
      </c>
      <c r="AE243">
        <v>19</v>
      </c>
      <c r="AF243">
        <v>7</v>
      </c>
      <c r="AG243">
        <v>10</v>
      </c>
      <c r="AH243">
        <v>10</v>
      </c>
      <c r="AI243">
        <v>14</v>
      </c>
      <c r="AJ243">
        <v>18</v>
      </c>
      <c r="AK243">
        <v>14</v>
      </c>
      <c r="AL243">
        <v>14</v>
      </c>
      <c r="AM243">
        <v>18</v>
      </c>
      <c r="AN243">
        <v>20</v>
      </c>
      <c r="AO243">
        <v>19</v>
      </c>
      <c r="AP243">
        <v>16</v>
      </c>
      <c r="AQ243">
        <v>22</v>
      </c>
      <c r="AR243">
        <v>21</v>
      </c>
      <c r="AS243">
        <v>22</v>
      </c>
      <c r="AT243">
        <v>24</v>
      </c>
      <c r="AU243">
        <v>24</v>
      </c>
      <c r="AV243">
        <v>28</v>
      </c>
      <c r="AW243">
        <v>26</v>
      </c>
      <c r="AX243">
        <v>27</v>
      </c>
      <c r="AY243">
        <v>27</v>
      </c>
      <c r="AZ243">
        <v>23</v>
      </c>
      <c r="BA243">
        <v>20</v>
      </c>
      <c r="BB243">
        <v>21</v>
      </c>
      <c r="BC243">
        <v>-21</v>
      </c>
      <c r="BD243">
        <v>-4</v>
      </c>
      <c r="BE243">
        <v>3</v>
      </c>
      <c r="BF243">
        <v>8</v>
      </c>
      <c r="BG243">
        <v>21</v>
      </c>
      <c r="BH243">
        <v>20</v>
      </c>
      <c r="BI243">
        <v>17</v>
      </c>
      <c r="BJ243">
        <v>-2</v>
      </c>
      <c r="BK243">
        <v>11</v>
      </c>
      <c r="BL243">
        <v>15</v>
      </c>
      <c r="BM243">
        <v>3</v>
      </c>
      <c r="BN243">
        <v>8</v>
      </c>
      <c r="BO243">
        <v>9</v>
      </c>
      <c r="BP243">
        <v>-1</v>
      </c>
      <c r="BQ243">
        <v>-2</v>
      </c>
      <c r="BR243">
        <v>5</v>
      </c>
      <c r="BS243">
        <v>-4</v>
      </c>
      <c r="BT243">
        <v>-7</v>
      </c>
      <c r="BU243">
        <v>-3</v>
      </c>
      <c r="BV243">
        <v>1</v>
      </c>
    </row>
    <row r="244" spans="1:74" x14ac:dyDescent="0.25">
      <c r="A244" t="s">
        <v>578</v>
      </c>
      <c r="B244" t="s">
        <v>149</v>
      </c>
      <c r="C244" t="s">
        <v>102</v>
      </c>
      <c r="D244">
        <v>11.629</v>
      </c>
      <c r="E244">
        <v>18</v>
      </c>
      <c r="F244">
        <v>-7</v>
      </c>
      <c r="G244">
        <v>0</v>
      </c>
      <c r="H244">
        <v>-3</v>
      </c>
      <c r="I244">
        <v>11</v>
      </c>
      <c r="J244">
        <v>9</v>
      </c>
      <c r="K244">
        <v>9</v>
      </c>
      <c r="L244">
        <v>-10</v>
      </c>
      <c r="M244">
        <v>10</v>
      </c>
      <c r="N244">
        <v>9</v>
      </c>
      <c r="O244">
        <v>18</v>
      </c>
      <c r="P244">
        <v>25</v>
      </c>
      <c r="Q244">
        <v>27</v>
      </c>
      <c r="R244">
        <v>20</v>
      </c>
      <c r="S244">
        <v>11</v>
      </c>
      <c r="T244">
        <v>14</v>
      </c>
      <c r="U244">
        <v>2</v>
      </c>
      <c r="V244">
        <v>1</v>
      </c>
      <c r="W244">
        <v>-9</v>
      </c>
      <c r="X244">
        <v>12</v>
      </c>
      <c r="Y244">
        <v>11</v>
      </c>
      <c r="Z244">
        <v>15</v>
      </c>
      <c r="AA244">
        <v>21</v>
      </c>
      <c r="AB244">
        <v>30</v>
      </c>
      <c r="AC244">
        <v>21</v>
      </c>
      <c r="AD244">
        <v>24</v>
      </c>
      <c r="AE244">
        <v>27</v>
      </c>
      <c r="AF244">
        <v>13</v>
      </c>
      <c r="AG244">
        <v>13</v>
      </c>
      <c r="AH244">
        <v>12</v>
      </c>
      <c r="AI244">
        <v>7</v>
      </c>
      <c r="AJ244">
        <v>16</v>
      </c>
      <c r="AK244">
        <v>22</v>
      </c>
      <c r="AL244">
        <v>37</v>
      </c>
      <c r="AM244">
        <v>21</v>
      </c>
      <c r="AN244">
        <v>7</v>
      </c>
      <c r="AO244">
        <v>13</v>
      </c>
      <c r="AP244">
        <v>16</v>
      </c>
      <c r="AQ244">
        <v>15</v>
      </c>
      <c r="AR244">
        <v>30</v>
      </c>
      <c r="AS244">
        <v>22</v>
      </c>
      <c r="AT244">
        <v>10</v>
      </c>
      <c r="AU244">
        <v>26</v>
      </c>
      <c r="AV244">
        <v>31</v>
      </c>
      <c r="AW244">
        <v>24</v>
      </c>
      <c r="AX244">
        <v>39</v>
      </c>
      <c r="AY244">
        <v>25</v>
      </c>
      <c r="AZ244">
        <v>12</v>
      </c>
      <c r="BA244">
        <v>3</v>
      </c>
      <c r="BB244">
        <v>16</v>
      </c>
      <c r="BC244">
        <v>-37</v>
      </c>
      <c r="BD244">
        <v>-10</v>
      </c>
      <c r="BE244">
        <v>-2</v>
      </c>
      <c r="BF244">
        <v>13</v>
      </c>
      <c r="BG244">
        <v>16</v>
      </c>
      <c r="BH244">
        <v>20</v>
      </c>
      <c r="BI244">
        <v>24</v>
      </c>
      <c r="BJ244">
        <v>6</v>
      </c>
      <c r="BK244">
        <v>18</v>
      </c>
      <c r="BL244">
        <v>24</v>
      </c>
      <c r="BM244">
        <v>-5</v>
      </c>
      <c r="BN244">
        <v>-10</v>
      </c>
      <c r="BO244">
        <v>-5</v>
      </c>
      <c r="BP244">
        <v>-1</v>
      </c>
      <c r="BQ244">
        <v>11</v>
      </c>
      <c r="BR244">
        <v>7</v>
      </c>
      <c r="BS244">
        <v>2</v>
      </c>
      <c r="BT244">
        <v>-4</v>
      </c>
      <c r="BU244">
        <v>1</v>
      </c>
      <c r="BV244">
        <v>0</v>
      </c>
    </row>
    <row r="245" spans="1:74" x14ac:dyDescent="0.25">
      <c r="A245" t="s">
        <v>579</v>
      </c>
      <c r="B245" t="s">
        <v>150</v>
      </c>
      <c r="C245" t="s">
        <v>102</v>
      </c>
      <c r="D245">
        <v>9.1709999999999994</v>
      </c>
      <c r="E245">
        <v>-10</v>
      </c>
      <c r="F245">
        <v>0</v>
      </c>
      <c r="G245">
        <v>4</v>
      </c>
      <c r="H245">
        <v>-1</v>
      </c>
      <c r="I245">
        <v>1</v>
      </c>
      <c r="J245">
        <v>2</v>
      </c>
      <c r="K245">
        <v>0</v>
      </c>
      <c r="L245">
        <v>7</v>
      </c>
      <c r="M245">
        <v>11</v>
      </c>
      <c r="N245">
        <v>9</v>
      </c>
      <c r="O245">
        <v>7</v>
      </c>
      <c r="P245">
        <v>14</v>
      </c>
      <c r="Q245">
        <v>8</v>
      </c>
      <c r="R245">
        <v>9</v>
      </c>
      <c r="S245">
        <v>6</v>
      </c>
      <c r="T245">
        <v>0</v>
      </c>
      <c r="U245">
        <v>-7</v>
      </c>
      <c r="V245">
        <v>-8</v>
      </c>
      <c r="W245">
        <v>2</v>
      </c>
      <c r="X245">
        <v>6</v>
      </c>
      <c r="Y245">
        <v>8</v>
      </c>
      <c r="Z245">
        <v>10</v>
      </c>
      <c r="AA245">
        <v>12</v>
      </c>
      <c r="AB245">
        <v>18</v>
      </c>
      <c r="AC245">
        <v>10</v>
      </c>
      <c r="AD245">
        <v>8</v>
      </c>
      <c r="AE245">
        <v>11</v>
      </c>
      <c r="AF245">
        <v>6</v>
      </c>
      <c r="AG245">
        <v>7</v>
      </c>
      <c r="AH245">
        <v>14</v>
      </c>
      <c r="AI245">
        <v>9</v>
      </c>
      <c r="AJ245">
        <v>8</v>
      </c>
      <c r="AK245">
        <v>9</v>
      </c>
      <c r="AL245">
        <v>7</v>
      </c>
      <c r="AM245">
        <v>8</v>
      </c>
      <c r="AN245">
        <v>10</v>
      </c>
      <c r="AO245">
        <v>2</v>
      </c>
      <c r="AP245">
        <v>6</v>
      </c>
      <c r="AQ245">
        <v>8</v>
      </c>
      <c r="AR245">
        <v>3</v>
      </c>
      <c r="AS245">
        <v>4</v>
      </c>
      <c r="AT245">
        <v>7</v>
      </c>
      <c r="AU245">
        <v>11</v>
      </c>
      <c r="AV245">
        <v>15</v>
      </c>
      <c r="AW245">
        <v>20</v>
      </c>
      <c r="AX245">
        <v>16</v>
      </c>
      <c r="AY245">
        <v>20</v>
      </c>
      <c r="AZ245">
        <v>17</v>
      </c>
      <c r="BA245">
        <v>5</v>
      </c>
      <c r="BB245">
        <v>15</v>
      </c>
      <c r="BC245">
        <v>-17</v>
      </c>
      <c r="BD245">
        <v>-1</v>
      </c>
      <c r="BE245">
        <v>4</v>
      </c>
      <c r="BF245">
        <v>8</v>
      </c>
      <c r="BG245">
        <v>14</v>
      </c>
      <c r="BH245">
        <v>17</v>
      </c>
      <c r="BI245">
        <v>17</v>
      </c>
      <c r="BJ245">
        <v>0</v>
      </c>
      <c r="BK245">
        <v>15</v>
      </c>
      <c r="BL245">
        <v>18</v>
      </c>
      <c r="BM245">
        <v>17</v>
      </c>
      <c r="BN245">
        <v>22</v>
      </c>
      <c r="BO245">
        <v>24</v>
      </c>
      <c r="BP245">
        <v>21</v>
      </c>
      <c r="BQ245">
        <v>23</v>
      </c>
      <c r="BR245">
        <v>26</v>
      </c>
      <c r="BS245">
        <v>20</v>
      </c>
      <c r="BT245">
        <v>18</v>
      </c>
      <c r="BU245">
        <v>16</v>
      </c>
      <c r="BV245">
        <v>16</v>
      </c>
    </row>
    <row r="246" spans="1:74" x14ac:dyDescent="0.25">
      <c r="A246" t="s">
        <v>580</v>
      </c>
      <c r="B246" t="s">
        <v>151</v>
      </c>
      <c r="C246" t="s">
        <v>102</v>
      </c>
      <c r="D246">
        <v>11.029</v>
      </c>
      <c r="E246">
        <v>-10</v>
      </c>
      <c r="F246">
        <v>0</v>
      </c>
      <c r="G246">
        <v>3</v>
      </c>
      <c r="H246">
        <v>-1</v>
      </c>
      <c r="I246">
        <v>-1</v>
      </c>
      <c r="J246">
        <v>6</v>
      </c>
      <c r="K246">
        <v>2</v>
      </c>
      <c r="L246">
        <v>7</v>
      </c>
      <c r="M246">
        <v>10</v>
      </c>
      <c r="N246">
        <v>12</v>
      </c>
      <c r="O246">
        <v>8</v>
      </c>
      <c r="P246">
        <v>13</v>
      </c>
      <c r="Q246">
        <v>7</v>
      </c>
      <c r="R246">
        <v>8</v>
      </c>
      <c r="S246">
        <v>6</v>
      </c>
      <c r="T246">
        <v>1</v>
      </c>
      <c r="U246">
        <v>-6</v>
      </c>
      <c r="V246">
        <v>-3</v>
      </c>
      <c r="W246">
        <v>9</v>
      </c>
      <c r="X246">
        <v>12</v>
      </c>
      <c r="Y246">
        <v>13</v>
      </c>
      <c r="Z246">
        <v>13</v>
      </c>
      <c r="AA246">
        <v>14</v>
      </c>
      <c r="AB246">
        <v>19</v>
      </c>
      <c r="AC246">
        <v>13</v>
      </c>
      <c r="AD246">
        <v>9</v>
      </c>
      <c r="AE246">
        <v>15</v>
      </c>
      <c r="AF246">
        <v>9</v>
      </c>
      <c r="AG246">
        <v>10</v>
      </c>
      <c r="AH246">
        <v>17</v>
      </c>
      <c r="AI246">
        <v>11</v>
      </c>
      <c r="AJ246">
        <v>9</v>
      </c>
      <c r="AK246">
        <v>11</v>
      </c>
      <c r="AL246">
        <v>7</v>
      </c>
      <c r="AM246">
        <v>6</v>
      </c>
      <c r="AN246">
        <v>10</v>
      </c>
      <c r="AO246">
        <v>0</v>
      </c>
      <c r="AP246">
        <v>5</v>
      </c>
      <c r="AQ246">
        <v>7</v>
      </c>
      <c r="AR246">
        <v>-2</v>
      </c>
      <c r="AS246">
        <v>-1</v>
      </c>
      <c r="AT246">
        <v>2</v>
      </c>
      <c r="AU246">
        <v>10</v>
      </c>
      <c r="AV246">
        <v>12</v>
      </c>
      <c r="AW246">
        <v>18</v>
      </c>
      <c r="AX246">
        <v>12</v>
      </c>
      <c r="AY246">
        <v>18</v>
      </c>
      <c r="AZ246">
        <v>16</v>
      </c>
      <c r="BA246">
        <v>-2</v>
      </c>
      <c r="BB246">
        <v>13</v>
      </c>
      <c r="BC246">
        <v>-13</v>
      </c>
      <c r="BD246">
        <v>-1</v>
      </c>
      <c r="BE246">
        <v>9</v>
      </c>
      <c r="BF246">
        <v>10</v>
      </c>
      <c r="BG246">
        <v>14</v>
      </c>
      <c r="BH246">
        <v>17</v>
      </c>
      <c r="BI246">
        <v>18</v>
      </c>
      <c r="BJ246">
        <v>1</v>
      </c>
      <c r="BK246">
        <v>20</v>
      </c>
      <c r="BL246">
        <v>23</v>
      </c>
      <c r="BM246">
        <v>26</v>
      </c>
      <c r="BN246">
        <v>32</v>
      </c>
      <c r="BO246">
        <v>31</v>
      </c>
      <c r="BP246">
        <v>26</v>
      </c>
      <c r="BQ246">
        <v>32</v>
      </c>
      <c r="BR246">
        <v>35</v>
      </c>
      <c r="BS246">
        <v>32</v>
      </c>
      <c r="BT246">
        <v>30</v>
      </c>
      <c r="BU246">
        <v>28</v>
      </c>
      <c r="BV246">
        <v>25</v>
      </c>
    </row>
    <row r="247" spans="1:74" x14ac:dyDescent="0.25">
      <c r="A247" t="s">
        <v>581</v>
      </c>
      <c r="B247" t="s">
        <v>152</v>
      </c>
      <c r="C247" t="s">
        <v>102</v>
      </c>
      <c r="D247">
        <v>16.013999999999999</v>
      </c>
      <c r="E247">
        <v>-9</v>
      </c>
      <c r="F247">
        <v>5</v>
      </c>
      <c r="G247">
        <v>8</v>
      </c>
      <c r="H247">
        <v>6</v>
      </c>
      <c r="I247">
        <v>5</v>
      </c>
      <c r="J247">
        <v>-3</v>
      </c>
      <c r="K247">
        <v>-4</v>
      </c>
      <c r="L247">
        <v>5</v>
      </c>
      <c r="M247">
        <v>16</v>
      </c>
      <c r="N247">
        <v>2</v>
      </c>
      <c r="O247">
        <v>22</v>
      </c>
      <c r="P247">
        <v>26</v>
      </c>
      <c r="Q247">
        <v>26</v>
      </c>
      <c r="R247">
        <v>28</v>
      </c>
      <c r="S247">
        <v>18</v>
      </c>
      <c r="T247">
        <v>10</v>
      </c>
      <c r="U247">
        <v>2</v>
      </c>
      <c r="V247">
        <v>-6</v>
      </c>
      <c r="W247">
        <v>-2</v>
      </c>
      <c r="X247">
        <v>9</v>
      </c>
      <c r="Y247">
        <v>7</v>
      </c>
      <c r="Z247">
        <v>8</v>
      </c>
      <c r="AA247">
        <v>5</v>
      </c>
      <c r="AB247">
        <v>18</v>
      </c>
      <c r="AC247">
        <v>9</v>
      </c>
      <c r="AD247">
        <v>9</v>
      </c>
      <c r="AE247">
        <v>4</v>
      </c>
      <c r="AF247">
        <v>8</v>
      </c>
      <c r="AG247">
        <v>14</v>
      </c>
      <c r="AH247">
        <v>13</v>
      </c>
      <c r="AI247">
        <v>8</v>
      </c>
      <c r="AJ247">
        <v>18</v>
      </c>
      <c r="AK247">
        <v>7</v>
      </c>
      <c r="AL247">
        <v>19</v>
      </c>
      <c r="AM247">
        <v>19</v>
      </c>
      <c r="AN247">
        <v>18</v>
      </c>
      <c r="AO247">
        <v>18</v>
      </c>
      <c r="AP247">
        <v>19</v>
      </c>
      <c r="AQ247">
        <v>12</v>
      </c>
      <c r="AR247">
        <v>19</v>
      </c>
      <c r="AS247">
        <v>19</v>
      </c>
      <c r="AT247">
        <v>16</v>
      </c>
      <c r="AU247">
        <v>22</v>
      </c>
      <c r="AV247">
        <v>23</v>
      </c>
      <c r="AW247">
        <v>21</v>
      </c>
      <c r="AX247">
        <v>25</v>
      </c>
      <c r="AY247">
        <v>30</v>
      </c>
      <c r="AZ247">
        <v>21</v>
      </c>
      <c r="BA247">
        <v>18</v>
      </c>
      <c r="BB247">
        <v>24</v>
      </c>
      <c r="BC247">
        <v>-5</v>
      </c>
      <c r="BD247">
        <v>6</v>
      </c>
      <c r="BE247">
        <v>8</v>
      </c>
      <c r="BF247">
        <v>16</v>
      </c>
      <c r="BG247">
        <v>22</v>
      </c>
      <c r="BH247">
        <v>24</v>
      </c>
      <c r="BI247">
        <v>16</v>
      </c>
      <c r="BJ247">
        <v>16</v>
      </c>
      <c r="BK247">
        <v>20</v>
      </c>
      <c r="BL247">
        <v>38</v>
      </c>
      <c r="BM247">
        <v>27</v>
      </c>
      <c r="BN247">
        <v>30</v>
      </c>
      <c r="BO247">
        <v>39</v>
      </c>
      <c r="BP247">
        <v>30</v>
      </c>
      <c r="BQ247">
        <v>36</v>
      </c>
      <c r="BR247">
        <v>34</v>
      </c>
      <c r="BS247">
        <v>39</v>
      </c>
      <c r="BT247">
        <v>43</v>
      </c>
      <c r="BU247">
        <v>18</v>
      </c>
      <c r="BV247">
        <v>29</v>
      </c>
    </row>
    <row r="248" spans="1:74" x14ac:dyDescent="0.25">
      <c r="A248" t="s">
        <v>582</v>
      </c>
      <c r="B248" t="s">
        <v>153</v>
      </c>
      <c r="C248" t="s">
        <v>102</v>
      </c>
      <c r="D248">
        <v>7.9710000000000001</v>
      </c>
      <c r="E248">
        <v>-20</v>
      </c>
      <c r="F248">
        <v>-14</v>
      </c>
      <c r="G248">
        <v>-10</v>
      </c>
      <c r="H248">
        <v>-20</v>
      </c>
      <c r="I248">
        <v>-15</v>
      </c>
      <c r="J248">
        <v>-11</v>
      </c>
      <c r="K248">
        <v>-8</v>
      </c>
      <c r="L248">
        <v>-5</v>
      </c>
      <c r="M248">
        <v>8</v>
      </c>
      <c r="N248">
        <v>2</v>
      </c>
      <c r="O248">
        <v>8</v>
      </c>
      <c r="P248">
        <v>16</v>
      </c>
      <c r="Q248">
        <v>7</v>
      </c>
      <c r="R248">
        <v>8</v>
      </c>
      <c r="S248">
        <v>10</v>
      </c>
      <c r="T248">
        <v>-5</v>
      </c>
      <c r="U248">
        <v>-11</v>
      </c>
      <c r="V248">
        <v>-6</v>
      </c>
      <c r="W248">
        <v>3</v>
      </c>
      <c r="X248">
        <v>1</v>
      </c>
      <c r="Y248">
        <v>14</v>
      </c>
      <c r="Z248">
        <v>6</v>
      </c>
      <c r="AA248">
        <v>13</v>
      </c>
      <c r="AB248">
        <v>11</v>
      </c>
      <c r="AC248">
        <v>11</v>
      </c>
      <c r="AD248">
        <v>6</v>
      </c>
      <c r="AE248">
        <v>11</v>
      </c>
      <c r="AF248">
        <v>11</v>
      </c>
      <c r="AG248">
        <v>10</v>
      </c>
      <c r="AH248">
        <v>14</v>
      </c>
      <c r="AI248">
        <v>16</v>
      </c>
      <c r="AJ248">
        <v>17</v>
      </c>
      <c r="AK248">
        <v>18</v>
      </c>
      <c r="AL248">
        <v>15</v>
      </c>
      <c r="AM248">
        <v>20</v>
      </c>
      <c r="AN248">
        <v>27</v>
      </c>
      <c r="AO248">
        <v>20</v>
      </c>
      <c r="AP248">
        <v>22</v>
      </c>
      <c r="AQ248">
        <v>28</v>
      </c>
      <c r="AR248">
        <v>25</v>
      </c>
      <c r="AS248">
        <v>27</v>
      </c>
      <c r="AT248">
        <v>28</v>
      </c>
      <c r="AU248">
        <v>25</v>
      </c>
      <c r="AV248">
        <v>29</v>
      </c>
      <c r="AW248">
        <v>31</v>
      </c>
      <c r="AX248">
        <v>26</v>
      </c>
      <c r="AY248">
        <v>25</v>
      </c>
      <c r="AZ248">
        <v>26</v>
      </c>
      <c r="BA248">
        <v>16</v>
      </c>
      <c r="BB248">
        <v>19</v>
      </c>
      <c r="BC248">
        <v>-17</v>
      </c>
      <c r="BD248">
        <v>7</v>
      </c>
      <c r="BE248">
        <v>5</v>
      </c>
      <c r="BF248">
        <v>13</v>
      </c>
      <c r="BG248">
        <v>16</v>
      </c>
      <c r="BH248">
        <v>22</v>
      </c>
      <c r="BI248">
        <v>13</v>
      </c>
      <c r="BJ248">
        <v>-9</v>
      </c>
      <c r="BK248">
        <v>-4</v>
      </c>
      <c r="BL248">
        <v>3</v>
      </c>
      <c r="BM248">
        <v>-6</v>
      </c>
      <c r="BN248">
        <v>-4</v>
      </c>
      <c r="BO248">
        <v>0</v>
      </c>
      <c r="BP248">
        <v>1</v>
      </c>
      <c r="BQ248">
        <v>2</v>
      </c>
      <c r="BR248">
        <v>2</v>
      </c>
      <c r="BS248">
        <v>3</v>
      </c>
      <c r="BT248">
        <v>2</v>
      </c>
      <c r="BU248">
        <v>3</v>
      </c>
      <c r="BV248">
        <v>1</v>
      </c>
    </row>
    <row r="249" spans="1:74" x14ac:dyDescent="0.25">
      <c r="A249" t="s">
        <v>583</v>
      </c>
      <c r="B249" t="s">
        <v>154</v>
      </c>
      <c r="C249" t="s">
        <v>102</v>
      </c>
      <c r="D249">
        <v>12.414</v>
      </c>
      <c r="E249">
        <v>6</v>
      </c>
      <c r="F249">
        <v>10</v>
      </c>
      <c r="G249">
        <v>7</v>
      </c>
      <c r="H249">
        <v>1</v>
      </c>
      <c r="I249">
        <v>-1</v>
      </c>
      <c r="J249">
        <v>-9</v>
      </c>
      <c r="K249">
        <v>6</v>
      </c>
      <c r="L249">
        <v>-1</v>
      </c>
      <c r="M249">
        <v>14</v>
      </c>
      <c r="N249">
        <v>17</v>
      </c>
      <c r="O249">
        <v>24</v>
      </c>
      <c r="P249">
        <v>24</v>
      </c>
      <c r="Q249">
        <v>30</v>
      </c>
      <c r="R249">
        <v>25</v>
      </c>
      <c r="S249">
        <v>11</v>
      </c>
      <c r="T249">
        <v>2</v>
      </c>
      <c r="U249">
        <v>-5</v>
      </c>
      <c r="V249">
        <v>-10</v>
      </c>
      <c r="W249">
        <v>-25</v>
      </c>
      <c r="X249">
        <v>6</v>
      </c>
      <c r="Y249">
        <v>19</v>
      </c>
      <c r="Z249">
        <v>24</v>
      </c>
      <c r="AA249">
        <v>26</v>
      </c>
      <c r="AB249">
        <v>25</v>
      </c>
      <c r="AC249">
        <v>11</v>
      </c>
      <c r="AD249">
        <v>19</v>
      </c>
      <c r="AE249">
        <v>18</v>
      </c>
      <c r="AF249">
        <v>-1</v>
      </c>
      <c r="AG249">
        <v>22</v>
      </c>
      <c r="AH249">
        <v>16</v>
      </c>
      <c r="AI249">
        <v>23</v>
      </c>
      <c r="AJ249">
        <v>11</v>
      </c>
      <c r="AK249">
        <v>21</v>
      </c>
      <c r="AL249">
        <v>1</v>
      </c>
      <c r="AM249">
        <v>24</v>
      </c>
      <c r="AN249">
        <v>3</v>
      </c>
      <c r="AO249">
        <v>9</v>
      </c>
      <c r="AP249">
        <v>15</v>
      </c>
      <c r="AQ249">
        <v>29</v>
      </c>
      <c r="AR249">
        <v>25</v>
      </c>
      <c r="AS249">
        <v>20</v>
      </c>
      <c r="AT249">
        <v>22</v>
      </c>
      <c r="AU249">
        <v>21</v>
      </c>
      <c r="AV249">
        <v>37</v>
      </c>
      <c r="AW249">
        <v>31</v>
      </c>
      <c r="AX249">
        <v>31</v>
      </c>
      <c r="AY249">
        <v>29</v>
      </c>
      <c r="AZ249">
        <v>34</v>
      </c>
      <c r="BA249">
        <v>27</v>
      </c>
      <c r="BB249">
        <v>22</v>
      </c>
      <c r="BC249">
        <v>-3</v>
      </c>
      <c r="BD249">
        <v>6</v>
      </c>
      <c r="BE249">
        <v>16</v>
      </c>
      <c r="BF249">
        <v>19</v>
      </c>
      <c r="BG249">
        <v>17</v>
      </c>
      <c r="BH249">
        <v>28</v>
      </c>
      <c r="BI249">
        <v>6</v>
      </c>
      <c r="BJ249">
        <v>-9</v>
      </c>
      <c r="BK249">
        <v>5</v>
      </c>
      <c r="BL249">
        <v>10</v>
      </c>
      <c r="BM249">
        <v>2</v>
      </c>
      <c r="BN249">
        <v>-7</v>
      </c>
      <c r="BO249">
        <v>7</v>
      </c>
      <c r="BP249">
        <v>-6</v>
      </c>
      <c r="BQ249">
        <v>-1</v>
      </c>
      <c r="BR249">
        <v>21</v>
      </c>
      <c r="BS249">
        <v>5</v>
      </c>
      <c r="BT249">
        <v>8</v>
      </c>
      <c r="BU249">
        <v>-7</v>
      </c>
      <c r="BV249">
        <v>6</v>
      </c>
    </row>
    <row r="250" spans="1:74" x14ac:dyDescent="0.25">
      <c r="A250" t="s">
        <v>584</v>
      </c>
      <c r="B250" t="s">
        <v>155</v>
      </c>
      <c r="C250" t="s">
        <v>102</v>
      </c>
      <c r="D250">
        <v>-0.45700000000000002</v>
      </c>
      <c r="E250">
        <v>-14</v>
      </c>
      <c r="F250">
        <v>3</v>
      </c>
      <c r="G250">
        <v>-2</v>
      </c>
      <c r="H250">
        <v>-9</v>
      </c>
      <c r="I250">
        <v>-6</v>
      </c>
      <c r="J250">
        <v>-9</v>
      </c>
      <c r="K250">
        <v>-6</v>
      </c>
      <c r="L250">
        <v>6</v>
      </c>
      <c r="M250">
        <v>20</v>
      </c>
      <c r="N250">
        <v>7</v>
      </c>
      <c r="O250">
        <v>12</v>
      </c>
      <c r="P250">
        <v>19</v>
      </c>
      <c r="Q250">
        <v>4</v>
      </c>
      <c r="R250">
        <v>3</v>
      </c>
      <c r="S250">
        <v>4</v>
      </c>
      <c r="T250">
        <v>-4</v>
      </c>
      <c r="U250">
        <v>-24</v>
      </c>
      <c r="V250">
        <v>-25</v>
      </c>
      <c r="W250">
        <v>-15</v>
      </c>
      <c r="X250">
        <v>-10</v>
      </c>
      <c r="Y250">
        <v>-2</v>
      </c>
      <c r="Z250">
        <v>9</v>
      </c>
      <c r="AA250">
        <v>15</v>
      </c>
      <c r="AB250">
        <v>7</v>
      </c>
      <c r="AC250">
        <v>4</v>
      </c>
      <c r="AD250">
        <v>6</v>
      </c>
      <c r="AE250">
        <v>4</v>
      </c>
      <c r="AF250">
        <v>2</v>
      </c>
      <c r="AG250">
        <v>10</v>
      </c>
      <c r="AH250">
        <v>-1</v>
      </c>
      <c r="AI250">
        <v>6</v>
      </c>
      <c r="AJ250">
        <v>7</v>
      </c>
      <c r="AK250">
        <v>8</v>
      </c>
      <c r="AL250">
        <v>9</v>
      </c>
      <c r="AM250">
        <v>8</v>
      </c>
      <c r="AN250">
        <v>10</v>
      </c>
      <c r="AO250">
        <v>13</v>
      </c>
      <c r="AP250">
        <v>9</v>
      </c>
      <c r="AQ250">
        <v>11</v>
      </c>
      <c r="AR250">
        <v>5</v>
      </c>
      <c r="AS250">
        <v>16</v>
      </c>
      <c r="AT250">
        <v>18</v>
      </c>
      <c r="AU250">
        <v>14</v>
      </c>
      <c r="AV250">
        <v>18</v>
      </c>
      <c r="AW250">
        <v>22</v>
      </c>
      <c r="AX250">
        <v>17</v>
      </c>
      <c r="AY250">
        <v>10</v>
      </c>
      <c r="AZ250">
        <v>8</v>
      </c>
      <c r="BA250">
        <v>5</v>
      </c>
      <c r="BB250">
        <v>4</v>
      </c>
      <c r="BC250">
        <v>-56</v>
      </c>
      <c r="BD250">
        <v>-30</v>
      </c>
      <c r="BE250">
        <v>-21</v>
      </c>
      <c r="BF250">
        <v>-18</v>
      </c>
      <c r="BG250">
        <v>2</v>
      </c>
      <c r="BH250">
        <v>-2</v>
      </c>
      <c r="BI250">
        <v>-6</v>
      </c>
      <c r="BJ250">
        <v>-12</v>
      </c>
      <c r="BK250">
        <v>-6</v>
      </c>
      <c r="BL250">
        <v>5</v>
      </c>
      <c r="BM250">
        <v>-4</v>
      </c>
      <c r="BN250">
        <v>-11</v>
      </c>
      <c r="BO250">
        <v>-2</v>
      </c>
      <c r="BP250">
        <v>-15</v>
      </c>
      <c r="BQ250">
        <v>-13</v>
      </c>
      <c r="BR250">
        <v>-13</v>
      </c>
      <c r="BS250">
        <v>-15</v>
      </c>
      <c r="BT250">
        <v>-13</v>
      </c>
      <c r="BU250">
        <v>-12</v>
      </c>
      <c r="BV250">
        <v>-16</v>
      </c>
    </row>
    <row r="251" spans="1:74" x14ac:dyDescent="0.25">
      <c r="A251" t="s">
        <v>585</v>
      </c>
      <c r="B251" t="s">
        <v>156</v>
      </c>
      <c r="C251" t="s">
        <v>102</v>
      </c>
      <c r="D251">
        <v>-3.0569999999999999</v>
      </c>
      <c r="E251">
        <v>-33</v>
      </c>
      <c r="F251">
        <v>-22</v>
      </c>
      <c r="G251">
        <v>-20</v>
      </c>
      <c r="H251">
        <v>-16</v>
      </c>
      <c r="I251">
        <v>-22</v>
      </c>
      <c r="J251">
        <v>-17</v>
      </c>
      <c r="K251">
        <v>-3</v>
      </c>
      <c r="L251">
        <v>0</v>
      </c>
      <c r="M251">
        <v>3</v>
      </c>
      <c r="N251">
        <v>13</v>
      </c>
      <c r="O251">
        <v>8</v>
      </c>
      <c r="P251">
        <v>12</v>
      </c>
      <c r="Q251">
        <v>15</v>
      </c>
      <c r="R251">
        <v>16</v>
      </c>
      <c r="S251">
        <v>0</v>
      </c>
      <c r="T251">
        <v>4</v>
      </c>
      <c r="U251">
        <v>-30</v>
      </c>
      <c r="V251">
        <v>-37</v>
      </c>
      <c r="W251">
        <v>-14</v>
      </c>
      <c r="X251">
        <v>-25</v>
      </c>
      <c r="Y251">
        <v>-2</v>
      </c>
      <c r="Z251">
        <v>0</v>
      </c>
      <c r="AA251">
        <v>2</v>
      </c>
      <c r="AB251">
        <v>11</v>
      </c>
      <c r="AC251">
        <v>2</v>
      </c>
      <c r="AD251">
        <v>2</v>
      </c>
      <c r="AE251">
        <v>-11</v>
      </c>
      <c r="AF251">
        <v>-10</v>
      </c>
      <c r="AG251">
        <v>3</v>
      </c>
      <c r="AH251">
        <v>2</v>
      </c>
      <c r="AI251">
        <v>7</v>
      </c>
      <c r="AJ251">
        <v>9</v>
      </c>
      <c r="AK251">
        <v>10</v>
      </c>
      <c r="AL251">
        <v>-5</v>
      </c>
      <c r="AM251">
        <v>-2</v>
      </c>
      <c r="AN251">
        <v>6</v>
      </c>
      <c r="AO251">
        <v>4</v>
      </c>
      <c r="AP251">
        <v>-1</v>
      </c>
      <c r="AQ251">
        <v>-5</v>
      </c>
      <c r="AR251">
        <v>12</v>
      </c>
      <c r="AS251">
        <v>11</v>
      </c>
      <c r="AT251">
        <v>7</v>
      </c>
      <c r="AU251">
        <v>4</v>
      </c>
      <c r="AV251">
        <v>9</v>
      </c>
      <c r="AW251">
        <v>18</v>
      </c>
      <c r="AX251">
        <v>14</v>
      </c>
      <c r="AY251">
        <v>6</v>
      </c>
      <c r="AZ251">
        <v>28</v>
      </c>
      <c r="BA251">
        <v>0</v>
      </c>
      <c r="BB251">
        <v>4</v>
      </c>
      <c r="BC251">
        <v>-48</v>
      </c>
      <c r="BD251">
        <v>-37</v>
      </c>
      <c r="BE251">
        <v>-24</v>
      </c>
      <c r="BF251">
        <v>0</v>
      </c>
      <c r="BG251">
        <v>10</v>
      </c>
      <c r="BH251">
        <v>6</v>
      </c>
      <c r="BI251">
        <v>9</v>
      </c>
      <c r="BJ251">
        <v>-6</v>
      </c>
      <c r="BK251">
        <v>2</v>
      </c>
      <c r="BL251">
        <v>10</v>
      </c>
      <c r="BM251">
        <v>-4</v>
      </c>
      <c r="BN251">
        <v>-19</v>
      </c>
      <c r="BO251">
        <v>-6</v>
      </c>
      <c r="BP251">
        <v>-22</v>
      </c>
      <c r="BQ251">
        <v>-18</v>
      </c>
      <c r="BR251">
        <v>-4</v>
      </c>
      <c r="BS251">
        <v>-6</v>
      </c>
      <c r="BT251">
        <v>-12</v>
      </c>
      <c r="BU251">
        <v>-14</v>
      </c>
      <c r="BV251">
        <v>2</v>
      </c>
    </row>
    <row r="252" spans="1:74" x14ac:dyDescent="0.25">
      <c r="A252" t="s">
        <v>586</v>
      </c>
      <c r="B252" t="s">
        <v>157</v>
      </c>
      <c r="C252" t="s">
        <v>102</v>
      </c>
      <c r="D252">
        <v>1.4139999999999999</v>
      </c>
      <c r="E252">
        <v>-11</v>
      </c>
      <c r="F252">
        <v>-4</v>
      </c>
      <c r="G252">
        <v>-16</v>
      </c>
      <c r="H252">
        <v>0</v>
      </c>
      <c r="I252">
        <v>5</v>
      </c>
      <c r="J252">
        <v>4</v>
      </c>
      <c r="K252">
        <v>3</v>
      </c>
      <c r="L252">
        <v>10</v>
      </c>
      <c r="M252">
        <v>23</v>
      </c>
      <c r="N252">
        <v>23</v>
      </c>
      <c r="O252">
        <v>32</v>
      </c>
      <c r="P252">
        <v>34</v>
      </c>
      <c r="Q252">
        <v>22</v>
      </c>
      <c r="R252">
        <v>11</v>
      </c>
      <c r="S252">
        <v>16</v>
      </c>
      <c r="T252">
        <v>3</v>
      </c>
      <c r="U252">
        <v>-27</v>
      </c>
      <c r="V252">
        <v>-40</v>
      </c>
      <c r="W252">
        <v>-12</v>
      </c>
      <c r="X252">
        <v>2</v>
      </c>
      <c r="Y252">
        <v>10</v>
      </c>
      <c r="Z252">
        <v>34</v>
      </c>
      <c r="AA252">
        <v>28</v>
      </c>
      <c r="AB252">
        <v>24</v>
      </c>
      <c r="AC252">
        <v>21</v>
      </c>
      <c r="AD252">
        <v>9</v>
      </c>
      <c r="AE252">
        <v>11</v>
      </c>
      <c r="AF252">
        <v>-15</v>
      </c>
      <c r="AG252">
        <v>-7</v>
      </c>
      <c r="AH252">
        <v>-7</v>
      </c>
      <c r="AI252">
        <v>6</v>
      </c>
      <c r="AJ252">
        <v>8</v>
      </c>
      <c r="AK252">
        <v>2</v>
      </c>
      <c r="AL252">
        <v>6</v>
      </c>
      <c r="AM252">
        <v>7</v>
      </c>
      <c r="AN252">
        <v>4</v>
      </c>
      <c r="AO252">
        <v>6</v>
      </c>
      <c r="AP252">
        <v>12</v>
      </c>
      <c r="AQ252">
        <v>11</v>
      </c>
      <c r="AR252">
        <v>4</v>
      </c>
      <c r="AS252">
        <v>10</v>
      </c>
      <c r="AT252">
        <v>12</v>
      </c>
      <c r="AU252">
        <v>16</v>
      </c>
      <c r="AV252">
        <v>18</v>
      </c>
      <c r="AW252">
        <v>17</v>
      </c>
      <c r="AX252">
        <v>10</v>
      </c>
      <c r="AY252">
        <v>-7</v>
      </c>
      <c r="AZ252">
        <v>2</v>
      </c>
      <c r="BA252">
        <v>-12</v>
      </c>
      <c r="BB252">
        <v>-13</v>
      </c>
      <c r="BC252">
        <v>-51</v>
      </c>
      <c r="BD252">
        <v>-25</v>
      </c>
      <c r="BE252">
        <v>-13</v>
      </c>
      <c r="BF252">
        <v>5</v>
      </c>
      <c r="BG252">
        <v>15</v>
      </c>
      <c r="BH252">
        <v>13</v>
      </c>
      <c r="BI252">
        <v>15</v>
      </c>
      <c r="BJ252">
        <v>-10</v>
      </c>
      <c r="BK252">
        <v>6</v>
      </c>
      <c r="BL252">
        <v>-2</v>
      </c>
      <c r="BM252">
        <v>-4</v>
      </c>
      <c r="BN252">
        <v>-19</v>
      </c>
      <c r="BO252">
        <v>-19</v>
      </c>
      <c r="BP252">
        <v>-8</v>
      </c>
      <c r="BQ252">
        <v>-12</v>
      </c>
      <c r="BR252">
        <v>-31</v>
      </c>
      <c r="BS252">
        <v>-12</v>
      </c>
      <c r="BT252">
        <v>-15</v>
      </c>
      <c r="BU252">
        <v>-34</v>
      </c>
      <c r="BV252">
        <v>-5</v>
      </c>
    </row>
    <row r="253" spans="1:74" x14ac:dyDescent="0.25">
      <c r="A253" t="s">
        <v>587</v>
      </c>
      <c r="B253" t="s">
        <v>158</v>
      </c>
      <c r="C253" t="s">
        <v>102</v>
      </c>
      <c r="D253">
        <v>-7.5430000000000001</v>
      </c>
      <c r="E253">
        <v>-19</v>
      </c>
      <c r="F253">
        <v>-18</v>
      </c>
      <c r="G253">
        <v>-15</v>
      </c>
      <c r="H253">
        <v>-16</v>
      </c>
      <c r="I253">
        <v>-10</v>
      </c>
      <c r="J253">
        <v>-13</v>
      </c>
      <c r="K253">
        <v>-14</v>
      </c>
      <c r="L253">
        <v>-13</v>
      </c>
      <c r="M253">
        <v>-2</v>
      </c>
      <c r="N253">
        <v>-10</v>
      </c>
      <c r="O253">
        <v>-5</v>
      </c>
      <c r="P253">
        <v>-11</v>
      </c>
      <c r="Q253">
        <v>5</v>
      </c>
      <c r="R253">
        <v>4</v>
      </c>
      <c r="S253">
        <v>-4</v>
      </c>
      <c r="T253">
        <v>-5</v>
      </c>
      <c r="U253">
        <v>-33</v>
      </c>
      <c r="V253">
        <v>-27</v>
      </c>
      <c r="W253">
        <v>-18</v>
      </c>
      <c r="X253">
        <v>-20</v>
      </c>
      <c r="Y253">
        <v>-15</v>
      </c>
      <c r="Z253">
        <v>5</v>
      </c>
      <c r="AA253">
        <v>7</v>
      </c>
      <c r="AB253">
        <v>-2</v>
      </c>
      <c r="AC253">
        <v>6</v>
      </c>
      <c r="AD253">
        <v>-2</v>
      </c>
      <c r="AE253">
        <v>0</v>
      </c>
      <c r="AF253">
        <v>-4</v>
      </c>
      <c r="AG253">
        <v>1</v>
      </c>
      <c r="AH253">
        <v>1</v>
      </c>
      <c r="AI253">
        <v>9</v>
      </c>
      <c r="AJ253">
        <v>2</v>
      </c>
      <c r="AK253">
        <v>10</v>
      </c>
      <c r="AL253">
        <v>1</v>
      </c>
      <c r="AM253">
        <v>6</v>
      </c>
      <c r="AN253">
        <v>4</v>
      </c>
      <c r="AO253">
        <v>6</v>
      </c>
      <c r="AP253">
        <v>5</v>
      </c>
      <c r="AQ253">
        <v>2</v>
      </c>
      <c r="AR253">
        <v>3</v>
      </c>
      <c r="AS253">
        <v>1</v>
      </c>
      <c r="AT253">
        <v>7</v>
      </c>
      <c r="AU253">
        <v>8</v>
      </c>
      <c r="AV253">
        <v>8</v>
      </c>
      <c r="AW253">
        <v>12</v>
      </c>
      <c r="AX253">
        <v>7</v>
      </c>
      <c r="AY253">
        <v>4</v>
      </c>
      <c r="AZ253">
        <v>-2</v>
      </c>
      <c r="BA253">
        <v>-4</v>
      </c>
      <c r="BB253">
        <v>-5</v>
      </c>
      <c r="BC253">
        <v>-83</v>
      </c>
      <c r="BD253">
        <v>-66</v>
      </c>
      <c r="BE253">
        <v>-57</v>
      </c>
      <c r="BF253">
        <v>-43</v>
      </c>
      <c r="BG253">
        <v>-29</v>
      </c>
      <c r="BH253">
        <v>-25</v>
      </c>
      <c r="BI253">
        <v>-18</v>
      </c>
      <c r="BJ253">
        <v>-25</v>
      </c>
      <c r="BK253">
        <v>-1</v>
      </c>
      <c r="BL253">
        <v>14</v>
      </c>
      <c r="BM253">
        <v>10</v>
      </c>
      <c r="BN253">
        <v>-1</v>
      </c>
      <c r="BO253">
        <v>5</v>
      </c>
      <c r="BP253">
        <v>1</v>
      </c>
      <c r="BQ253">
        <v>1</v>
      </c>
      <c r="BR253">
        <v>-2</v>
      </c>
      <c r="BS253">
        <v>-9</v>
      </c>
      <c r="BT253">
        <v>-10</v>
      </c>
      <c r="BU253">
        <v>-17</v>
      </c>
      <c r="BV253">
        <v>-10</v>
      </c>
    </row>
    <row r="254" spans="1:74" x14ac:dyDescent="0.25">
      <c r="A254" t="s">
        <v>588</v>
      </c>
      <c r="B254" t="s">
        <v>159</v>
      </c>
      <c r="C254" t="s">
        <v>102</v>
      </c>
      <c r="D254">
        <v>8.4290000000000003</v>
      </c>
      <c r="E254">
        <v>-26</v>
      </c>
      <c r="F254">
        <v>-25</v>
      </c>
      <c r="G254">
        <v>-28</v>
      </c>
      <c r="H254">
        <v>-14</v>
      </c>
      <c r="I254">
        <v>-1</v>
      </c>
      <c r="J254">
        <v>-10</v>
      </c>
      <c r="K254">
        <v>2</v>
      </c>
      <c r="L254">
        <v>0</v>
      </c>
      <c r="M254">
        <v>7</v>
      </c>
      <c r="N254">
        <v>0</v>
      </c>
      <c r="O254">
        <v>7</v>
      </c>
      <c r="P254">
        <v>11</v>
      </c>
      <c r="Q254">
        <v>11</v>
      </c>
      <c r="R254">
        <v>4</v>
      </c>
      <c r="S254">
        <v>2</v>
      </c>
      <c r="T254">
        <v>8</v>
      </c>
      <c r="U254">
        <v>-1</v>
      </c>
      <c r="V254">
        <v>-7</v>
      </c>
      <c r="W254">
        <v>-1</v>
      </c>
      <c r="X254">
        <v>0</v>
      </c>
      <c r="Y254">
        <v>7</v>
      </c>
      <c r="Z254">
        <v>12</v>
      </c>
      <c r="AA254">
        <v>12</v>
      </c>
      <c r="AB254">
        <v>9</v>
      </c>
      <c r="AC254">
        <v>9</v>
      </c>
      <c r="AD254">
        <v>5</v>
      </c>
      <c r="AE254">
        <v>11</v>
      </c>
      <c r="AF254">
        <v>1</v>
      </c>
      <c r="AG254">
        <v>14</v>
      </c>
      <c r="AH254">
        <v>6</v>
      </c>
      <c r="AI254">
        <v>12</v>
      </c>
      <c r="AJ254">
        <v>14</v>
      </c>
      <c r="AK254">
        <v>20</v>
      </c>
      <c r="AL254">
        <v>12</v>
      </c>
      <c r="AM254">
        <v>10</v>
      </c>
      <c r="AN254">
        <v>21</v>
      </c>
      <c r="AO254">
        <v>12</v>
      </c>
      <c r="AP254">
        <v>15</v>
      </c>
      <c r="AQ254">
        <v>15</v>
      </c>
      <c r="AR254">
        <v>18</v>
      </c>
      <c r="AS254">
        <v>14</v>
      </c>
      <c r="AT254">
        <v>14</v>
      </c>
      <c r="AU254">
        <v>15</v>
      </c>
      <c r="AV254">
        <v>19</v>
      </c>
      <c r="AW254">
        <v>20</v>
      </c>
      <c r="AX254">
        <v>22</v>
      </c>
      <c r="AY254">
        <v>18</v>
      </c>
      <c r="AZ254">
        <v>25</v>
      </c>
      <c r="BA254">
        <v>20</v>
      </c>
      <c r="BB254">
        <v>13</v>
      </c>
      <c r="BC254">
        <v>-10</v>
      </c>
      <c r="BD254">
        <v>1</v>
      </c>
      <c r="BE254">
        <v>6</v>
      </c>
      <c r="BF254">
        <v>11</v>
      </c>
      <c r="BG254">
        <v>12</v>
      </c>
      <c r="BH254">
        <v>13</v>
      </c>
      <c r="BI254">
        <v>21</v>
      </c>
      <c r="BJ254">
        <v>8</v>
      </c>
      <c r="BK254">
        <v>18</v>
      </c>
      <c r="BL254">
        <v>23</v>
      </c>
      <c r="BM254">
        <v>10</v>
      </c>
      <c r="BN254">
        <v>14</v>
      </c>
      <c r="BO254">
        <v>12</v>
      </c>
      <c r="BP254">
        <v>11</v>
      </c>
      <c r="BQ254">
        <v>21</v>
      </c>
      <c r="BR254">
        <v>20</v>
      </c>
      <c r="BS254">
        <v>12</v>
      </c>
      <c r="BT254">
        <v>10</v>
      </c>
      <c r="BU254">
        <v>7</v>
      </c>
      <c r="BV254">
        <v>16</v>
      </c>
    </row>
    <row r="255" spans="1:74" x14ac:dyDescent="0.25">
      <c r="A255" t="s">
        <v>589</v>
      </c>
      <c r="B255" t="s">
        <v>160</v>
      </c>
      <c r="C255" t="s">
        <v>102</v>
      </c>
      <c r="D255">
        <v>3.6709999999999998</v>
      </c>
      <c r="E255">
        <v>-12</v>
      </c>
      <c r="F255">
        <v>-3</v>
      </c>
      <c r="G255">
        <v>-4</v>
      </c>
      <c r="H255">
        <v>-5</v>
      </c>
      <c r="I255">
        <v>-1</v>
      </c>
      <c r="J255">
        <v>-5</v>
      </c>
      <c r="K255">
        <v>-1</v>
      </c>
      <c r="L255">
        <v>9</v>
      </c>
      <c r="M255">
        <v>12</v>
      </c>
      <c r="N255">
        <v>6</v>
      </c>
      <c r="O255">
        <v>14</v>
      </c>
      <c r="P255">
        <v>22</v>
      </c>
      <c r="Q255">
        <v>19</v>
      </c>
      <c r="R255">
        <v>9</v>
      </c>
      <c r="S255">
        <v>8</v>
      </c>
      <c r="T255">
        <v>9</v>
      </c>
      <c r="U255">
        <v>-12</v>
      </c>
      <c r="V255">
        <v>-26</v>
      </c>
      <c r="W255">
        <v>-13</v>
      </c>
      <c r="X255">
        <v>-1</v>
      </c>
      <c r="Y255">
        <v>3</v>
      </c>
      <c r="Z255">
        <v>8</v>
      </c>
      <c r="AA255">
        <v>16</v>
      </c>
      <c r="AB255">
        <v>18</v>
      </c>
      <c r="AC255">
        <v>12</v>
      </c>
      <c r="AD255">
        <v>12</v>
      </c>
      <c r="AE255">
        <v>15</v>
      </c>
      <c r="AF255">
        <v>2</v>
      </c>
      <c r="AG255">
        <v>7</v>
      </c>
      <c r="AH255">
        <v>1</v>
      </c>
      <c r="AI255">
        <v>13</v>
      </c>
      <c r="AJ255">
        <v>10</v>
      </c>
      <c r="AK255">
        <v>11</v>
      </c>
      <c r="AL255">
        <v>6</v>
      </c>
      <c r="AM255">
        <v>6</v>
      </c>
      <c r="AN255">
        <v>13</v>
      </c>
      <c r="AO255">
        <v>10</v>
      </c>
      <c r="AP255">
        <v>14</v>
      </c>
      <c r="AQ255">
        <v>6</v>
      </c>
      <c r="AR255">
        <v>12</v>
      </c>
      <c r="AS255">
        <v>16</v>
      </c>
      <c r="AT255">
        <v>19</v>
      </c>
      <c r="AU255">
        <v>19</v>
      </c>
      <c r="AV255">
        <v>19</v>
      </c>
      <c r="AW255">
        <v>23</v>
      </c>
      <c r="AX255">
        <v>17</v>
      </c>
      <c r="AY255">
        <v>11</v>
      </c>
      <c r="AZ255">
        <v>18</v>
      </c>
      <c r="BA255">
        <v>4</v>
      </c>
      <c r="BB255">
        <v>7</v>
      </c>
      <c r="BC255">
        <v>-39</v>
      </c>
      <c r="BD255">
        <v>-16</v>
      </c>
      <c r="BE255">
        <v>-12</v>
      </c>
      <c r="BF255">
        <v>-8</v>
      </c>
      <c r="BG255">
        <v>9</v>
      </c>
      <c r="BH255">
        <v>7</v>
      </c>
      <c r="BI255">
        <v>3</v>
      </c>
      <c r="BJ255">
        <v>-3</v>
      </c>
      <c r="BK255">
        <v>5</v>
      </c>
      <c r="BL255">
        <v>0</v>
      </c>
      <c r="BM255">
        <v>2</v>
      </c>
      <c r="BN255">
        <v>-6</v>
      </c>
      <c r="BO255">
        <v>-9</v>
      </c>
      <c r="BP255">
        <v>-11</v>
      </c>
      <c r="BQ255">
        <v>-6</v>
      </c>
      <c r="BR255">
        <v>-14</v>
      </c>
      <c r="BS255">
        <v>-2</v>
      </c>
      <c r="BT255">
        <v>-4</v>
      </c>
      <c r="BU255">
        <v>-5</v>
      </c>
      <c r="BV255">
        <v>-7</v>
      </c>
    </row>
    <row r="256" spans="1:74" x14ac:dyDescent="0.25">
      <c r="A256" t="s">
        <v>590</v>
      </c>
      <c r="B256" t="s">
        <v>244</v>
      </c>
      <c r="C256" t="s">
        <v>102</v>
      </c>
      <c r="D256">
        <v>2.286</v>
      </c>
      <c r="E256">
        <v>-23</v>
      </c>
      <c r="F256">
        <v>-13</v>
      </c>
      <c r="G256">
        <v>-17</v>
      </c>
      <c r="H256">
        <v>-22</v>
      </c>
      <c r="I256">
        <v>-6</v>
      </c>
      <c r="J256">
        <v>-12</v>
      </c>
      <c r="K256">
        <v>-6</v>
      </c>
      <c r="L256">
        <v>2</v>
      </c>
      <c r="M256">
        <v>6</v>
      </c>
      <c r="N256">
        <v>5</v>
      </c>
      <c r="O256">
        <v>12</v>
      </c>
      <c r="P256">
        <v>21</v>
      </c>
      <c r="Q256">
        <v>18</v>
      </c>
      <c r="R256">
        <v>11</v>
      </c>
      <c r="S256">
        <v>10</v>
      </c>
      <c r="T256">
        <v>6</v>
      </c>
      <c r="U256">
        <v>-16</v>
      </c>
      <c r="V256">
        <v>-24</v>
      </c>
      <c r="W256">
        <v>-12</v>
      </c>
      <c r="X256">
        <v>-5</v>
      </c>
      <c r="Y256">
        <v>-2</v>
      </c>
      <c r="Z256">
        <v>7</v>
      </c>
      <c r="AA256">
        <v>13</v>
      </c>
      <c r="AB256">
        <v>13</v>
      </c>
      <c r="AC256">
        <v>8</v>
      </c>
      <c r="AD256">
        <v>12</v>
      </c>
      <c r="AE256">
        <v>5</v>
      </c>
      <c r="AF256">
        <v>6</v>
      </c>
      <c r="AG256">
        <v>5</v>
      </c>
      <c r="AH256">
        <v>2</v>
      </c>
      <c r="AI256">
        <v>6</v>
      </c>
      <c r="AJ256">
        <v>9</v>
      </c>
      <c r="AK256">
        <v>5</v>
      </c>
      <c r="AL256">
        <v>6</v>
      </c>
      <c r="AM256">
        <v>6</v>
      </c>
      <c r="AN256">
        <v>10</v>
      </c>
      <c r="AO256">
        <v>9</v>
      </c>
      <c r="AP256">
        <v>11</v>
      </c>
      <c r="AQ256">
        <v>10</v>
      </c>
      <c r="AR256">
        <v>12</v>
      </c>
      <c r="AS256">
        <v>15</v>
      </c>
      <c r="AT256">
        <v>18</v>
      </c>
      <c r="AU256">
        <v>16</v>
      </c>
      <c r="AV256">
        <v>20</v>
      </c>
      <c r="AW256">
        <v>22</v>
      </c>
      <c r="AX256">
        <v>23</v>
      </c>
      <c r="AY256">
        <v>14</v>
      </c>
      <c r="AZ256">
        <v>9</v>
      </c>
      <c r="BA256">
        <v>9</v>
      </c>
      <c r="BB256">
        <v>6</v>
      </c>
      <c r="BC256">
        <v>-34</v>
      </c>
      <c r="BD256">
        <v>-13</v>
      </c>
      <c r="BE256">
        <v>-7</v>
      </c>
      <c r="BF256">
        <v>0</v>
      </c>
      <c r="BG256">
        <v>15</v>
      </c>
      <c r="BH256">
        <v>12</v>
      </c>
      <c r="BI256">
        <v>5</v>
      </c>
      <c r="BJ256">
        <v>-4</v>
      </c>
      <c r="BK256">
        <v>3</v>
      </c>
      <c r="BL256">
        <v>6</v>
      </c>
      <c r="BM256">
        <v>-4</v>
      </c>
      <c r="BN256">
        <v>-4</v>
      </c>
      <c r="BO256">
        <v>-4</v>
      </c>
      <c r="BP256">
        <v>-11</v>
      </c>
      <c r="BQ256">
        <v>-10</v>
      </c>
      <c r="BR256">
        <v>-2</v>
      </c>
      <c r="BS256">
        <v>-5</v>
      </c>
      <c r="BT256">
        <v>-5</v>
      </c>
      <c r="BU256">
        <v>-12</v>
      </c>
      <c r="BV256">
        <v>-6</v>
      </c>
    </row>
    <row r="257" spans="1:74" x14ac:dyDescent="0.25">
      <c r="A257" t="s">
        <v>591</v>
      </c>
      <c r="B257" t="s">
        <v>245</v>
      </c>
      <c r="C257" t="s">
        <v>102</v>
      </c>
      <c r="D257">
        <v>4.8289999999999997</v>
      </c>
      <c r="E257">
        <v>10</v>
      </c>
      <c r="F257">
        <v>9</v>
      </c>
      <c r="G257">
        <v>-14</v>
      </c>
      <c r="H257">
        <v>-1</v>
      </c>
      <c r="I257">
        <v>4</v>
      </c>
      <c r="J257">
        <v>10</v>
      </c>
      <c r="K257">
        <v>-6</v>
      </c>
      <c r="L257">
        <v>16</v>
      </c>
      <c r="M257">
        <v>11</v>
      </c>
      <c r="N257">
        <v>4</v>
      </c>
      <c r="O257">
        <v>13</v>
      </c>
      <c r="P257">
        <v>27</v>
      </c>
      <c r="Q257">
        <v>29</v>
      </c>
      <c r="R257">
        <v>9</v>
      </c>
      <c r="S257">
        <v>6</v>
      </c>
      <c r="T257">
        <v>-1</v>
      </c>
      <c r="U257">
        <v>-14</v>
      </c>
      <c r="V257">
        <v>-33</v>
      </c>
      <c r="W257">
        <v>-13</v>
      </c>
      <c r="X257">
        <v>-7</v>
      </c>
      <c r="Y257">
        <v>-2</v>
      </c>
      <c r="Z257">
        <v>10</v>
      </c>
      <c r="AA257">
        <v>5</v>
      </c>
      <c r="AB257">
        <v>4</v>
      </c>
      <c r="AC257">
        <v>11</v>
      </c>
      <c r="AD257">
        <v>21</v>
      </c>
      <c r="AE257">
        <v>12</v>
      </c>
      <c r="AF257">
        <v>8</v>
      </c>
      <c r="AG257">
        <v>5</v>
      </c>
      <c r="AH257">
        <v>2</v>
      </c>
      <c r="AI257">
        <v>0</v>
      </c>
      <c r="AJ257">
        <v>4</v>
      </c>
      <c r="AK257">
        <v>10</v>
      </c>
      <c r="AL257">
        <v>4</v>
      </c>
      <c r="AM257">
        <v>20</v>
      </c>
      <c r="AN257">
        <v>22</v>
      </c>
      <c r="AO257">
        <v>12</v>
      </c>
      <c r="AP257">
        <v>14</v>
      </c>
      <c r="AQ257">
        <v>-1</v>
      </c>
      <c r="AR257">
        <v>12</v>
      </c>
      <c r="AS257">
        <v>7</v>
      </c>
      <c r="AT257">
        <v>22</v>
      </c>
      <c r="AU257">
        <v>19</v>
      </c>
      <c r="AV257">
        <v>22</v>
      </c>
      <c r="AW257">
        <v>2</v>
      </c>
      <c r="AX257">
        <v>15</v>
      </c>
      <c r="AY257">
        <v>21</v>
      </c>
      <c r="AZ257">
        <v>15</v>
      </c>
      <c r="BA257">
        <v>3</v>
      </c>
      <c r="BB257">
        <v>3</v>
      </c>
      <c r="BC257">
        <v>-29</v>
      </c>
      <c r="BD257">
        <v>-27</v>
      </c>
      <c r="BE257">
        <v>-6</v>
      </c>
      <c r="BF257">
        <v>0</v>
      </c>
      <c r="BG257">
        <v>18</v>
      </c>
      <c r="BH257">
        <v>13</v>
      </c>
      <c r="BI257">
        <v>7</v>
      </c>
      <c r="BJ257">
        <v>-6</v>
      </c>
      <c r="BK257">
        <v>6</v>
      </c>
      <c r="BL257">
        <v>13</v>
      </c>
      <c r="BM257">
        <v>1</v>
      </c>
      <c r="BN257">
        <v>-8</v>
      </c>
      <c r="BO257">
        <v>6</v>
      </c>
      <c r="BP257">
        <v>2</v>
      </c>
      <c r="BQ257">
        <v>4</v>
      </c>
      <c r="BR257">
        <v>-2</v>
      </c>
      <c r="BS257">
        <v>-12</v>
      </c>
      <c r="BT257">
        <v>-6</v>
      </c>
      <c r="BU257">
        <v>-7</v>
      </c>
      <c r="BV257">
        <v>10</v>
      </c>
    </row>
    <row r="258" spans="1:74" x14ac:dyDescent="0.25">
      <c r="A258" t="s">
        <v>592</v>
      </c>
      <c r="B258" t="s">
        <v>246</v>
      </c>
      <c r="C258" t="s">
        <v>102</v>
      </c>
      <c r="D258">
        <v>3.7</v>
      </c>
      <c r="E258">
        <v>-69</v>
      </c>
      <c r="F258">
        <v>-14</v>
      </c>
      <c r="G258">
        <v>-13</v>
      </c>
      <c r="H258">
        <v>2</v>
      </c>
      <c r="I258">
        <v>-6</v>
      </c>
      <c r="J258">
        <v>-2</v>
      </c>
      <c r="K258">
        <v>3</v>
      </c>
      <c r="L258">
        <v>2</v>
      </c>
      <c r="M258">
        <v>12</v>
      </c>
      <c r="N258">
        <v>18</v>
      </c>
      <c r="O258">
        <v>11</v>
      </c>
      <c r="P258">
        <v>14</v>
      </c>
      <c r="Q258">
        <v>11</v>
      </c>
      <c r="R258">
        <v>15</v>
      </c>
      <c r="S258">
        <v>11</v>
      </c>
      <c r="T258">
        <v>9</v>
      </c>
      <c r="U258">
        <v>-17</v>
      </c>
      <c r="V258">
        <v>-23</v>
      </c>
      <c r="W258">
        <v>-11</v>
      </c>
      <c r="X258">
        <v>-5</v>
      </c>
      <c r="Y258">
        <v>0</v>
      </c>
      <c r="Z258">
        <v>6</v>
      </c>
      <c r="AA258">
        <v>12</v>
      </c>
      <c r="AB258">
        <v>23</v>
      </c>
      <c r="AC258">
        <v>10</v>
      </c>
      <c r="AD258">
        <v>7</v>
      </c>
      <c r="AE258">
        <v>12</v>
      </c>
      <c r="AF258">
        <v>-1</v>
      </c>
      <c r="AG258">
        <v>3</v>
      </c>
      <c r="AH258">
        <v>2</v>
      </c>
      <c r="AI258">
        <v>4</v>
      </c>
      <c r="AJ258">
        <v>8</v>
      </c>
      <c r="AK258">
        <v>11</v>
      </c>
      <c r="AL258">
        <v>9</v>
      </c>
      <c r="AM258">
        <v>14</v>
      </c>
      <c r="AN258">
        <v>13</v>
      </c>
      <c r="AO258">
        <v>23</v>
      </c>
      <c r="AP258">
        <v>15</v>
      </c>
      <c r="AQ258">
        <v>16</v>
      </c>
      <c r="AR258">
        <v>19</v>
      </c>
      <c r="AS258">
        <v>15</v>
      </c>
      <c r="AT258">
        <v>24</v>
      </c>
      <c r="AU258">
        <v>16</v>
      </c>
      <c r="AV258">
        <v>22</v>
      </c>
      <c r="AW258">
        <v>14</v>
      </c>
      <c r="AX258">
        <v>17</v>
      </c>
      <c r="AY258">
        <v>12</v>
      </c>
      <c r="AZ258">
        <v>16</v>
      </c>
      <c r="BA258">
        <v>14</v>
      </c>
      <c r="BB258">
        <v>6</v>
      </c>
      <c r="BC258">
        <v>-32</v>
      </c>
      <c r="BD258">
        <v>-21</v>
      </c>
      <c r="BE258">
        <v>-7</v>
      </c>
      <c r="BF258">
        <v>-10</v>
      </c>
      <c r="BG258">
        <v>10</v>
      </c>
      <c r="BH258">
        <v>5</v>
      </c>
      <c r="BI258">
        <v>8</v>
      </c>
      <c r="BJ258">
        <v>-6</v>
      </c>
      <c r="BK258">
        <v>7</v>
      </c>
      <c r="BL258">
        <v>10</v>
      </c>
      <c r="BM258">
        <v>1</v>
      </c>
      <c r="BN258">
        <v>-1</v>
      </c>
      <c r="BO258">
        <v>4</v>
      </c>
      <c r="BP258">
        <v>-5</v>
      </c>
      <c r="BQ258">
        <v>-4</v>
      </c>
      <c r="BR258">
        <v>0</v>
      </c>
      <c r="BS258">
        <v>0</v>
      </c>
      <c r="BT258">
        <v>-4</v>
      </c>
      <c r="BU258">
        <v>-7</v>
      </c>
      <c r="BV258">
        <v>1</v>
      </c>
    </row>
    <row r="259" spans="1:74" x14ac:dyDescent="0.25">
      <c r="A259" t="s">
        <v>593</v>
      </c>
      <c r="B259" t="s">
        <v>164</v>
      </c>
      <c r="C259" t="s">
        <v>102</v>
      </c>
      <c r="D259">
        <v>6.0709999999999997</v>
      </c>
      <c r="E259">
        <v>-27</v>
      </c>
      <c r="F259">
        <v>-30</v>
      </c>
      <c r="G259">
        <v>-34</v>
      </c>
      <c r="H259">
        <v>-14</v>
      </c>
      <c r="I259">
        <v>-24</v>
      </c>
      <c r="J259">
        <v>-33</v>
      </c>
      <c r="K259">
        <v>-17</v>
      </c>
      <c r="L259">
        <v>4</v>
      </c>
      <c r="M259">
        <v>23</v>
      </c>
      <c r="N259">
        <v>-11</v>
      </c>
      <c r="O259">
        <v>-2</v>
      </c>
      <c r="P259">
        <v>23</v>
      </c>
      <c r="Q259">
        <v>1</v>
      </c>
      <c r="R259">
        <v>19</v>
      </c>
      <c r="S259">
        <v>2</v>
      </c>
      <c r="T259">
        <v>7</v>
      </c>
      <c r="U259">
        <v>-16</v>
      </c>
      <c r="V259">
        <v>-8</v>
      </c>
      <c r="W259">
        <v>-5</v>
      </c>
      <c r="X259">
        <v>-5</v>
      </c>
      <c r="Y259">
        <v>16</v>
      </c>
      <c r="Z259">
        <v>1</v>
      </c>
      <c r="AA259">
        <v>20</v>
      </c>
      <c r="AB259">
        <v>22</v>
      </c>
      <c r="AC259">
        <v>19</v>
      </c>
      <c r="AD259">
        <v>19</v>
      </c>
      <c r="AE259">
        <v>13</v>
      </c>
      <c r="AF259">
        <v>11</v>
      </c>
      <c r="AG259">
        <v>-14</v>
      </c>
      <c r="AH259">
        <v>3</v>
      </c>
      <c r="AI259">
        <v>-1</v>
      </c>
      <c r="AJ259">
        <v>-2</v>
      </c>
      <c r="AK259">
        <v>12</v>
      </c>
      <c r="AL259">
        <v>7</v>
      </c>
      <c r="AM259">
        <v>9</v>
      </c>
      <c r="AN259">
        <v>12</v>
      </c>
      <c r="AO259">
        <v>33</v>
      </c>
      <c r="AP259">
        <v>21</v>
      </c>
      <c r="AQ259">
        <v>17</v>
      </c>
      <c r="AR259">
        <v>30</v>
      </c>
      <c r="AS259">
        <v>25</v>
      </c>
      <c r="AT259">
        <v>24</v>
      </c>
      <c r="AU259">
        <v>7</v>
      </c>
      <c r="AV259">
        <v>34</v>
      </c>
      <c r="AW259">
        <v>10</v>
      </c>
      <c r="AX259">
        <v>19</v>
      </c>
      <c r="AY259">
        <v>17</v>
      </c>
      <c r="AZ259">
        <v>20</v>
      </c>
      <c r="BA259">
        <v>12</v>
      </c>
      <c r="BB259">
        <v>21</v>
      </c>
      <c r="BC259">
        <v>-30</v>
      </c>
      <c r="BD259">
        <v>-1</v>
      </c>
      <c r="BE259">
        <v>-12</v>
      </c>
      <c r="BF259">
        <v>-8</v>
      </c>
      <c r="BG259">
        <v>17</v>
      </c>
      <c r="BH259">
        <v>20</v>
      </c>
      <c r="BI259">
        <v>2</v>
      </c>
      <c r="BJ259">
        <v>-1</v>
      </c>
      <c r="BK259">
        <v>16</v>
      </c>
      <c r="BL259">
        <v>31</v>
      </c>
      <c r="BM259">
        <v>26</v>
      </c>
      <c r="BN259">
        <v>12</v>
      </c>
      <c r="BO259">
        <v>20</v>
      </c>
      <c r="BP259">
        <v>19</v>
      </c>
      <c r="BQ259">
        <v>-4</v>
      </c>
      <c r="BR259">
        <v>15</v>
      </c>
      <c r="BS259">
        <v>14</v>
      </c>
      <c r="BT259">
        <v>1</v>
      </c>
      <c r="BU259">
        <v>1</v>
      </c>
      <c r="BV259">
        <v>-3</v>
      </c>
    </row>
    <row r="260" spans="1:74" x14ac:dyDescent="0.25">
      <c r="A260" t="s">
        <v>594</v>
      </c>
      <c r="B260" t="s">
        <v>165</v>
      </c>
      <c r="C260" t="s">
        <v>102</v>
      </c>
      <c r="D260">
        <v>-1.9139999999999999</v>
      </c>
      <c r="E260">
        <v>-33</v>
      </c>
      <c r="F260">
        <v>-19</v>
      </c>
      <c r="G260">
        <v>-26</v>
      </c>
      <c r="H260">
        <v>-30</v>
      </c>
      <c r="I260">
        <v>-26</v>
      </c>
      <c r="J260">
        <v>-15</v>
      </c>
      <c r="K260">
        <v>-12</v>
      </c>
      <c r="L260">
        <v>-14</v>
      </c>
      <c r="M260">
        <v>-15</v>
      </c>
      <c r="N260">
        <v>-11</v>
      </c>
      <c r="O260">
        <v>3</v>
      </c>
      <c r="P260">
        <v>18</v>
      </c>
      <c r="Q260">
        <v>10</v>
      </c>
      <c r="R260">
        <v>-6</v>
      </c>
      <c r="S260">
        <v>4</v>
      </c>
      <c r="T260">
        <v>-14</v>
      </c>
      <c r="U260">
        <v>-23</v>
      </c>
      <c r="V260">
        <v>-21</v>
      </c>
      <c r="W260">
        <v>-12</v>
      </c>
      <c r="X260">
        <v>-8</v>
      </c>
      <c r="Y260">
        <v>0</v>
      </c>
      <c r="Z260">
        <v>9</v>
      </c>
      <c r="AA260">
        <v>0</v>
      </c>
      <c r="AB260">
        <v>1</v>
      </c>
      <c r="AC260">
        <v>5</v>
      </c>
      <c r="AD260">
        <v>-5</v>
      </c>
      <c r="AE260">
        <v>4</v>
      </c>
      <c r="AF260">
        <v>-9</v>
      </c>
      <c r="AG260">
        <v>-2</v>
      </c>
      <c r="AH260">
        <v>-11</v>
      </c>
      <c r="AI260">
        <v>2</v>
      </c>
      <c r="AJ260">
        <v>2</v>
      </c>
      <c r="AK260">
        <v>-7</v>
      </c>
      <c r="AL260">
        <v>6</v>
      </c>
      <c r="AM260">
        <v>8</v>
      </c>
      <c r="AN260">
        <v>9</v>
      </c>
      <c r="AO260">
        <v>8</v>
      </c>
      <c r="AP260">
        <v>11</v>
      </c>
      <c r="AQ260">
        <v>19</v>
      </c>
      <c r="AR260">
        <v>17</v>
      </c>
      <c r="AS260">
        <v>14</v>
      </c>
      <c r="AT260">
        <v>18</v>
      </c>
      <c r="AU260">
        <v>16</v>
      </c>
      <c r="AV260">
        <v>14</v>
      </c>
      <c r="AW260">
        <v>22</v>
      </c>
      <c r="AX260">
        <v>17</v>
      </c>
      <c r="AY260">
        <v>15</v>
      </c>
      <c r="AZ260">
        <v>19</v>
      </c>
      <c r="BA260">
        <v>16</v>
      </c>
      <c r="BB260">
        <v>9</v>
      </c>
      <c r="BC260">
        <v>-33</v>
      </c>
      <c r="BD260">
        <v>-13</v>
      </c>
      <c r="BE260">
        <v>-11</v>
      </c>
      <c r="BF260">
        <v>-6</v>
      </c>
      <c r="BG260">
        <v>12</v>
      </c>
      <c r="BH260">
        <v>15</v>
      </c>
      <c r="BI260">
        <v>6</v>
      </c>
      <c r="BJ260">
        <v>-9</v>
      </c>
      <c r="BK260">
        <v>-5</v>
      </c>
      <c r="BL260">
        <v>2</v>
      </c>
      <c r="BM260">
        <v>-8</v>
      </c>
      <c r="BN260">
        <v>-21</v>
      </c>
      <c r="BO260">
        <v>-7</v>
      </c>
      <c r="BP260">
        <v>-12</v>
      </c>
      <c r="BQ260">
        <v>-8</v>
      </c>
      <c r="BR260">
        <v>-3</v>
      </c>
      <c r="BS260">
        <v>0</v>
      </c>
      <c r="BT260">
        <v>-7</v>
      </c>
      <c r="BU260">
        <v>4</v>
      </c>
      <c r="BV260">
        <v>-7</v>
      </c>
    </row>
    <row r="261" spans="1:74" x14ac:dyDescent="0.25">
      <c r="A261" t="s">
        <v>595</v>
      </c>
      <c r="B261" t="s">
        <v>166</v>
      </c>
      <c r="C261" t="s">
        <v>102</v>
      </c>
      <c r="D261">
        <v>2.1</v>
      </c>
      <c r="E261">
        <v>-20</v>
      </c>
      <c r="F261">
        <v>-20</v>
      </c>
      <c r="G261">
        <v>-31</v>
      </c>
      <c r="H261">
        <v>-31</v>
      </c>
      <c r="I261">
        <v>-26</v>
      </c>
      <c r="J261">
        <v>-29</v>
      </c>
      <c r="K261">
        <v>-5</v>
      </c>
      <c r="L261">
        <v>9</v>
      </c>
      <c r="M261">
        <v>-6</v>
      </c>
      <c r="N261">
        <v>8</v>
      </c>
      <c r="O261">
        <v>23</v>
      </c>
      <c r="P261">
        <v>24</v>
      </c>
      <c r="Q261">
        <v>2</v>
      </c>
      <c r="R261">
        <v>9</v>
      </c>
      <c r="S261">
        <v>13</v>
      </c>
      <c r="T261">
        <v>4</v>
      </c>
      <c r="U261">
        <v>6</v>
      </c>
      <c r="V261">
        <v>3</v>
      </c>
      <c r="W261">
        <v>0</v>
      </c>
      <c r="X261">
        <v>-15</v>
      </c>
      <c r="Y261">
        <v>-18</v>
      </c>
      <c r="Z261">
        <v>-13</v>
      </c>
      <c r="AA261">
        <v>-6</v>
      </c>
      <c r="AB261">
        <v>3</v>
      </c>
      <c r="AC261">
        <v>-14</v>
      </c>
      <c r="AD261">
        <v>-13</v>
      </c>
      <c r="AE261">
        <v>-12</v>
      </c>
      <c r="AF261">
        <v>6</v>
      </c>
      <c r="AG261">
        <v>7</v>
      </c>
      <c r="AH261">
        <v>-4</v>
      </c>
      <c r="AI261">
        <v>6</v>
      </c>
      <c r="AJ261">
        <v>11</v>
      </c>
      <c r="AK261">
        <v>12</v>
      </c>
      <c r="AL261">
        <v>16</v>
      </c>
      <c r="AM261">
        <v>13</v>
      </c>
      <c r="AN261">
        <v>17</v>
      </c>
      <c r="AO261">
        <v>11</v>
      </c>
      <c r="AP261">
        <v>5</v>
      </c>
      <c r="AQ261">
        <v>3</v>
      </c>
      <c r="AR261">
        <v>13</v>
      </c>
      <c r="AS261">
        <v>17</v>
      </c>
      <c r="AT261">
        <v>16</v>
      </c>
      <c r="AU261">
        <v>3</v>
      </c>
      <c r="AV261">
        <v>14</v>
      </c>
      <c r="AW261">
        <v>20</v>
      </c>
      <c r="AX261">
        <v>9</v>
      </c>
      <c r="AY261">
        <v>16</v>
      </c>
      <c r="AZ261">
        <v>8</v>
      </c>
      <c r="BA261">
        <v>17</v>
      </c>
      <c r="BB261">
        <v>13</v>
      </c>
      <c r="BC261">
        <v>-19</v>
      </c>
      <c r="BD261">
        <v>-16</v>
      </c>
      <c r="BE261">
        <v>-16</v>
      </c>
      <c r="BF261">
        <v>-1</v>
      </c>
      <c r="BG261">
        <v>5</v>
      </c>
      <c r="BH261">
        <v>21</v>
      </c>
      <c r="BI261">
        <v>4</v>
      </c>
      <c r="BJ261">
        <v>4</v>
      </c>
      <c r="BK261">
        <v>12</v>
      </c>
      <c r="BL261">
        <v>12</v>
      </c>
      <c r="BM261">
        <v>9</v>
      </c>
      <c r="BN261">
        <v>11</v>
      </c>
      <c r="BO261">
        <v>12</v>
      </c>
      <c r="BP261">
        <v>12</v>
      </c>
      <c r="BQ261">
        <v>-1</v>
      </c>
      <c r="BR261">
        <v>18</v>
      </c>
      <c r="BS261">
        <v>7</v>
      </c>
      <c r="BT261">
        <v>-10</v>
      </c>
      <c r="BU261">
        <v>-8</v>
      </c>
      <c r="BV261">
        <v>-3</v>
      </c>
    </row>
    <row r="262" spans="1:74" x14ac:dyDescent="0.25">
      <c r="A262" t="s">
        <v>596</v>
      </c>
      <c r="B262" t="s">
        <v>167</v>
      </c>
      <c r="C262" t="s">
        <v>102</v>
      </c>
      <c r="D262">
        <v>19.186</v>
      </c>
      <c r="E262">
        <v>-3</v>
      </c>
      <c r="F262">
        <v>-18</v>
      </c>
      <c r="G262">
        <v>-14</v>
      </c>
      <c r="H262">
        <v>-5</v>
      </c>
      <c r="I262">
        <v>3</v>
      </c>
      <c r="J262">
        <v>-7</v>
      </c>
      <c r="K262">
        <v>-4</v>
      </c>
      <c r="L262">
        <v>10</v>
      </c>
      <c r="M262">
        <v>23</v>
      </c>
      <c r="N262">
        <v>16</v>
      </c>
      <c r="O262">
        <v>28</v>
      </c>
      <c r="P262">
        <v>26</v>
      </c>
      <c r="Q262">
        <v>26</v>
      </c>
      <c r="R262">
        <v>34</v>
      </c>
      <c r="S262">
        <v>28</v>
      </c>
      <c r="T262">
        <v>16</v>
      </c>
      <c r="U262">
        <v>19</v>
      </c>
      <c r="V262">
        <v>22</v>
      </c>
      <c r="W262">
        <v>12</v>
      </c>
      <c r="X262">
        <v>25</v>
      </c>
      <c r="Y262">
        <v>35</v>
      </c>
      <c r="Z262">
        <v>15</v>
      </c>
      <c r="AA262">
        <v>27</v>
      </c>
      <c r="AB262">
        <v>30</v>
      </c>
      <c r="AC262">
        <v>31</v>
      </c>
      <c r="AD262">
        <v>26</v>
      </c>
      <c r="AE262">
        <v>21</v>
      </c>
      <c r="AF262">
        <v>24</v>
      </c>
      <c r="AG262">
        <v>16</v>
      </c>
      <c r="AH262">
        <v>5</v>
      </c>
      <c r="AI262">
        <v>19</v>
      </c>
      <c r="AJ262">
        <v>25</v>
      </c>
      <c r="AK262">
        <v>25</v>
      </c>
      <c r="AL262">
        <v>25</v>
      </c>
      <c r="AM262">
        <v>23</v>
      </c>
      <c r="AN262">
        <v>36</v>
      </c>
      <c r="AO262">
        <v>30</v>
      </c>
      <c r="AP262">
        <v>28</v>
      </c>
      <c r="AQ262">
        <v>31</v>
      </c>
      <c r="AR262">
        <v>33</v>
      </c>
      <c r="AS262">
        <v>25</v>
      </c>
      <c r="AT262">
        <v>21</v>
      </c>
      <c r="AU262">
        <v>33</v>
      </c>
      <c r="AV262">
        <v>34</v>
      </c>
      <c r="AW262">
        <v>29</v>
      </c>
      <c r="AX262">
        <v>31</v>
      </c>
      <c r="AY262">
        <v>26</v>
      </c>
      <c r="AZ262">
        <v>35</v>
      </c>
      <c r="BA262">
        <v>29</v>
      </c>
      <c r="BB262">
        <v>19</v>
      </c>
      <c r="BC262">
        <v>-4</v>
      </c>
      <c r="BD262">
        <v>7</v>
      </c>
      <c r="BE262">
        <v>9</v>
      </c>
      <c r="BF262">
        <v>16</v>
      </c>
      <c r="BG262">
        <v>28</v>
      </c>
      <c r="BH262">
        <v>25</v>
      </c>
      <c r="BI262">
        <v>25</v>
      </c>
      <c r="BJ262">
        <v>6</v>
      </c>
      <c r="BK262">
        <v>10</v>
      </c>
      <c r="BL262">
        <v>13</v>
      </c>
      <c r="BM262">
        <v>20</v>
      </c>
      <c r="BN262">
        <v>10</v>
      </c>
      <c r="BO262">
        <v>17</v>
      </c>
      <c r="BP262">
        <v>22</v>
      </c>
      <c r="BQ262">
        <v>29</v>
      </c>
      <c r="BR262">
        <v>23</v>
      </c>
      <c r="BS262">
        <v>21</v>
      </c>
      <c r="BT262">
        <v>12</v>
      </c>
      <c r="BU262">
        <v>18</v>
      </c>
      <c r="BV262">
        <v>12</v>
      </c>
    </row>
    <row r="263" spans="1:74" x14ac:dyDescent="0.25">
      <c r="A263" t="s">
        <v>597</v>
      </c>
      <c r="B263" t="s">
        <v>247</v>
      </c>
      <c r="C263" t="s">
        <v>102</v>
      </c>
      <c r="D263">
        <v>3.7570000000000001</v>
      </c>
      <c r="E263">
        <v>-6</v>
      </c>
      <c r="F263">
        <v>-5</v>
      </c>
      <c r="G263">
        <v>-17</v>
      </c>
      <c r="H263">
        <v>-16</v>
      </c>
      <c r="I263">
        <v>-16</v>
      </c>
      <c r="J263">
        <v>-3</v>
      </c>
      <c r="K263">
        <v>-7</v>
      </c>
      <c r="L263">
        <v>-9</v>
      </c>
      <c r="M263">
        <v>8</v>
      </c>
      <c r="N263">
        <v>-3</v>
      </c>
      <c r="O263">
        <v>-1</v>
      </c>
      <c r="P263">
        <v>20</v>
      </c>
      <c r="Q263">
        <v>3</v>
      </c>
      <c r="R263">
        <v>6</v>
      </c>
      <c r="S263">
        <v>7</v>
      </c>
      <c r="T263">
        <v>6</v>
      </c>
      <c r="U263">
        <v>-11</v>
      </c>
      <c r="V263">
        <v>-10</v>
      </c>
      <c r="W263">
        <v>-7</v>
      </c>
      <c r="X263">
        <v>-1</v>
      </c>
      <c r="Y263">
        <v>7</v>
      </c>
      <c r="Z263">
        <v>17</v>
      </c>
      <c r="AA263">
        <v>17</v>
      </c>
      <c r="AB263">
        <v>17</v>
      </c>
      <c r="AC263">
        <v>14</v>
      </c>
      <c r="AD263">
        <v>15</v>
      </c>
      <c r="AE263">
        <v>20</v>
      </c>
      <c r="AF263">
        <v>1</v>
      </c>
      <c r="AG263">
        <v>13</v>
      </c>
      <c r="AH263">
        <v>4</v>
      </c>
      <c r="AI263">
        <v>18</v>
      </c>
      <c r="AJ263">
        <v>15</v>
      </c>
      <c r="AK263">
        <v>25</v>
      </c>
      <c r="AL263">
        <v>12</v>
      </c>
      <c r="AM263">
        <v>13</v>
      </c>
      <c r="AN263">
        <v>17</v>
      </c>
      <c r="AO263">
        <v>15</v>
      </c>
      <c r="AP263">
        <v>15</v>
      </c>
      <c r="AQ263">
        <v>15</v>
      </c>
      <c r="AR263">
        <v>15</v>
      </c>
      <c r="AS263">
        <v>8</v>
      </c>
      <c r="AT263">
        <v>19</v>
      </c>
      <c r="AU263">
        <v>27</v>
      </c>
      <c r="AV263">
        <v>26</v>
      </c>
      <c r="AW263">
        <v>25</v>
      </c>
      <c r="AX263">
        <v>19</v>
      </c>
      <c r="AY263">
        <v>19</v>
      </c>
      <c r="AZ263">
        <v>23</v>
      </c>
      <c r="BA263">
        <v>6</v>
      </c>
      <c r="BB263">
        <v>15</v>
      </c>
      <c r="BC263">
        <v>-63</v>
      </c>
      <c r="BD263">
        <v>-43</v>
      </c>
      <c r="BE263">
        <v>-44</v>
      </c>
      <c r="BF263">
        <v>-47</v>
      </c>
      <c r="BG263">
        <v>10</v>
      </c>
      <c r="BH263">
        <v>-18</v>
      </c>
      <c r="BI263">
        <v>2</v>
      </c>
      <c r="BJ263">
        <v>-10</v>
      </c>
      <c r="BK263">
        <v>5</v>
      </c>
      <c r="BL263">
        <v>5</v>
      </c>
      <c r="BM263">
        <v>21</v>
      </c>
      <c r="BN263">
        <v>3</v>
      </c>
      <c r="BO263">
        <v>10</v>
      </c>
      <c r="BP263">
        <v>15</v>
      </c>
      <c r="BQ263">
        <v>10</v>
      </c>
      <c r="BR263">
        <v>9</v>
      </c>
      <c r="BS263">
        <v>-3</v>
      </c>
      <c r="BT263">
        <v>2</v>
      </c>
      <c r="BU263">
        <v>-9</v>
      </c>
      <c r="BV263">
        <v>-2</v>
      </c>
    </row>
    <row r="264" spans="1:74" x14ac:dyDescent="0.25">
      <c r="A264" t="s">
        <v>598</v>
      </c>
      <c r="B264" t="s">
        <v>169</v>
      </c>
      <c r="C264" t="s">
        <v>102</v>
      </c>
      <c r="D264">
        <v>3.6139999999999999</v>
      </c>
      <c r="E264">
        <v>-18</v>
      </c>
      <c r="F264">
        <v>-15</v>
      </c>
      <c r="G264">
        <v>-3</v>
      </c>
      <c r="H264">
        <v>-13</v>
      </c>
      <c r="I264">
        <v>-2</v>
      </c>
      <c r="J264">
        <v>-20</v>
      </c>
      <c r="K264">
        <v>-15</v>
      </c>
      <c r="L264">
        <v>-8</v>
      </c>
      <c r="M264">
        <v>6</v>
      </c>
      <c r="N264">
        <v>-9</v>
      </c>
      <c r="O264">
        <v>1</v>
      </c>
      <c r="P264">
        <v>-5</v>
      </c>
      <c r="Q264">
        <v>18</v>
      </c>
      <c r="R264">
        <v>5</v>
      </c>
      <c r="S264">
        <v>-1</v>
      </c>
      <c r="T264">
        <v>-4</v>
      </c>
      <c r="U264">
        <v>-16</v>
      </c>
      <c r="V264">
        <v>-13</v>
      </c>
      <c r="W264">
        <v>-5</v>
      </c>
      <c r="X264">
        <v>2</v>
      </c>
      <c r="Y264">
        <v>11</v>
      </c>
      <c r="Z264">
        <v>17</v>
      </c>
      <c r="AA264">
        <v>10</v>
      </c>
      <c r="AB264">
        <v>2</v>
      </c>
      <c r="AC264">
        <v>10</v>
      </c>
      <c r="AD264">
        <v>1</v>
      </c>
      <c r="AE264">
        <v>11</v>
      </c>
      <c r="AF264">
        <v>7</v>
      </c>
      <c r="AG264">
        <v>6</v>
      </c>
      <c r="AH264">
        <v>13</v>
      </c>
      <c r="AI264">
        <v>2</v>
      </c>
      <c r="AJ264">
        <v>10</v>
      </c>
      <c r="AK264">
        <v>10</v>
      </c>
      <c r="AL264">
        <v>18</v>
      </c>
      <c r="AM264">
        <v>22</v>
      </c>
      <c r="AN264">
        <v>25</v>
      </c>
      <c r="AO264">
        <v>12</v>
      </c>
      <c r="AP264">
        <v>17</v>
      </c>
      <c r="AQ264">
        <v>19</v>
      </c>
      <c r="AR264">
        <v>19</v>
      </c>
      <c r="AS264">
        <v>20</v>
      </c>
      <c r="AT264">
        <v>13</v>
      </c>
      <c r="AU264">
        <v>22</v>
      </c>
      <c r="AV264">
        <v>22</v>
      </c>
      <c r="AW264">
        <v>19</v>
      </c>
      <c r="AX264">
        <v>20</v>
      </c>
      <c r="AY264">
        <v>16</v>
      </c>
      <c r="AZ264">
        <v>15</v>
      </c>
      <c r="BA264">
        <v>9</v>
      </c>
      <c r="BB264">
        <v>20</v>
      </c>
      <c r="BC264">
        <v>-33</v>
      </c>
      <c r="BD264">
        <v>-20</v>
      </c>
      <c r="BE264">
        <v>-18</v>
      </c>
      <c r="BF264">
        <v>-9</v>
      </c>
      <c r="BG264">
        <v>9</v>
      </c>
      <c r="BH264">
        <v>16</v>
      </c>
      <c r="BI264">
        <v>0</v>
      </c>
      <c r="BJ264">
        <v>1</v>
      </c>
      <c r="BK264">
        <v>7</v>
      </c>
      <c r="BL264">
        <v>13</v>
      </c>
      <c r="BM264">
        <v>3</v>
      </c>
      <c r="BN264">
        <v>5</v>
      </c>
      <c r="BO264">
        <v>0</v>
      </c>
      <c r="BP264">
        <v>-1</v>
      </c>
      <c r="BQ264">
        <v>-7</v>
      </c>
      <c r="BR264">
        <v>-12</v>
      </c>
      <c r="BS264">
        <v>0</v>
      </c>
      <c r="BT264">
        <v>2</v>
      </c>
      <c r="BU264">
        <v>-4</v>
      </c>
      <c r="BV264">
        <v>-2</v>
      </c>
    </row>
    <row r="265" spans="1:74" x14ac:dyDescent="0.25">
      <c r="A265" t="s">
        <v>599</v>
      </c>
      <c r="B265" t="s">
        <v>170</v>
      </c>
      <c r="C265" t="s">
        <v>102</v>
      </c>
      <c r="D265">
        <v>9.2140000000000004</v>
      </c>
      <c r="E265">
        <v>-9</v>
      </c>
      <c r="F265">
        <v>-2</v>
      </c>
      <c r="G265">
        <v>-2</v>
      </c>
      <c r="H265">
        <v>0</v>
      </c>
      <c r="I265">
        <v>7</v>
      </c>
      <c r="J265">
        <v>5</v>
      </c>
      <c r="K265">
        <v>3</v>
      </c>
      <c r="L265">
        <v>11</v>
      </c>
      <c r="M265">
        <v>11</v>
      </c>
      <c r="N265">
        <v>11</v>
      </c>
      <c r="O265">
        <v>20</v>
      </c>
      <c r="P265">
        <v>26</v>
      </c>
      <c r="Q265">
        <v>23</v>
      </c>
      <c r="R265">
        <v>17</v>
      </c>
      <c r="S265">
        <v>14</v>
      </c>
      <c r="T265">
        <v>10</v>
      </c>
      <c r="U265">
        <v>-4</v>
      </c>
      <c r="V265">
        <v>-16</v>
      </c>
      <c r="W265">
        <v>-7</v>
      </c>
      <c r="X265">
        <v>2</v>
      </c>
      <c r="Y265">
        <v>7</v>
      </c>
      <c r="Z265">
        <v>13</v>
      </c>
      <c r="AA265">
        <v>19</v>
      </c>
      <c r="AB265">
        <v>17</v>
      </c>
      <c r="AC265">
        <v>16</v>
      </c>
      <c r="AD265">
        <v>11</v>
      </c>
      <c r="AE265">
        <v>17</v>
      </c>
      <c r="AF265">
        <v>9</v>
      </c>
      <c r="AG265">
        <v>7</v>
      </c>
      <c r="AH265">
        <v>5</v>
      </c>
      <c r="AI265">
        <v>12</v>
      </c>
      <c r="AJ265">
        <v>16</v>
      </c>
      <c r="AK265">
        <v>14</v>
      </c>
      <c r="AL265">
        <v>14</v>
      </c>
      <c r="AM265">
        <v>18</v>
      </c>
      <c r="AN265">
        <v>18</v>
      </c>
      <c r="AO265">
        <v>18</v>
      </c>
      <c r="AP265">
        <v>14</v>
      </c>
      <c r="AQ265">
        <v>20</v>
      </c>
      <c r="AR265">
        <v>20</v>
      </c>
      <c r="AS265">
        <v>22</v>
      </c>
      <c r="AT265">
        <v>21</v>
      </c>
      <c r="AU265">
        <v>22</v>
      </c>
      <c r="AV265">
        <v>25</v>
      </c>
      <c r="AW265">
        <v>23</v>
      </c>
      <c r="AX265">
        <v>25</v>
      </c>
      <c r="AY265">
        <v>23</v>
      </c>
      <c r="AZ265">
        <v>20</v>
      </c>
      <c r="BA265">
        <v>17</v>
      </c>
      <c r="BB265">
        <v>17</v>
      </c>
      <c r="BC265">
        <v>-27</v>
      </c>
      <c r="BD265">
        <v>-7</v>
      </c>
      <c r="BE265">
        <v>1</v>
      </c>
      <c r="BF265">
        <v>5</v>
      </c>
      <c r="BG265">
        <v>19</v>
      </c>
      <c r="BH265">
        <v>18</v>
      </c>
      <c r="BI265">
        <v>14</v>
      </c>
      <c r="BJ265">
        <v>-4</v>
      </c>
      <c r="BK265">
        <v>8</v>
      </c>
      <c r="BL265">
        <v>11</v>
      </c>
      <c r="BM265">
        <v>1</v>
      </c>
      <c r="BN265">
        <v>4</v>
      </c>
      <c r="BO265">
        <v>4</v>
      </c>
      <c r="BP265">
        <v>-2</v>
      </c>
      <c r="BQ265">
        <v>-2</v>
      </c>
      <c r="BR265">
        <v>6</v>
      </c>
      <c r="BS265">
        <v>-5</v>
      </c>
      <c r="BT265">
        <v>-10</v>
      </c>
      <c r="BU265">
        <v>-7</v>
      </c>
      <c r="BV265">
        <v>-2</v>
      </c>
    </row>
    <row r="266" spans="1:74" x14ac:dyDescent="0.25">
      <c r="A266" t="s">
        <v>600</v>
      </c>
      <c r="B266" t="s">
        <v>45</v>
      </c>
      <c r="C266" t="s">
        <v>103</v>
      </c>
      <c r="D266">
        <v>-1.4</v>
      </c>
      <c r="E266">
        <v>-22</v>
      </c>
      <c r="F266">
        <v>-19</v>
      </c>
      <c r="G266">
        <v>-20</v>
      </c>
      <c r="H266">
        <v>-16</v>
      </c>
      <c r="I266">
        <v>-14</v>
      </c>
      <c r="J266">
        <v>-17</v>
      </c>
      <c r="K266">
        <v>-13</v>
      </c>
      <c r="L266">
        <v>-4</v>
      </c>
      <c r="M266">
        <v>0</v>
      </c>
      <c r="N266">
        <v>0</v>
      </c>
      <c r="O266">
        <v>9</v>
      </c>
      <c r="P266">
        <v>14</v>
      </c>
      <c r="Q266">
        <v>9</v>
      </c>
      <c r="R266">
        <v>8</v>
      </c>
      <c r="S266">
        <v>6</v>
      </c>
      <c r="T266">
        <v>-2</v>
      </c>
      <c r="U266">
        <v>-20</v>
      </c>
      <c r="V266">
        <v>-25</v>
      </c>
      <c r="W266">
        <v>-15</v>
      </c>
      <c r="X266">
        <v>-9</v>
      </c>
      <c r="Y266">
        <v>1</v>
      </c>
      <c r="Z266">
        <v>7</v>
      </c>
      <c r="AA266">
        <v>12</v>
      </c>
      <c r="AB266">
        <v>14</v>
      </c>
      <c r="AC266">
        <v>9</v>
      </c>
      <c r="AD266">
        <v>8</v>
      </c>
      <c r="AE266">
        <v>9</v>
      </c>
      <c r="AF266">
        <v>1</v>
      </c>
      <c r="AG266">
        <v>1</v>
      </c>
      <c r="AH266">
        <v>1</v>
      </c>
      <c r="AI266">
        <v>4</v>
      </c>
      <c r="AJ266">
        <v>6</v>
      </c>
      <c r="AK266">
        <v>6</v>
      </c>
      <c r="AL266">
        <v>2</v>
      </c>
      <c r="AM266">
        <v>3</v>
      </c>
      <c r="AN266">
        <v>5</v>
      </c>
      <c r="AO266">
        <v>5</v>
      </c>
      <c r="AP266">
        <v>6</v>
      </c>
      <c r="AQ266">
        <v>6</v>
      </c>
      <c r="AR266">
        <v>6</v>
      </c>
      <c r="AS266">
        <v>7</v>
      </c>
      <c r="AT266">
        <v>9</v>
      </c>
      <c r="AU266">
        <v>11</v>
      </c>
      <c r="AV266">
        <v>14</v>
      </c>
      <c r="AW266">
        <v>12</v>
      </c>
      <c r="AX266">
        <v>11</v>
      </c>
      <c r="AY266">
        <v>10</v>
      </c>
      <c r="AZ266">
        <v>6</v>
      </c>
      <c r="BA266">
        <v>0</v>
      </c>
      <c r="BB266">
        <v>0</v>
      </c>
      <c r="BC266">
        <v>-28</v>
      </c>
      <c r="BD266">
        <v>-13</v>
      </c>
      <c r="BE266">
        <v>-9</v>
      </c>
      <c r="BF266">
        <v>-3</v>
      </c>
      <c r="BG266">
        <v>9</v>
      </c>
      <c r="BH266">
        <v>8</v>
      </c>
      <c r="BI266">
        <v>5</v>
      </c>
      <c r="BJ266">
        <v>-7</v>
      </c>
      <c r="BK266">
        <v>2</v>
      </c>
      <c r="BL266">
        <v>2</v>
      </c>
      <c r="BM266">
        <v>-9</v>
      </c>
      <c r="BN266">
        <v>-8</v>
      </c>
      <c r="BO266">
        <v>-7</v>
      </c>
      <c r="BP266">
        <v>-12</v>
      </c>
      <c r="BQ266">
        <v>-10</v>
      </c>
      <c r="BR266">
        <v>-9</v>
      </c>
      <c r="BS266">
        <v>-13</v>
      </c>
      <c r="BT266">
        <v>-11</v>
      </c>
      <c r="BU266">
        <v>-14</v>
      </c>
      <c r="BV266">
        <v>-13</v>
      </c>
    </row>
    <row r="267" spans="1:74" x14ac:dyDescent="0.25">
      <c r="A267" t="s">
        <v>601</v>
      </c>
      <c r="B267" t="s">
        <v>110</v>
      </c>
      <c r="C267" t="s">
        <v>103</v>
      </c>
      <c r="D267">
        <v>-3.6429999999999998</v>
      </c>
      <c r="E267">
        <v>-26</v>
      </c>
      <c r="F267">
        <v>-23</v>
      </c>
      <c r="G267">
        <v>-24</v>
      </c>
      <c r="H267">
        <v>-18</v>
      </c>
      <c r="I267">
        <v>-18</v>
      </c>
      <c r="J267">
        <v>-22</v>
      </c>
      <c r="K267">
        <v>-17</v>
      </c>
      <c r="L267">
        <v>-7</v>
      </c>
      <c r="M267">
        <v>-3</v>
      </c>
      <c r="N267">
        <v>2</v>
      </c>
      <c r="O267">
        <v>11</v>
      </c>
      <c r="P267">
        <v>17</v>
      </c>
      <c r="Q267">
        <v>13</v>
      </c>
      <c r="R267">
        <v>11</v>
      </c>
      <c r="S267">
        <v>8</v>
      </c>
      <c r="T267">
        <v>-5</v>
      </c>
      <c r="U267">
        <v>-33</v>
      </c>
      <c r="V267">
        <v>-43</v>
      </c>
      <c r="W267">
        <v>-30</v>
      </c>
      <c r="X267">
        <v>-19</v>
      </c>
      <c r="Y267">
        <v>-4</v>
      </c>
      <c r="Z267">
        <v>9</v>
      </c>
      <c r="AA267">
        <v>16</v>
      </c>
      <c r="AB267">
        <v>18</v>
      </c>
      <c r="AC267">
        <v>10</v>
      </c>
      <c r="AD267">
        <v>8</v>
      </c>
      <c r="AE267">
        <v>7</v>
      </c>
      <c r="AF267">
        <v>-4</v>
      </c>
      <c r="AG267">
        <v>-4</v>
      </c>
      <c r="AH267">
        <v>-2</v>
      </c>
      <c r="AI267">
        <v>1</v>
      </c>
      <c r="AJ267">
        <v>5</v>
      </c>
      <c r="AK267">
        <v>5</v>
      </c>
      <c r="AL267">
        <v>0</v>
      </c>
      <c r="AM267">
        <v>2</v>
      </c>
      <c r="AN267">
        <v>3</v>
      </c>
      <c r="AO267">
        <v>2</v>
      </c>
      <c r="AP267">
        <v>4</v>
      </c>
      <c r="AQ267">
        <v>4</v>
      </c>
      <c r="AR267">
        <v>5</v>
      </c>
      <c r="AS267">
        <v>7</v>
      </c>
      <c r="AT267">
        <v>12</v>
      </c>
      <c r="AU267">
        <v>16</v>
      </c>
      <c r="AV267">
        <v>21</v>
      </c>
      <c r="AW267">
        <v>17</v>
      </c>
      <c r="AX267">
        <v>15</v>
      </c>
      <c r="AY267">
        <v>10</v>
      </c>
      <c r="AZ267">
        <v>2</v>
      </c>
      <c r="BA267">
        <v>-10</v>
      </c>
      <c r="BB267">
        <v>-10</v>
      </c>
      <c r="BC267">
        <v>-33</v>
      </c>
      <c r="BD267">
        <v>-21</v>
      </c>
      <c r="BE267">
        <v>-9</v>
      </c>
      <c r="BF267">
        <v>3</v>
      </c>
      <c r="BG267">
        <v>14</v>
      </c>
      <c r="BH267">
        <v>15</v>
      </c>
      <c r="BI267">
        <v>8</v>
      </c>
      <c r="BJ267">
        <v>-7</v>
      </c>
      <c r="BK267">
        <v>4</v>
      </c>
      <c r="BL267">
        <v>2</v>
      </c>
      <c r="BM267">
        <v>-12</v>
      </c>
      <c r="BN267">
        <v>-13</v>
      </c>
      <c r="BO267">
        <v>-14</v>
      </c>
      <c r="BP267">
        <v>-20</v>
      </c>
      <c r="BQ267">
        <v>-19</v>
      </c>
      <c r="BR267">
        <v>-17</v>
      </c>
      <c r="BS267">
        <v>-21</v>
      </c>
      <c r="BT267">
        <v>-18</v>
      </c>
      <c r="BU267">
        <v>-20</v>
      </c>
      <c r="BV267">
        <v>-16</v>
      </c>
    </row>
    <row r="268" spans="1:74" x14ac:dyDescent="0.25">
      <c r="A268" t="s">
        <v>602</v>
      </c>
      <c r="B268" t="s">
        <v>111</v>
      </c>
      <c r="C268" t="s">
        <v>103</v>
      </c>
      <c r="D268">
        <v>-13.170999999999999</v>
      </c>
      <c r="E268">
        <v>-35</v>
      </c>
      <c r="F268">
        <v>-38</v>
      </c>
      <c r="G268">
        <v>-42</v>
      </c>
      <c r="H268">
        <v>-46</v>
      </c>
      <c r="I268">
        <v>-41</v>
      </c>
      <c r="J268">
        <v>-33</v>
      </c>
      <c r="K268">
        <v>-34</v>
      </c>
      <c r="L268">
        <v>-20</v>
      </c>
      <c r="M268">
        <v>-6</v>
      </c>
      <c r="N268">
        <v>-9</v>
      </c>
      <c r="O268">
        <v>2</v>
      </c>
      <c r="P268">
        <v>14</v>
      </c>
      <c r="Q268">
        <v>-5</v>
      </c>
      <c r="R268">
        <v>-8</v>
      </c>
      <c r="S268">
        <v>-1</v>
      </c>
      <c r="T268">
        <v>-19</v>
      </c>
      <c r="U268">
        <v>-32</v>
      </c>
      <c r="V268">
        <v>-28</v>
      </c>
      <c r="W268">
        <v>-29</v>
      </c>
      <c r="X268">
        <v>-21</v>
      </c>
      <c r="Y268">
        <v>-11</v>
      </c>
      <c r="Z268">
        <v>-14</v>
      </c>
      <c r="AA268">
        <v>-4</v>
      </c>
      <c r="AB268">
        <v>-2</v>
      </c>
      <c r="AC268">
        <v>-8</v>
      </c>
      <c r="AD268">
        <v>-2</v>
      </c>
      <c r="AE268">
        <v>2</v>
      </c>
      <c r="AF268">
        <v>-4</v>
      </c>
      <c r="AG268">
        <v>-5</v>
      </c>
      <c r="AH268">
        <v>-6</v>
      </c>
      <c r="AI268">
        <v>-12</v>
      </c>
      <c r="AJ268">
        <v>-12</v>
      </c>
      <c r="AK268">
        <v>-11</v>
      </c>
      <c r="AL268">
        <v>-15</v>
      </c>
      <c r="AM268">
        <v>-12</v>
      </c>
      <c r="AN268">
        <v>-21</v>
      </c>
      <c r="AO268">
        <v>-8</v>
      </c>
      <c r="AP268">
        <v>-13</v>
      </c>
      <c r="AQ268">
        <v>-10</v>
      </c>
      <c r="AR268">
        <v>-12</v>
      </c>
      <c r="AS268">
        <v>-18</v>
      </c>
      <c r="AT268">
        <v>-5</v>
      </c>
      <c r="AU268">
        <v>-5</v>
      </c>
      <c r="AV268">
        <v>4</v>
      </c>
      <c r="AW268">
        <v>-14</v>
      </c>
      <c r="AX268">
        <v>-3</v>
      </c>
      <c r="AY268">
        <v>-6</v>
      </c>
      <c r="AZ268">
        <v>-11</v>
      </c>
      <c r="BA268">
        <v>-14</v>
      </c>
      <c r="BB268">
        <v>-14</v>
      </c>
      <c r="BC268">
        <v>-23</v>
      </c>
      <c r="BD268">
        <v>-19</v>
      </c>
      <c r="BE268">
        <v>-15</v>
      </c>
      <c r="BF268">
        <v>-8</v>
      </c>
      <c r="BG268">
        <v>-4</v>
      </c>
      <c r="BH268">
        <v>11</v>
      </c>
      <c r="BI268">
        <v>6</v>
      </c>
      <c r="BJ268">
        <v>-3</v>
      </c>
      <c r="BK268">
        <v>-9</v>
      </c>
      <c r="BL268">
        <v>-11</v>
      </c>
      <c r="BM268">
        <v>-9</v>
      </c>
      <c r="BN268">
        <v>-20</v>
      </c>
      <c r="BO268">
        <v>-12</v>
      </c>
      <c r="BP268">
        <v>-13</v>
      </c>
      <c r="BQ268">
        <v>-26</v>
      </c>
      <c r="BR268">
        <v>-12</v>
      </c>
      <c r="BS268">
        <v>-13</v>
      </c>
      <c r="BT268">
        <v>-21</v>
      </c>
      <c r="BU268">
        <v>-11</v>
      </c>
      <c r="BV268">
        <v>-13</v>
      </c>
    </row>
    <row r="269" spans="1:74" x14ac:dyDescent="0.25">
      <c r="A269" t="s">
        <v>603</v>
      </c>
      <c r="B269" t="s">
        <v>112</v>
      </c>
      <c r="C269" t="s">
        <v>103</v>
      </c>
      <c r="D269">
        <v>-0.94299999999999995</v>
      </c>
      <c r="E269">
        <v>-24</v>
      </c>
      <c r="F269">
        <v>-15</v>
      </c>
      <c r="G269">
        <v>-19</v>
      </c>
      <c r="H269">
        <v>-21</v>
      </c>
      <c r="I269">
        <v>-17</v>
      </c>
      <c r="J269">
        <v>-21</v>
      </c>
      <c r="K269">
        <v>-18</v>
      </c>
      <c r="L269">
        <v>-10</v>
      </c>
      <c r="M269">
        <v>-11</v>
      </c>
      <c r="N269">
        <v>0</v>
      </c>
      <c r="O269">
        <v>-2</v>
      </c>
      <c r="P269">
        <v>6</v>
      </c>
      <c r="Q269">
        <v>7</v>
      </c>
      <c r="R269">
        <v>5</v>
      </c>
      <c r="S269">
        <v>-1</v>
      </c>
      <c r="T269">
        <v>-6</v>
      </c>
      <c r="U269">
        <v>-12</v>
      </c>
      <c r="V269">
        <v>-12</v>
      </c>
      <c r="W269">
        <v>-10</v>
      </c>
      <c r="X269">
        <v>-6</v>
      </c>
      <c r="Y269">
        <v>-1</v>
      </c>
      <c r="Z269">
        <v>2</v>
      </c>
      <c r="AA269">
        <v>6</v>
      </c>
      <c r="AB269">
        <v>2</v>
      </c>
      <c r="AC269">
        <v>4</v>
      </c>
      <c r="AD269">
        <v>5</v>
      </c>
      <c r="AE269">
        <v>5</v>
      </c>
      <c r="AF269">
        <v>2</v>
      </c>
      <c r="AG269">
        <v>6</v>
      </c>
      <c r="AH269">
        <v>8</v>
      </c>
      <c r="AI269">
        <v>5</v>
      </c>
      <c r="AJ269">
        <v>9</v>
      </c>
      <c r="AK269">
        <v>5</v>
      </c>
      <c r="AL269">
        <v>10</v>
      </c>
      <c r="AM269">
        <v>9</v>
      </c>
      <c r="AN269">
        <v>12</v>
      </c>
      <c r="AO269">
        <v>8</v>
      </c>
      <c r="AP269">
        <v>14</v>
      </c>
      <c r="AQ269">
        <v>9</v>
      </c>
      <c r="AR269">
        <v>12</v>
      </c>
      <c r="AS269">
        <v>9</v>
      </c>
      <c r="AT269">
        <v>10</v>
      </c>
      <c r="AU269">
        <v>13</v>
      </c>
      <c r="AV269">
        <v>16</v>
      </c>
      <c r="AW269">
        <v>10</v>
      </c>
      <c r="AX269">
        <v>13</v>
      </c>
      <c r="AY269">
        <v>9</v>
      </c>
      <c r="AZ269">
        <v>11</v>
      </c>
      <c r="BA269">
        <v>5</v>
      </c>
      <c r="BB269">
        <v>5</v>
      </c>
      <c r="BC269">
        <v>-17</v>
      </c>
      <c r="BD269">
        <v>-5</v>
      </c>
      <c r="BE269">
        <v>-5</v>
      </c>
      <c r="BF269">
        <v>2</v>
      </c>
      <c r="BG269">
        <v>7</v>
      </c>
      <c r="BH269">
        <v>-3</v>
      </c>
      <c r="BI269">
        <v>-1</v>
      </c>
      <c r="BJ269">
        <v>-11</v>
      </c>
      <c r="BK269">
        <v>-3</v>
      </c>
      <c r="BL269">
        <v>-5</v>
      </c>
      <c r="BM269">
        <v>-12</v>
      </c>
      <c r="BN269">
        <v>-8</v>
      </c>
      <c r="BO269">
        <v>-2</v>
      </c>
      <c r="BP269">
        <v>-5</v>
      </c>
      <c r="BQ269">
        <v>-3</v>
      </c>
      <c r="BR269">
        <v>-5</v>
      </c>
      <c r="BS269">
        <v>-13</v>
      </c>
      <c r="BT269">
        <v>-9</v>
      </c>
      <c r="BU269">
        <v>-8</v>
      </c>
      <c r="BV269">
        <v>-6</v>
      </c>
    </row>
    <row r="270" spans="1:74" x14ac:dyDescent="0.25">
      <c r="A270" t="s">
        <v>604</v>
      </c>
      <c r="B270" t="s">
        <v>113</v>
      </c>
      <c r="C270" t="s">
        <v>103</v>
      </c>
      <c r="D270">
        <v>-10.814</v>
      </c>
      <c r="E270">
        <v>-21</v>
      </c>
      <c r="F270">
        <v>-24</v>
      </c>
      <c r="G270">
        <v>-16</v>
      </c>
      <c r="H270">
        <v>-26</v>
      </c>
      <c r="I270">
        <v>-31</v>
      </c>
      <c r="J270">
        <v>-41</v>
      </c>
      <c r="K270">
        <v>-33</v>
      </c>
      <c r="L270">
        <v>-22</v>
      </c>
      <c r="M270">
        <v>-20</v>
      </c>
      <c r="N270">
        <v>-12</v>
      </c>
      <c r="O270">
        <v>-5</v>
      </c>
      <c r="P270">
        <v>3</v>
      </c>
      <c r="Q270">
        <v>-13</v>
      </c>
      <c r="R270">
        <v>-16</v>
      </c>
      <c r="S270">
        <v>-24</v>
      </c>
      <c r="T270">
        <v>-35</v>
      </c>
      <c r="U270">
        <v>-37</v>
      </c>
      <c r="V270">
        <v>-35</v>
      </c>
      <c r="W270">
        <v>-32</v>
      </c>
      <c r="X270">
        <v>-21</v>
      </c>
      <c r="Y270">
        <v>-20</v>
      </c>
      <c r="Z270">
        <v>-10</v>
      </c>
      <c r="AA270">
        <v>-14</v>
      </c>
      <c r="AB270">
        <v>-11</v>
      </c>
      <c r="AC270">
        <v>-14</v>
      </c>
      <c r="AD270">
        <v>-6</v>
      </c>
      <c r="AE270">
        <v>-13</v>
      </c>
      <c r="AF270">
        <v>-12</v>
      </c>
      <c r="AG270">
        <v>-9</v>
      </c>
      <c r="AH270">
        <v>0</v>
      </c>
      <c r="AI270">
        <v>-11</v>
      </c>
      <c r="AJ270">
        <v>-3</v>
      </c>
      <c r="AK270">
        <v>1</v>
      </c>
      <c r="AL270">
        <v>-1</v>
      </c>
      <c r="AM270">
        <v>1</v>
      </c>
      <c r="AN270">
        <v>4</v>
      </c>
      <c r="AO270">
        <v>4</v>
      </c>
      <c r="AP270">
        <v>9</v>
      </c>
      <c r="AQ270">
        <v>9</v>
      </c>
      <c r="AR270">
        <v>9</v>
      </c>
      <c r="AS270">
        <v>1</v>
      </c>
      <c r="AT270">
        <v>4</v>
      </c>
      <c r="AU270">
        <v>11</v>
      </c>
      <c r="AV270">
        <v>8</v>
      </c>
      <c r="AW270">
        <v>13</v>
      </c>
      <c r="AX270">
        <v>15</v>
      </c>
      <c r="AY270">
        <v>9</v>
      </c>
      <c r="AZ270">
        <v>7</v>
      </c>
      <c r="BA270">
        <v>2</v>
      </c>
      <c r="BB270">
        <v>0</v>
      </c>
      <c r="BC270">
        <v>-37</v>
      </c>
      <c r="BD270">
        <v>-24</v>
      </c>
      <c r="BE270">
        <v>-22</v>
      </c>
      <c r="BF270">
        <v>-22</v>
      </c>
      <c r="BG270">
        <v>5</v>
      </c>
      <c r="BH270">
        <v>-3</v>
      </c>
      <c r="BI270">
        <v>7</v>
      </c>
      <c r="BJ270">
        <v>-17</v>
      </c>
      <c r="BK270">
        <v>-3</v>
      </c>
      <c r="BL270">
        <v>-3</v>
      </c>
      <c r="BM270">
        <v>-13</v>
      </c>
      <c r="BN270">
        <v>-12</v>
      </c>
      <c r="BO270">
        <v>-2</v>
      </c>
      <c r="BP270">
        <v>-12</v>
      </c>
      <c r="BQ270">
        <v>-16</v>
      </c>
      <c r="BR270">
        <v>-22</v>
      </c>
      <c r="BS270">
        <v>-24</v>
      </c>
      <c r="BT270">
        <v>-20</v>
      </c>
      <c r="BU270">
        <v>-20</v>
      </c>
      <c r="BV270">
        <v>-19</v>
      </c>
    </row>
    <row r="271" spans="1:74" x14ac:dyDescent="0.25">
      <c r="A271" t="s">
        <v>605</v>
      </c>
      <c r="B271" t="s">
        <v>114</v>
      </c>
      <c r="C271" t="s">
        <v>103</v>
      </c>
      <c r="D271">
        <v>-14.7</v>
      </c>
      <c r="E271">
        <v>-42</v>
      </c>
      <c r="F271">
        <v>-37</v>
      </c>
      <c r="G271">
        <v>-39</v>
      </c>
      <c r="H271">
        <v>-32</v>
      </c>
      <c r="I271">
        <v>-30</v>
      </c>
      <c r="J271">
        <v>-30</v>
      </c>
      <c r="K271">
        <v>-33</v>
      </c>
      <c r="L271">
        <v>-24</v>
      </c>
      <c r="M271">
        <v>-18</v>
      </c>
      <c r="N271">
        <v>-19</v>
      </c>
      <c r="O271">
        <v>-3</v>
      </c>
      <c r="P271">
        <v>0</v>
      </c>
      <c r="Q271">
        <v>-6</v>
      </c>
      <c r="R271">
        <v>-9</v>
      </c>
      <c r="S271">
        <v>-14</v>
      </c>
      <c r="T271">
        <v>-21</v>
      </c>
      <c r="U271">
        <v>-39</v>
      </c>
      <c r="V271">
        <v>-50</v>
      </c>
      <c r="W271">
        <v>-28</v>
      </c>
      <c r="X271">
        <v>-23</v>
      </c>
      <c r="Y271">
        <v>-12</v>
      </c>
      <c r="Z271">
        <v>-3</v>
      </c>
      <c r="AA271">
        <v>4</v>
      </c>
      <c r="AB271">
        <v>5</v>
      </c>
      <c r="AC271">
        <v>2</v>
      </c>
      <c r="AD271">
        <v>-4</v>
      </c>
      <c r="AE271">
        <v>-4</v>
      </c>
      <c r="AF271">
        <v>-12</v>
      </c>
      <c r="AG271">
        <v>-11</v>
      </c>
      <c r="AH271">
        <v>-8</v>
      </c>
      <c r="AI271">
        <v>-3</v>
      </c>
      <c r="AJ271">
        <v>2</v>
      </c>
      <c r="AK271">
        <v>-3</v>
      </c>
      <c r="AL271">
        <v>-8</v>
      </c>
      <c r="AM271">
        <v>-4</v>
      </c>
      <c r="AN271">
        <v>1</v>
      </c>
      <c r="AO271">
        <v>-6</v>
      </c>
      <c r="AP271">
        <v>-3</v>
      </c>
      <c r="AQ271">
        <v>-1</v>
      </c>
      <c r="AR271">
        <v>-4</v>
      </c>
      <c r="AS271">
        <v>2</v>
      </c>
      <c r="AT271">
        <v>-6</v>
      </c>
      <c r="AU271">
        <v>4</v>
      </c>
      <c r="AV271">
        <v>3</v>
      </c>
      <c r="AW271">
        <v>-2</v>
      </c>
      <c r="AX271">
        <v>-2</v>
      </c>
      <c r="AY271">
        <v>-6</v>
      </c>
      <c r="AZ271">
        <v>-4</v>
      </c>
      <c r="BA271">
        <v>-19</v>
      </c>
      <c r="BB271">
        <v>-12</v>
      </c>
      <c r="BC271">
        <v>-48</v>
      </c>
      <c r="BD271">
        <v>-27</v>
      </c>
      <c r="BE271">
        <v>-18</v>
      </c>
      <c r="BF271">
        <v>-25</v>
      </c>
      <c r="BG271">
        <v>-1</v>
      </c>
      <c r="BH271">
        <v>0</v>
      </c>
      <c r="BI271">
        <v>0</v>
      </c>
      <c r="BJ271">
        <v>-20</v>
      </c>
      <c r="BK271">
        <v>-9</v>
      </c>
      <c r="BL271">
        <v>-14</v>
      </c>
      <c r="BM271">
        <v>-22</v>
      </c>
      <c r="BN271">
        <v>-29</v>
      </c>
      <c r="BO271">
        <v>-25</v>
      </c>
      <c r="BP271">
        <v>-26</v>
      </c>
      <c r="BQ271">
        <v>-26</v>
      </c>
      <c r="BR271">
        <v>-26</v>
      </c>
      <c r="BS271">
        <v>-25</v>
      </c>
      <c r="BT271">
        <v>-28</v>
      </c>
      <c r="BU271">
        <v>-27</v>
      </c>
      <c r="BV271">
        <v>-22</v>
      </c>
    </row>
    <row r="272" spans="1:74" x14ac:dyDescent="0.25">
      <c r="A272" t="s">
        <v>606</v>
      </c>
      <c r="B272" t="s">
        <v>115</v>
      </c>
      <c r="C272" t="s">
        <v>103</v>
      </c>
      <c r="D272">
        <v>-15.443</v>
      </c>
      <c r="E272">
        <v>-41</v>
      </c>
      <c r="F272">
        <v>-38</v>
      </c>
      <c r="G272">
        <v>-41</v>
      </c>
      <c r="H272">
        <v>-31</v>
      </c>
      <c r="I272">
        <v>-29</v>
      </c>
      <c r="J272">
        <v>-31</v>
      </c>
      <c r="K272">
        <v>-33</v>
      </c>
      <c r="L272">
        <v>-26</v>
      </c>
      <c r="M272">
        <v>-19</v>
      </c>
      <c r="N272">
        <v>-20</v>
      </c>
      <c r="O272">
        <v>2</v>
      </c>
      <c r="P272">
        <v>7</v>
      </c>
      <c r="Q272">
        <v>-9</v>
      </c>
      <c r="R272">
        <v>-14</v>
      </c>
      <c r="S272">
        <v>-20</v>
      </c>
      <c r="T272">
        <v>-27</v>
      </c>
      <c r="U272">
        <v>-45</v>
      </c>
      <c r="V272">
        <v>-58</v>
      </c>
      <c r="W272">
        <v>-29</v>
      </c>
      <c r="X272">
        <v>-21</v>
      </c>
      <c r="Y272">
        <v>-12</v>
      </c>
      <c r="Z272">
        <v>-5</v>
      </c>
      <c r="AA272">
        <v>0</v>
      </c>
      <c r="AB272">
        <v>3</v>
      </c>
      <c r="AC272">
        <v>-2</v>
      </c>
      <c r="AD272">
        <v>-11</v>
      </c>
      <c r="AE272">
        <v>-9</v>
      </c>
      <c r="AF272">
        <v>-19</v>
      </c>
      <c r="AG272">
        <v>-16</v>
      </c>
      <c r="AH272">
        <v>-12</v>
      </c>
      <c r="AI272">
        <v>-9</v>
      </c>
      <c r="AJ272">
        <v>-3</v>
      </c>
      <c r="AK272">
        <v>-5</v>
      </c>
      <c r="AL272">
        <v>-7</v>
      </c>
      <c r="AM272">
        <v>-6</v>
      </c>
      <c r="AN272">
        <v>-3</v>
      </c>
      <c r="AO272">
        <v>-4</v>
      </c>
      <c r="AP272">
        <v>-3</v>
      </c>
      <c r="AQ272">
        <v>0</v>
      </c>
      <c r="AR272">
        <v>-1</v>
      </c>
      <c r="AS272">
        <v>6</v>
      </c>
      <c r="AT272">
        <v>-3</v>
      </c>
      <c r="AU272">
        <v>1</v>
      </c>
      <c r="AV272">
        <v>-1</v>
      </c>
      <c r="AW272">
        <v>-6</v>
      </c>
      <c r="AX272">
        <v>2</v>
      </c>
      <c r="AY272">
        <v>-1</v>
      </c>
      <c r="AZ272">
        <v>-12</v>
      </c>
      <c r="BA272">
        <v>-22</v>
      </c>
      <c r="BB272">
        <v>-12</v>
      </c>
      <c r="BC272">
        <v>-45</v>
      </c>
      <c r="BD272">
        <v>-25</v>
      </c>
      <c r="BE272">
        <v>-10</v>
      </c>
      <c r="BF272">
        <v>-25</v>
      </c>
      <c r="BG272">
        <v>1</v>
      </c>
      <c r="BH272">
        <v>2</v>
      </c>
      <c r="BI272">
        <v>2</v>
      </c>
      <c r="BJ272">
        <v>-22</v>
      </c>
      <c r="BK272">
        <v>-7</v>
      </c>
      <c r="BL272">
        <v>-17</v>
      </c>
      <c r="BM272">
        <v>-28</v>
      </c>
      <c r="BN272">
        <v>-29</v>
      </c>
      <c r="BO272">
        <v>-27</v>
      </c>
      <c r="BP272">
        <v>-28</v>
      </c>
      <c r="BQ272">
        <v>-23</v>
      </c>
      <c r="BR272">
        <v>-24</v>
      </c>
      <c r="BS272">
        <v>-21</v>
      </c>
      <c r="BT272">
        <v>-24</v>
      </c>
      <c r="BU272">
        <v>-23</v>
      </c>
      <c r="BV272">
        <v>-13</v>
      </c>
    </row>
    <row r="273" spans="1:74" x14ac:dyDescent="0.25">
      <c r="A273" t="s">
        <v>607</v>
      </c>
      <c r="B273" t="s">
        <v>116</v>
      </c>
      <c r="C273" t="s">
        <v>103</v>
      </c>
      <c r="D273">
        <v>-9.1430000000000007</v>
      </c>
      <c r="E273">
        <v>-29</v>
      </c>
      <c r="F273">
        <v>-25</v>
      </c>
      <c r="G273">
        <v>-22</v>
      </c>
      <c r="H273">
        <v>-25</v>
      </c>
      <c r="I273">
        <v>-24</v>
      </c>
      <c r="J273">
        <v>-23</v>
      </c>
      <c r="K273">
        <v>-27</v>
      </c>
      <c r="L273">
        <v>-12</v>
      </c>
      <c r="M273">
        <v>-12</v>
      </c>
      <c r="N273">
        <v>-10</v>
      </c>
      <c r="O273">
        <v>4</v>
      </c>
      <c r="P273">
        <v>3</v>
      </c>
      <c r="Q273">
        <v>-5</v>
      </c>
      <c r="R273">
        <v>-5</v>
      </c>
      <c r="S273">
        <v>-9</v>
      </c>
      <c r="T273">
        <v>-27</v>
      </c>
      <c r="U273">
        <v>-45</v>
      </c>
      <c r="V273">
        <v>-51</v>
      </c>
      <c r="W273">
        <v>-33</v>
      </c>
      <c r="X273">
        <v>-25</v>
      </c>
      <c r="Y273">
        <v>-9</v>
      </c>
      <c r="Z273">
        <v>-6</v>
      </c>
      <c r="AA273">
        <v>7</v>
      </c>
      <c r="AB273">
        <v>16</v>
      </c>
      <c r="AC273">
        <v>6</v>
      </c>
      <c r="AD273">
        <v>-3</v>
      </c>
      <c r="AE273">
        <v>0</v>
      </c>
      <c r="AF273">
        <v>-11</v>
      </c>
      <c r="AG273">
        <v>-8</v>
      </c>
      <c r="AH273">
        <v>-9</v>
      </c>
      <c r="AI273">
        <v>-5</v>
      </c>
      <c r="AJ273">
        <v>-11</v>
      </c>
      <c r="AK273">
        <v>-6</v>
      </c>
      <c r="AL273">
        <v>-12</v>
      </c>
      <c r="AM273">
        <v>-10</v>
      </c>
      <c r="AN273">
        <v>-3</v>
      </c>
      <c r="AO273">
        <v>-4</v>
      </c>
      <c r="AP273">
        <v>-4</v>
      </c>
      <c r="AQ273">
        <v>0</v>
      </c>
      <c r="AR273">
        <v>4</v>
      </c>
      <c r="AS273">
        <v>5</v>
      </c>
      <c r="AT273">
        <v>11</v>
      </c>
      <c r="AU273">
        <v>13</v>
      </c>
      <c r="AV273">
        <v>11</v>
      </c>
      <c r="AW273">
        <v>19</v>
      </c>
      <c r="AX273">
        <v>8</v>
      </c>
      <c r="AY273">
        <v>7</v>
      </c>
      <c r="AZ273">
        <v>9</v>
      </c>
      <c r="BA273">
        <v>-1</v>
      </c>
      <c r="BB273">
        <v>7</v>
      </c>
      <c r="BC273">
        <v>-16</v>
      </c>
      <c r="BD273">
        <v>-5</v>
      </c>
      <c r="BE273">
        <v>3</v>
      </c>
      <c r="BF273">
        <v>12</v>
      </c>
      <c r="BG273">
        <v>15</v>
      </c>
      <c r="BH273">
        <v>19</v>
      </c>
      <c r="BI273">
        <v>8</v>
      </c>
      <c r="BJ273">
        <v>-17</v>
      </c>
      <c r="BK273">
        <v>-7</v>
      </c>
      <c r="BL273">
        <v>-11</v>
      </c>
      <c r="BM273">
        <v>-40</v>
      </c>
      <c r="BN273">
        <v>-31</v>
      </c>
      <c r="BO273">
        <v>-20</v>
      </c>
      <c r="BP273">
        <v>-35</v>
      </c>
      <c r="BQ273">
        <v>-24</v>
      </c>
      <c r="BR273">
        <v>-19</v>
      </c>
      <c r="BS273">
        <v>-21</v>
      </c>
      <c r="BT273">
        <v>-21</v>
      </c>
      <c r="BU273">
        <v>-26</v>
      </c>
      <c r="BV273">
        <v>-23</v>
      </c>
    </row>
    <row r="274" spans="1:74" x14ac:dyDescent="0.25">
      <c r="A274" t="s">
        <v>608</v>
      </c>
      <c r="B274" t="s">
        <v>117</v>
      </c>
      <c r="C274" t="s">
        <v>103</v>
      </c>
      <c r="D274">
        <v>-11.6</v>
      </c>
      <c r="E274">
        <v>-26</v>
      </c>
      <c r="F274">
        <v>-24</v>
      </c>
      <c r="G274">
        <v>-28</v>
      </c>
      <c r="H274">
        <v>-27</v>
      </c>
      <c r="I274">
        <v>-27</v>
      </c>
      <c r="J274">
        <v>-32</v>
      </c>
      <c r="K274">
        <v>-23</v>
      </c>
      <c r="L274">
        <v>-18</v>
      </c>
      <c r="M274">
        <v>-13</v>
      </c>
      <c r="N274">
        <v>-9</v>
      </c>
      <c r="O274">
        <v>0</v>
      </c>
      <c r="P274">
        <v>3</v>
      </c>
      <c r="Q274">
        <v>-3</v>
      </c>
      <c r="R274">
        <v>4</v>
      </c>
      <c r="S274">
        <v>-3</v>
      </c>
      <c r="T274">
        <v>-10</v>
      </c>
      <c r="U274">
        <v>-37</v>
      </c>
      <c r="V274">
        <v>-40</v>
      </c>
      <c r="W274">
        <v>-29</v>
      </c>
      <c r="X274">
        <v>-23</v>
      </c>
      <c r="Y274">
        <v>-15</v>
      </c>
      <c r="Z274">
        <v>4</v>
      </c>
      <c r="AA274">
        <v>8</v>
      </c>
      <c r="AB274">
        <v>7</v>
      </c>
      <c r="AC274">
        <v>-6</v>
      </c>
      <c r="AD274">
        <v>-2</v>
      </c>
      <c r="AE274">
        <v>-5</v>
      </c>
      <c r="AF274">
        <v>-12</v>
      </c>
      <c r="AG274">
        <v>-5</v>
      </c>
      <c r="AH274">
        <v>-8</v>
      </c>
      <c r="AI274">
        <v>-9</v>
      </c>
      <c r="AJ274">
        <v>-4</v>
      </c>
      <c r="AK274">
        <v>-11</v>
      </c>
      <c r="AL274">
        <v>-10</v>
      </c>
      <c r="AM274">
        <v>-11</v>
      </c>
      <c r="AN274">
        <v>-7</v>
      </c>
      <c r="AO274">
        <v>3</v>
      </c>
      <c r="AP274">
        <v>1</v>
      </c>
      <c r="AQ274">
        <v>-6</v>
      </c>
      <c r="AR274">
        <v>-1</v>
      </c>
      <c r="AS274">
        <v>-3</v>
      </c>
      <c r="AT274">
        <v>7</v>
      </c>
      <c r="AU274">
        <v>6</v>
      </c>
      <c r="AV274">
        <v>16</v>
      </c>
      <c r="AW274">
        <v>12</v>
      </c>
      <c r="AX274">
        <v>2</v>
      </c>
      <c r="AY274">
        <v>-3</v>
      </c>
      <c r="AZ274">
        <v>-8</v>
      </c>
      <c r="BA274">
        <v>-14</v>
      </c>
      <c r="BB274">
        <v>-14</v>
      </c>
      <c r="BC274">
        <v>-26</v>
      </c>
      <c r="BD274">
        <v>-23</v>
      </c>
      <c r="BE274">
        <v>-14</v>
      </c>
      <c r="BF274">
        <v>0</v>
      </c>
      <c r="BG274">
        <v>10</v>
      </c>
      <c r="BH274">
        <v>12</v>
      </c>
      <c r="BI274">
        <v>-2</v>
      </c>
      <c r="BJ274">
        <v>-11</v>
      </c>
      <c r="BK274">
        <v>-12</v>
      </c>
      <c r="BL274">
        <v>-12</v>
      </c>
      <c r="BM274">
        <v>-30</v>
      </c>
      <c r="BN274">
        <v>-31</v>
      </c>
      <c r="BO274">
        <v>-18</v>
      </c>
      <c r="BP274">
        <v>-27</v>
      </c>
      <c r="BQ274">
        <v>-26</v>
      </c>
      <c r="BR274">
        <v>-26</v>
      </c>
      <c r="BS274">
        <v>-27</v>
      </c>
      <c r="BT274">
        <v>-34</v>
      </c>
      <c r="BU274">
        <v>-33</v>
      </c>
      <c r="BV274">
        <v>-29</v>
      </c>
    </row>
    <row r="275" spans="1:74" x14ac:dyDescent="0.25">
      <c r="A275" t="s">
        <v>609</v>
      </c>
      <c r="B275" t="s">
        <v>118</v>
      </c>
      <c r="C275" t="s">
        <v>103</v>
      </c>
      <c r="D275">
        <v>-17.829000000000001</v>
      </c>
      <c r="E275">
        <v>-39</v>
      </c>
      <c r="F275">
        <v>-36</v>
      </c>
      <c r="G275">
        <v>-37</v>
      </c>
      <c r="H275">
        <v>-24</v>
      </c>
      <c r="I275">
        <v>-27</v>
      </c>
      <c r="J275">
        <v>-25</v>
      </c>
      <c r="K275">
        <v>-19</v>
      </c>
      <c r="L275">
        <v>-9</v>
      </c>
      <c r="M275">
        <v>-8</v>
      </c>
      <c r="N275">
        <v>-9</v>
      </c>
      <c r="O275">
        <v>-4</v>
      </c>
      <c r="P275">
        <v>3</v>
      </c>
      <c r="Q275">
        <v>-1</v>
      </c>
      <c r="R275">
        <v>-9</v>
      </c>
      <c r="S275">
        <v>-7</v>
      </c>
      <c r="T275">
        <v>-20</v>
      </c>
      <c r="U275">
        <v>-31</v>
      </c>
      <c r="V275">
        <v>-41</v>
      </c>
      <c r="W275">
        <v>-32</v>
      </c>
      <c r="X275">
        <v>-28</v>
      </c>
      <c r="Y275">
        <v>-18</v>
      </c>
      <c r="Z275">
        <v>-18</v>
      </c>
      <c r="AA275">
        <v>-10</v>
      </c>
      <c r="AB275">
        <v>-10</v>
      </c>
      <c r="AC275">
        <v>-12</v>
      </c>
      <c r="AD275">
        <v>-17</v>
      </c>
      <c r="AE275">
        <v>-14</v>
      </c>
      <c r="AF275">
        <v>-15</v>
      </c>
      <c r="AG275">
        <v>-12</v>
      </c>
      <c r="AH275">
        <v>-8</v>
      </c>
      <c r="AI275">
        <v>-14</v>
      </c>
      <c r="AJ275">
        <v>-13</v>
      </c>
      <c r="AK275">
        <v>-11</v>
      </c>
      <c r="AL275">
        <v>-16</v>
      </c>
      <c r="AM275">
        <v>-11</v>
      </c>
      <c r="AN275">
        <v>-12</v>
      </c>
      <c r="AO275">
        <v>-7</v>
      </c>
      <c r="AP275">
        <v>-5</v>
      </c>
      <c r="AQ275">
        <v>-10</v>
      </c>
      <c r="AR275">
        <v>-10</v>
      </c>
      <c r="AS275">
        <v>-16</v>
      </c>
      <c r="AT275">
        <v>-7</v>
      </c>
      <c r="AU275">
        <v>-2</v>
      </c>
      <c r="AV275">
        <v>-6</v>
      </c>
      <c r="AW275">
        <v>-10</v>
      </c>
      <c r="AX275">
        <v>-7</v>
      </c>
      <c r="AY275">
        <v>-14</v>
      </c>
      <c r="AZ275">
        <v>-8</v>
      </c>
      <c r="BA275">
        <v>-15</v>
      </c>
      <c r="BB275">
        <v>-20</v>
      </c>
      <c r="BC275">
        <v>-46</v>
      </c>
      <c r="BD275">
        <v>-33</v>
      </c>
      <c r="BE275">
        <v>-29</v>
      </c>
      <c r="BF275">
        <v>-23</v>
      </c>
      <c r="BG275">
        <v>-2</v>
      </c>
      <c r="BH275">
        <v>-15</v>
      </c>
      <c r="BI275">
        <v>-5</v>
      </c>
      <c r="BJ275">
        <v>-18</v>
      </c>
      <c r="BK275">
        <v>-15</v>
      </c>
      <c r="BL275">
        <v>-21</v>
      </c>
      <c r="BM275">
        <v>-24</v>
      </c>
      <c r="BN275">
        <v>-24</v>
      </c>
      <c r="BO275">
        <v>-26</v>
      </c>
      <c r="BP275">
        <v>-29</v>
      </c>
      <c r="BQ275">
        <v>-29</v>
      </c>
      <c r="BR275">
        <v>-35</v>
      </c>
      <c r="BS275">
        <v>-34</v>
      </c>
      <c r="BT275">
        <v>-30</v>
      </c>
      <c r="BU275">
        <v>-34</v>
      </c>
      <c r="BV275">
        <v>-25</v>
      </c>
    </row>
    <row r="276" spans="1:74" x14ac:dyDescent="0.25">
      <c r="A276" t="s">
        <v>610</v>
      </c>
      <c r="B276" t="s">
        <v>119</v>
      </c>
      <c r="C276" t="s">
        <v>103</v>
      </c>
      <c r="D276">
        <v>-0.32900000000000001</v>
      </c>
      <c r="E276">
        <v>-14</v>
      </c>
      <c r="F276">
        <v>-21</v>
      </c>
      <c r="G276">
        <v>-26</v>
      </c>
      <c r="H276">
        <v>-18</v>
      </c>
      <c r="I276">
        <v>-15</v>
      </c>
      <c r="J276">
        <v>-18</v>
      </c>
      <c r="K276">
        <v>-15</v>
      </c>
      <c r="L276">
        <v>-10</v>
      </c>
      <c r="M276">
        <v>-4</v>
      </c>
      <c r="N276">
        <v>3</v>
      </c>
      <c r="O276">
        <v>8</v>
      </c>
      <c r="P276">
        <v>12</v>
      </c>
      <c r="Q276">
        <v>9</v>
      </c>
      <c r="R276">
        <v>9</v>
      </c>
      <c r="S276">
        <v>5</v>
      </c>
      <c r="T276">
        <v>-4</v>
      </c>
      <c r="U276">
        <v>-28</v>
      </c>
      <c r="V276">
        <v>-31</v>
      </c>
      <c r="W276">
        <v>-16</v>
      </c>
      <c r="X276">
        <v>-7</v>
      </c>
      <c r="Y276">
        <v>7</v>
      </c>
      <c r="Z276">
        <v>6</v>
      </c>
      <c r="AA276">
        <v>18</v>
      </c>
      <c r="AB276">
        <v>17</v>
      </c>
      <c r="AC276">
        <v>10</v>
      </c>
      <c r="AD276">
        <v>7</v>
      </c>
      <c r="AE276">
        <v>11</v>
      </c>
      <c r="AF276">
        <v>5</v>
      </c>
      <c r="AG276">
        <v>1</v>
      </c>
      <c r="AH276">
        <v>2</v>
      </c>
      <c r="AI276">
        <v>9</v>
      </c>
      <c r="AJ276">
        <v>9</v>
      </c>
      <c r="AK276">
        <v>11</v>
      </c>
      <c r="AL276">
        <v>1</v>
      </c>
      <c r="AM276">
        <v>7</v>
      </c>
      <c r="AN276">
        <v>8</v>
      </c>
      <c r="AO276">
        <v>8</v>
      </c>
      <c r="AP276">
        <v>12</v>
      </c>
      <c r="AQ276">
        <v>8</v>
      </c>
      <c r="AR276">
        <v>6</v>
      </c>
      <c r="AS276">
        <v>9</v>
      </c>
      <c r="AT276">
        <v>15</v>
      </c>
      <c r="AU276">
        <v>18</v>
      </c>
      <c r="AV276">
        <v>27</v>
      </c>
      <c r="AW276">
        <v>17</v>
      </c>
      <c r="AX276">
        <v>22</v>
      </c>
      <c r="AY276">
        <v>14</v>
      </c>
      <c r="AZ276">
        <v>7</v>
      </c>
      <c r="BA276">
        <v>1</v>
      </c>
      <c r="BB276">
        <v>-1</v>
      </c>
      <c r="BC276">
        <v>-21</v>
      </c>
      <c r="BD276">
        <v>-4</v>
      </c>
      <c r="BE276">
        <v>2</v>
      </c>
      <c r="BF276">
        <v>11</v>
      </c>
      <c r="BG276">
        <v>15</v>
      </c>
      <c r="BH276">
        <v>15</v>
      </c>
      <c r="BI276">
        <v>4</v>
      </c>
      <c r="BJ276">
        <v>-15</v>
      </c>
      <c r="BK276">
        <v>-1</v>
      </c>
      <c r="BL276">
        <v>0</v>
      </c>
      <c r="BM276">
        <v>-12</v>
      </c>
      <c r="BN276">
        <v>-10</v>
      </c>
      <c r="BO276">
        <v>-7</v>
      </c>
      <c r="BP276">
        <v>-11</v>
      </c>
      <c r="BQ276">
        <v>-14</v>
      </c>
      <c r="BR276">
        <v>-13</v>
      </c>
      <c r="BS276">
        <v>-25</v>
      </c>
      <c r="BT276">
        <v>-21</v>
      </c>
      <c r="BU276">
        <v>-13</v>
      </c>
      <c r="BV276">
        <v>-14</v>
      </c>
    </row>
    <row r="277" spans="1:74" x14ac:dyDescent="0.25">
      <c r="A277" t="s">
        <v>611</v>
      </c>
      <c r="B277" t="s">
        <v>120</v>
      </c>
      <c r="C277" t="s">
        <v>103</v>
      </c>
      <c r="D277">
        <v>11.757</v>
      </c>
      <c r="E277">
        <v>-2</v>
      </c>
      <c r="F277">
        <v>-14</v>
      </c>
      <c r="G277">
        <v>-10</v>
      </c>
      <c r="H277">
        <v>-7</v>
      </c>
      <c r="I277">
        <v>-1</v>
      </c>
      <c r="J277">
        <v>-2</v>
      </c>
      <c r="K277">
        <v>16</v>
      </c>
      <c r="L277">
        <v>17</v>
      </c>
      <c r="M277">
        <v>14</v>
      </c>
      <c r="N277">
        <v>4</v>
      </c>
      <c r="O277">
        <v>13</v>
      </c>
      <c r="P277">
        <v>17</v>
      </c>
      <c r="Q277">
        <v>22</v>
      </c>
      <c r="R277">
        <v>17</v>
      </c>
      <c r="S277">
        <v>21</v>
      </c>
      <c r="T277">
        <v>14</v>
      </c>
      <c r="U277">
        <v>1</v>
      </c>
      <c r="V277">
        <v>-12</v>
      </c>
      <c r="W277">
        <v>4</v>
      </c>
      <c r="X277">
        <v>1</v>
      </c>
      <c r="Y277">
        <v>2</v>
      </c>
      <c r="Z277">
        <v>7</v>
      </c>
      <c r="AA277">
        <v>5</v>
      </c>
      <c r="AB277">
        <v>7</v>
      </c>
      <c r="AC277">
        <v>23</v>
      </c>
      <c r="AD277">
        <v>22</v>
      </c>
      <c r="AE277">
        <v>18</v>
      </c>
      <c r="AF277">
        <v>9</v>
      </c>
      <c r="AG277">
        <v>18</v>
      </c>
      <c r="AH277">
        <v>13</v>
      </c>
      <c r="AI277">
        <v>27</v>
      </c>
      <c r="AJ277">
        <v>20</v>
      </c>
      <c r="AK277">
        <v>14</v>
      </c>
      <c r="AL277">
        <v>25</v>
      </c>
      <c r="AM277">
        <v>27</v>
      </c>
      <c r="AN277">
        <v>31</v>
      </c>
      <c r="AO277">
        <v>12</v>
      </c>
      <c r="AP277">
        <v>14</v>
      </c>
      <c r="AQ277">
        <v>30</v>
      </c>
      <c r="AR277">
        <v>21</v>
      </c>
      <c r="AS277">
        <v>13</v>
      </c>
      <c r="AT277">
        <v>18</v>
      </c>
      <c r="AU277">
        <v>17</v>
      </c>
      <c r="AV277">
        <v>25</v>
      </c>
      <c r="AW277">
        <v>15</v>
      </c>
      <c r="AX277">
        <v>21</v>
      </c>
      <c r="AY277">
        <v>17</v>
      </c>
      <c r="AZ277">
        <v>12</v>
      </c>
      <c r="BA277">
        <v>14</v>
      </c>
      <c r="BB277">
        <v>19</v>
      </c>
      <c r="BC277">
        <v>6</v>
      </c>
      <c r="BD277">
        <v>-5</v>
      </c>
      <c r="BE277">
        <v>11</v>
      </c>
      <c r="BF277">
        <v>15</v>
      </c>
      <c r="BG277">
        <v>10</v>
      </c>
      <c r="BH277">
        <v>30</v>
      </c>
      <c r="BI277">
        <v>26</v>
      </c>
      <c r="BJ277">
        <v>2</v>
      </c>
      <c r="BK277">
        <v>2</v>
      </c>
      <c r="BL277">
        <v>10</v>
      </c>
      <c r="BM277">
        <v>23</v>
      </c>
      <c r="BN277">
        <v>10</v>
      </c>
      <c r="BO277">
        <v>6</v>
      </c>
      <c r="BP277">
        <v>19</v>
      </c>
      <c r="BQ277">
        <v>15</v>
      </c>
      <c r="BR277">
        <v>19</v>
      </c>
      <c r="BS277">
        <v>4</v>
      </c>
      <c r="BT277">
        <v>3</v>
      </c>
      <c r="BU277">
        <v>-7</v>
      </c>
      <c r="BV277">
        <v>-5</v>
      </c>
    </row>
    <row r="278" spans="1:74" x14ac:dyDescent="0.25">
      <c r="A278" t="s">
        <v>612</v>
      </c>
      <c r="B278" t="s">
        <v>121</v>
      </c>
      <c r="C278" t="s">
        <v>103</v>
      </c>
      <c r="D278">
        <v>-3.5710000000000002</v>
      </c>
      <c r="E278">
        <v>-17</v>
      </c>
      <c r="F278">
        <v>-15</v>
      </c>
      <c r="G278">
        <v>-22</v>
      </c>
      <c r="H278">
        <v>-15</v>
      </c>
      <c r="I278">
        <v>-15</v>
      </c>
      <c r="J278">
        <v>-23</v>
      </c>
      <c r="K278">
        <v>-16</v>
      </c>
      <c r="L278">
        <v>-6</v>
      </c>
      <c r="M278">
        <v>-5</v>
      </c>
      <c r="N278">
        <v>1</v>
      </c>
      <c r="O278">
        <v>6</v>
      </c>
      <c r="P278">
        <v>19</v>
      </c>
      <c r="Q278">
        <v>14</v>
      </c>
      <c r="R278">
        <v>5</v>
      </c>
      <c r="S278">
        <v>4</v>
      </c>
      <c r="T278">
        <v>-3</v>
      </c>
      <c r="U278">
        <v>-39</v>
      </c>
      <c r="V278">
        <v>-49</v>
      </c>
      <c r="W278">
        <v>-24</v>
      </c>
      <c r="X278">
        <v>-12</v>
      </c>
      <c r="Y278">
        <v>7</v>
      </c>
      <c r="Z278">
        <v>20</v>
      </c>
      <c r="AA278">
        <v>28</v>
      </c>
      <c r="AB278">
        <v>26</v>
      </c>
      <c r="AC278">
        <v>16</v>
      </c>
      <c r="AD278">
        <v>9</v>
      </c>
      <c r="AE278">
        <v>11</v>
      </c>
      <c r="AF278">
        <v>-5</v>
      </c>
      <c r="AG278">
        <v>-7</v>
      </c>
      <c r="AH278">
        <v>1</v>
      </c>
      <c r="AI278">
        <v>4</v>
      </c>
      <c r="AJ278">
        <v>8</v>
      </c>
      <c r="AK278">
        <v>9</v>
      </c>
      <c r="AL278">
        <v>2</v>
      </c>
      <c r="AM278">
        <v>5</v>
      </c>
      <c r="AN278">
        <v>11</v>
      </c>
      <c r="AO278">
        <v>4</v>
      </c>
      <c r="AP278">
        <v>4</v>
      </c>
      <c r="AQ278">
        <v>9</v>
      </c>
      <c r="AR278">
        <v>9</v>
      </c>
      <c r="AS278">
        <v>12</v>
      </c>
      <c r="AT278">
        <v>16</v>
      </c>
      <c r="AU278">
        <v>16</v>
      </c>
      <c r="AV278">
        <v>28</v>
      </c>
      <c r="AW278">
        <v>21</v>
      </c>
      <c r="AX278">
        <v>10</v>
      </c>
      <c r="AY278">
        <v>5</v>
      </c>
      <c r="AZ278">
        <v>-2</v>
      </c>
      <c r="BA278">
        <v>-17</v>
      </c>
      <c r="BB278">
        <v>-19</v>
      </c>
      <c r="BC278">
        <v>-39</v>
      </c>
      <c r="BD278">
        <v>-22</v>
      </c>
      <c r="BE278">
        <v>-4</v>
      </c>
      <c r="BF278">
        <v>5</v>
      </c>
      <c r="BG278">
        <v>14</v>
      </c>
      <c r="BH278">
        <v>18</v>
      </c>
      <c r="BI278">
        <v>4</v>
      </c>
      <c r="BJ278">
        <v>-22</v>
      </c>
      <c r="BK278">
        <v>-7</v>
      </c>
      <c r="BL278">
        <v>-6</v>
      </c>
      <c r="BM278">
        <v>-25</v>
      </c>
      <c r="BN278">
        <v>-17</v>
      </c>
      <c r="BO278">
        <v>-20</v>
      </c>
      <c r="BP278">
        <v>-27</v>
      </c>
      <c r="BQ278">
        <v>-25</v>
      </c>
      <c r="BR278">
        <v>-17</v>
      </c>
      <c r="BS278">
        <v>-28</v>
      </c>
      <c r="BT278">
        <v>-20</v>
      </c>
      <c r="BU278">
        <v>-23</v>
      </c>
      <c r="BV278">
        <v>-18</v>
      </c>
    </row>
    <row r="279" spans="1:74" x14ac:dyDescent="0.25">
      <c r="A279" t="s">
        <v>613</v>
      </c>
      <c r="B279" t="s">
        <v>122</v>
      </c>
      <c r="C279" t="s">
        <v>103</v>
      </c>
      <c r="D279">
        <v>-9.6430000000000007</v>
      </c>
      <c r="E279">
        <v>-45</v>
      </c>
      <c r="F279">
        <v>-34</v>
      </c>
      <c r="G279">
        <v>-22</v>
      </c>
      <c r="H279">
        <v>-26</v>
      </c>
      <c r="I279">
        <v>-36</v>
      </c>
      <c r="J279">
        <v>-37</v>
      </c>
      <c r="K279">
        <v>-38</v>
      </c>
      <c r="L279">
        <v>-19</v>
      </c>
      <c r="M279">
        <v>-12</v>
      </c>
      <c r="N279">
        <v>-6</v>
      </c>
      <c r="O279">
        <v>6</v>
      </c>
      <c r="P279">
        <v>12</v>
      </c>
      <c r="Q279">
        <v>-2</v>
      </c>
      <c r="R279">
        <v>-3</v>
      </c>
      <c r="S279">
        <v>-11</v>
      </c>
      <c r="T279">
        <v>-12</v>
      </c>
      <c r="U279">
        <v>-34</v>
      </c>
      <c r="V279">
        <v>-40</v>
      </c>
      <c r="W279">
        <v>-33</v>
      </c>
      <c r="X279">
        <v>-22</v>
      </c>
      <c r="Y279">
        <v>-9</v>
      </c>
      <c r="Z279">
        <v>-4</v>
      </c>
      <c r="AA279">
        <v>4</v>
      </c>
      <c r="AB279">
        <v>10</v>
      </c>
      <c r="AC279">
        <v>2</v>
      </c>
      <c r="AD279">
        <v>-1</v>
      </c>
      <c r="AE279">
        <v>0</v>
      </c>
      <c r="AF279">
        <v>-8</v>
      </c>
      <c r="AG279">
        <v>-5</v>
      </c>
      <c r="AH279">
        <v>0</v>
      </c>
      <c r="AI279">
        <v>0</v>
      </c>
      <c r="AJ279">
        <v>3</v>
      </c>
      <c r="AK279">
        <v>4</v>
      </c>
      <c r="AL279">
        <v>-10</v>
      </c>
      <c r="AM279">
        <v>-8</v>
      </c>
      <c r="AN279">
        <v>-8</v>
      </c>
      <c r="AO279">
        <v>-8</v>
      </c>
      <c r="AP279">
        <v>-3</v>
      </c>
      <c r="AQ279">
        <v>-4</v>
      </c>
      <c r="AR279">
        <v>2</v>
      </c>
      <c r="AS279">
        <v>6</v>
      </c>
      <c r="AT279">
        <v>12</v>
      </c>
      <c r="AU279">
        <v>7</v>
      </c>
      <c r="AV279">
        <v>17</v>
      </c>
      <c r="AW279">
        <v>12</v>
      </c>
      <c r="AX279">
        <v>14</v>
      </c>
      <c r="AY279">
        <v>10</v>
      </c>
      <c r="AZ279">
        <v>5</v>
      </c>
      <c r="BA279">
        <v>-6</v>
      </c>
      <c r="BB279">
        <v>-4</v>
      </c>
      <c r="BC279">
        <v>-26</v>
      </c>
      <c r="BD279">
        <v>-8</v>
      </c>
      <c r="BE279">
        <v>-4</v>
      </c>
      <c r="BF279">
        <v>10</v>
      </c>
      <c r="BG279">
        <v>11</v>
      </c>
      <c r="BH279">
        <v>15</v>
      </c>
      <c r="BI279">
        <v>8</v>
      </c>
      <c r="BJ279">
        <v>-12</v>
      </c>
      <c r="BK279">
        <v>-3</v>
      </c>
      <c r="BL279">
        <v>-12</v>
      </c>
      <c r="BM279">
        <v>-35</v>
      </c>
      <c r="BN279">
        <v>-32</v>
      </c>
      <c r="BO279">
        <v>-29</v>
      </c>
      <c r="BP279">
        <v>-36</v>
      </c>
      <c r="BQ279">
        <v>-29</v>
      </c>
      <c r="BR279">
        <v>-24</v>
      </c>
      <c r="BS279">
        <v>-33</v>
      </c>
      <c r="BT279">
        <v>-13</v>
      </c>
      <c r="BU279">
        <v>-23</v>
      </c>
      <c r="BV279">
        <v>-16</v>
      </c>
    </row>
    <row r="280" spans="1:74" x14ac:dyDescent="0.25">
      <c r="A280" t="s">
        <v>614</v>
      </c>
      <c r="B280" t="s">
        <v>123</v>
      </c>
      <c r="C280" t="s">
        <v>103</v>
      </c>
      <c r="D280">
        <v>-11.414</v>
      </c>
      <c r="E280">
        <v>-27</v>
      </c>
      <c r="F280">
        <v>-24</v>
      </c>
      <c r="G280">
        <v>-20</v>
      </c>
      <c r="H280">
        <v>-9</v>
      </c>
      <c r="I280">
        <v>-10</v>
      </c>
      <c r="J280">
        <v>-33</v>
      </c>
      <c r="K280">
        <v>-22</v>
      </c>
      <c r="L280">
        <v>-13</v>
      </c>
      <c r="M280">
        <v>-5</v>
      </c>
      <c r="N280">
        <v>1</v>
      </c>
      <c r="O280">
        <v>17</v>
      </c>
      <c r="P280">
        <v>23</v>
      </c>
      <c r="Q280">
        <v>15</v>
      </c>
      <c r="R280">
        <v>11</v>
      </c>
      <c r="S280">
        <v>14</v>
      </c>
      <c r="T280">
        <v>0</v>
      </c>
      <c r="U280">
        <v>-54</v>
      </c>
      <c r="V280">
        <v>-62</v>
      </c>
      <c r="W280">
        <v>-42</v>
      </c>
      <c r="X280">
        <v>-28</v>
      </c>
      <c r="Y280">
        <v>-4</v>
      </c>
      <c r="Z280">
        <v>15</v>
      </c>
      <c r="AA280">
        <v>21</v>
      </c>
      <c r="AB280">
        <v>13</v>
      </c>
      <c r="AC280">
        <v>1</v>
      </c>
      <c r="AD280">
        <v>-3</v>
      </c>
      <c r="AE280">
        <v>-4</v>
      </c>
      <c r="AF280">
        <v>-13</v>
      </c>
      <c r="AG280">
        <v>-20</v>
      </c>
      <c r="AH280">
        <v>-16</v>
      </c>
      <c r="AI280">
        <v>-17</v>
      </c>
      <c r="AJ280">
        <v>-8</v>
      </c>
      <c r="AK280">
        <v>-8</v>
      </c>
      <c r="AL280">
        <v>-11</v>
      </c>
      <c r="AM280">
        <v>-8</v>
      </c>
      <c r="AN280">
        <v>-4</v>
      </c>
      <c r="AO280">
        <v>-7</v>
      </c>
      <c r="AP280">
        <v>-15</v>
      </c>
      <c r="AQ280">
        <v>-13</v>
      </c>
      <c r="AR280">
        <v>-5</v>
      </c>
      <c r="AS280">
        <v>-6</v>
      </c>
      <c r="AT280">
        <v>1</v>
      </c>
      <c r="AU280">
        <v>8</v>
      </c>
      <c r="AV280">
        <v>15</v>
      </c>
      <c r="AW280">
        <v>11</v>
      </c>
      <c r="AX280">
        <v>0</v>
      </c>
      <c r="AY280">
        <v>1</v>
      </c>
      <c r="AZ280">
        <v>-17</v>
      </c>
      <c r="BA280">
        <v>-37</v>
      </c>
      <c r="BB280">
        <v>-45</v>
      </c>
      <c r="BC280">
        <v>-55</v>
      </c>
      <c r="BD280">
        <v>-43</v>
      </c>
      <c r="BE280">
        <v>-21</v>
      </c>
      <c r="BF280">
        <v>0</v>
      </c>
      <c r="BG280">
        <v>13</v>
      </c>
      <c r="BH280">
        <v>15</v>
      </c>
      <c r="BI280">
        <v>4</v>
      </c>
      <c r="BJ280">
        <v>-8</v>
      </c>
      <c r="BK280">
        <v>5</v>
      </c>
      <c r="BL280">
        <v>-1</v>
      </c>
      <c r="BM280">
        <v>-25</v>
      </c>
      <c r="BN280">
        <v>-26</v>
      </c>
      <c r="BO280">
        <v>-35</v>
      </c>
      <c r="BP280">
        <v>-33</v>
      </c>
      <c r="BQ280">
        <v>-33</v>
      </c>
      <c r="BR280">
        <v>-32</v>
      </c>
      <c r="BS280">
        <v>-28</v>
      </c>
      <c r="BT280">
        <v>-21</v>
      </c>
      <c r="BU280">
        <v>-18</v>
      </c>
      <c r="BV280">
        <v>-14</v>
      </c>
    </row>
    <row r="281" spans="1:74" x14ac:dyDescent="0.25">
      <c r="A281" t="s">
        <v>615</v>
      </c>
      <c r="B281" t="s">
        <v>124</v>
      </c>
      <c r="C281" t="s">
        <v>103</v>
      </c>
      <c r="D281">
        <v>-5.7</v>
      </c>
      <c r="E281">
        <v>-25</v>
      </c>
      <c r="F281">
        <v>-22</v>
      </c>
      <c r="G281">
        <v>-25</v>
      </c>
      <c r="H281">
        <v>-14</v>
      </c>
      <c r="I281">
        <v>-16</v>
      </c>
      <c r="J281">
        <v>-23</v>
      </c>
      <c r="K281">
        <v>-19</v>
      </c>
      <c r="L281">
        <v>-6</v>
      </c>
      <c r="M281">
        <v>-5</v>
      </c>
      <c r="N281">
        <v>4</v>
      </c>
      <c r="O281">
        <v>15</v>
      </c>
      <c r="P281">
        <v>23</v>
      </c>
      <c r="Q281">
        <v>17</v>
      </c>
      <c r="R281">
        <v>16</v>
      </c>
      <c r="S281">
        <v>16</v>
      </c>
      <c r="T281">
        <v>-6</v>
      </c>
      <c r="U281">
        <v>-44</v>
      </c>
      <c r="V281">
        <v>-54</v>
      </c>
      <c r="W281">
        <v>-34</v>
      </c>
      <c r="X281">
        <v>-23</v>
      </c>
      <c r="Y281">
        <v>3</v>
      </c>
      <c r="Z281">
        <v>12</v>
      </c>
      <c r="AA281">
        <v>21</v>
      </c>
      <c r="AB281">
        <v>26</v>
      </c>
      <c r="AC281">
        <v>11</v>
      </c>
      <c r="AD281">
        <v>8</v>
      </c>
      <c r="AE281">
        <v>8</v>
      </c>
      <c r="AF281">
        <v>-6</v>
      </c>
      <c r="AG281">
        <v>-10</v>
      </c>
      <c r="AH281">
        <v>-5</v>
      </c>
      <c r="AI281">
        <v>0</v>
      </c>
      <c r="AJ281">
        <v>6</v>
      </c>
      <c r="AK281">
        <v>6</v>
      </c>
      <c r="AL281">
        <v>-1</v>
      </c>
      <c r="AM281">
        <v>1</v>
      </c>
      <c r="AN281">
        <v>4</v>
      </c>
      <c r="AO281">
        <v>1</v>
      </c>
      <c r="AP281">
        <v>4</v>
      </c>
      <c r="AQ281">
        <v>1</v>
      </c>
      <c r="AR281">
        <v>2</v>
      </c>
      <c r="AS281">
        <v>7</v>
      </c>
      <c r="AT281">
        <v>11</v>
      </c>
      <c r="AU281">
        <v>14</v>
      </c>
      <c r="AV281">
        <v>22</v>
      </c>
      <c r="AW281">
        <v>19</v>
      </c>
      <c r="AX281">
        <v>14</v>
      </c>
      <c r="AY281">
        <v>5</v>
      </c>
      <c r="AZ281">
        <v>-6</v>
      </c>
      <c r="BA281">
        <v>-20</v>
      </c>
      <c r="BB281">
        <v>-21</v>
      </c>
      <c r="BC281">
        <v>-37</v>
      </c>
      <c r="BD281">
        <v>-29</v>
      </c>
      <c r="BE281">
        <v>-13</v>
      </c>
      <c r="BF281">
        <v>4</v>
      </c>
      <c r="BG281">
        <v>17</v>
      </c>
      <c r="BH281">
        <v>13</v>
      </c>
      <c r="BI281">
        <v>3</v>
      </c>
      <c r="BJ281">
        <v>-15</v>
      </c>
      <c r="BK281">
        <v>-3</v>
      </c>
      <c r="BL281">
        <v>-2</v>
      </c>
      <c r="BM281">
        <v>-22</v>
      </c>
      <c r="BN281">
        <v>-21</v>
      </c>
      <c r="BO281">
        <v>-23</v>
      </c>
      <c r="BP281">
        <v>-32</v>
      </c>
      <c r="BQ281">
        <v>-31</v>
      </c>
      <c r="BR281">
        <v>-23</v>
      </c>
      <c r="BS281">
        <v>-26</v>
      </c>
      <c r="BT281">
        <v>-26</v>
      </c>
      <c r="BU281">
        <v>-27</v>
      </c>
      <c r="BV281">
        <v>-18</v>
      </c>
    </row>
    <row r="282" spans="1:74" x14ac:dyDescent="0.25">
      <c r="A282" t="s">
        <v>616</v>
      </c>
      <c r="B282" t="s">
        <v>125</v>
      </c>
      <c r="C282" t="s">
        <v>103</v>
      </c>
      <c r="D282">
        <v>4.1139999999999999</v>
      </c>
      <c r="E282">
        <v>-23</v>
      </c>
      <c r="F282">
        <v>-17</v>
      </c>
      <c r="G282">
        <v>-18</v>
      </c>
      <c r="H282">
        <v>-11</v>
      </c>
      <c r="I282">
        <v>-11</v>
      </c>
      <c r="J282">
        <v>-18</v>
      </c>
      <c r="K282">
        <v>-13</v>
      </c>
      <c r="L282">
        <v>2</v>
      </c>
      <c r="M282">
        <v>7</v>
      </c>
      <c r="N282">
        <v>13</v>
      </c>
      <c r="O282">
        <v>24</v>
      </c>
      <c r="P282">
        <v>26</v>
      </c>
      <c r="Q282">
        <v>21</v>
      </c>
      <c r="R282">
        <v>25</v>
      </c>
      <c r="S282">
        <v>15</v>
      </c>
      <c r="T282">
        <v>3</v>
      </c>
      <c r="U282">
        <v>-29</v>
      </c>
      <c r="V282">
        <v>-42</v>
      </c>
      <c r="W282">
        <v>-29</v>
      </c>
      <c r="X282">
        <v>-11</v>
      </c>
      <c r="Y282">
        <v>6</v>
      </c>
      <c r="Z282">
        <v>21</v>
      </c>
      <c r="AA282">
        <v>29</v>
      </c>
      <c r="AB282">
        <v>28</v>
      </c>
      <c r="AC282">
        <v>19</v>
      </c>
      <c r="AD282">
        <v>13</v>
      </c>
      <c r="AE282">
        <v>12</v>
      </c>
      <c r="AF282">
        <v>-1</v>
      </c>
      <c r="AG282">
        <v>0</v>
      </c>
      <c r="AH282">
        <v>3</v>
      </c>
      <c r="AI282">
        <v>7</v>
      </c>
      <c r="AJ282">
        <v>11</v>
      </c>
      <c r="AK282">
        <v>12</v>
      </c>
      <c r="AL282">
        <v>6</v>
      </c>
      <c r="AM282">
        <v>10</v>
      </c>
      <c r="AN282">
        <v>9</v>
      </c>
      <c r="AO282">
        <v>10</v>
      </c>
      <c r="AP282">
        <v>14</v>
      </c>
      <c r="AQ282">
        <v>7</v>
      </c>
      <c r="AR282">
        <v>10</v>
      </c>
      <c r="AS282">
        <v>16</v>
      </c>
      <c r="AT282">
        <v>22</v>
      </c>
      <c r="AU282">
        <v>28</v>
      </c>
      <c r="AV282">
        <v>31</v>
      </c>
      <c r="AW282">
        <v>26</v>
      </c>
      <c r="AX282">
        <v>24</v>
      </c>
      <c r="AY282">
        <v>15</v>
      </c>
      <c r="AZ282">
        <v>8</v>
      </c>
      <c r="BA282">
        <v>-4</v>
      </c>
      <c r="BB282">
        <v>-4</v>
      </c>
      <c r="BC282">
        <v>-31</v>
      </c>
      <c r="BD282">
        <v>-19</v>
      </c>
      <c r="BE282">
        <v>-3</v>
      </c>
      <c r="BF282">
        <v>12</v>
      </c>
      <c r="BG282">
        <v>24</v>
      </c>
      <c r="BH282">
        <v>25</v>
      </c>
      <c r="BI282">
        <v>20</v>
      </c>
      <c r="BJ282">
        <v>11</v>
      </c>
      <c r="BK282">
        <v>21</v>
      </c>
      <c r="BL282">
        <v>18</v>
      </c>
      <c r="BM282">
        <v>1</v>
      </c>
      <c r="BN282">
        <v>-2</v>
      </c>
      <c r="BO282">
        <v>-3</v>
      </c>
      <c r="BP282">
        <v>-17</v>
      </c>
      <c r="BQ282">
        <v>-14</v>
      </c>
      <c r="BR282">
        <v>-10</v>
      </c>
      <c r="BS282">
        <v>-15</v>
      </c>
      <c r="BT282">
        <v>-11</v>
      </c>
      <c r="BU282">
        <v>-13</v>
      </c>
      <c r="BV282">
        <v>-8</v>
      </c>
    </row>
    <row r="283" spans="1:74" x14ac:dyDescent="0.25">
      <c r="A283" t="s">
        <v>617</v>
      </c>
      <c r="B283" t="s">
        <v>71</v>
      </c>
      <c r="C283" t="s">
        <v>103</v>
      </c>
      <c r="D283">
        <v>7.8289999999999997</v>
      </c>
      <c r="E283">
        <v>-16</v>
      </c>
      <c r="F283">
        <v>-10</v>
      </c>
      <c r="G283">
        <v>-8</v>
      </c>
      <c r="H283">
        <v>-3</v>
      </c>
      <c r="I283">
        <v>-1</v>
      </c>
      <c r="J283">
        <v>-6</v>
      </c>
      <c r="K283">
        <v>-7</v>
      </c>
      <c r="L283">
        <v>8</v>
      </c>
      <c r="M283">
        <v>13</v>
      </c>
      <c r="N283">
        <v>16</v>
      </c>
      <c r="O283">
        <v>26</v>
      </c>
      <c r="P283">
        <v>27</v>
      </c>
      <c r="Q283">
        <v>23</v>
      </c>
      <c r="R283">
        <v>28</v>
      </c>
      <c r="S283">
        <v>20</v>
      </c>
      <c r="T283">
        <v>9</v>
      </c>
      <c r="U283">
        <v>-23</v>
      </c>
      <c r="V283">
        <v>-37</v>
      </c>
      <c r="W283">
        <v>-24</v>
      </c>
      <c r="X283">
        <v>-5</v>
      </c>
      <c r="Y283">
        <v>8</v>
      </c>
      <c r="Z283">
        <v>25</v>
      </c>
      <c r="AA283">
        <v>29</v>
      </c>
      <c r="AB283">
        <v>30</v>
      </c>
      <c r="AC283">
        <v>24</v>
      </c>
      <c r="AD283">
        <v>17</v>
      </c>
      <c r="AE283">
        <v>19</v>
      </c>
      <c r="AF283">
        <v>0</v>
      </c>
      <c r="AG283">
        <v>3</v>
      </c>
      <c r="AH283">
        <v>8</v>
      </c>
      <c r="AI283">
        <v>11</v>
      </c>
      <c r="AJ283">
        <v>13</v>
      </c>
      <c r="AK283">
        <v>17</v>
      </c>
      <c r="AL283">
        <v>8</v>
      </c>
      <c r="AM283">
        <v>16</v>
      </c>
      <c r="AN283">
        <v>15</v>
      </c>
      <c r="AO283">
        <v>17</v>
      </c>
      <c r="AP283">
        <v>18</v>
      </c>
      <c r="AQ283">
        <v>10</v>
      </c>
      <c r="AR283">
        <v>11</v>
      </c>
      <c r="AS283">
        <v>18</v>
      </c>
      <c r="AT283">
        <v>25</v>
      </c>
      <c r="AU283">
        <v>30</v>
      </c>
      <c r="AV283">
        <v>35</v>
      </c>
      <c r="AW283">
        <v>27</v>
      </c>
      <c r="AX283">
        <v>29</v>
      </c>
      <c r="AY283">
        <v>19</v>
      </c>
      <c r="AZ283">
        <v>13</v>
      </c>
      <c r="BA283">
        <v>1</v>
      </c>
      <c r="BB283">
        <v>0</v>
      </c>
      <c r="BC283">
        <v>-28</v>
      </c>
      <c r="BD283">
        <v>-17</v>
      </c>
      <c r="BE283">
        <v>-1</v>
      </c>
      <c r="BF283">
        <v>11</v>
      </c>
      <c r="BG283">
        <v>24</v>
      </c>
      <c r="BH283">
        <v>27</v>
      </c>
      <c r="BI283">
        <v>21</v>
      </c>
      <c r="BJ283">
        <v>13</v>
      </c>
      <c r="BK283">
        <v>21</v>
      </c>
      <c r="BL283">
        <v>22</v>
      </c>
      <c r="BM283">
        <v>5</v>
      </c>
      <c r="BN283">
        <v>2</v>
      </c>
      <c r="BO283">
        <v>-1</v>
      </c>
      <c r="BP283">
        <v>-17</v>
      </c>
      <c r="BQ283">
        <v>-14</v>
      </c>
      <c r="BR283">
        <v>-10</v>
      </c>
      <c r="BS283">
        <v>-14</v>
      </c>
      <c r="BT283">
        <v>-6</v>
      </c>
      <c r="BU283">
        <v>-9</v>
      </c>
      <c r="BV283">
        <v>-7</v>
      </c>
    </row>
    <row r="284" spans="1:74" x14ac:dyDescent="0.25">
      <c r="A284" t="s">
        <v>618</v>
      </c>
      <c r="B284" t="s">
        <v>127</v>
      </c>
      <c r="C284" t="s">
        <v>103</v>
      </c>
      <c r="D284">
        <v>-1.014</v>
      </c>
      <c r="E284">
        <v>-31</v>
      </c>
      <c r="F284">
        <v>-26</v>
      </c>
      <c r="G284">
        <v>-32</v>
      </c>
      <c r="H284">
        <v>-21</v>
      </c>
      <c r="I284">
        <v>-25</v>
      </c>
      <c r="J284">
        <v>-33</v>
      </c>
      <c r="K284">
        <v>-21</v>
      </c>
      <c r="L284">
        <v>-7</v>
      </c>
      <c r="M284">
        <v>0</v>
      </c>
      <c r="N284">
        <v>9</v>
      </c>
      <c r="O284">
        <v>22</v>
      </c>
      <c r="P284">
        <v>24</v>
      </c>
      <c r="Q284">
        <v>18</v>
      </c>
      <c r="R284">
        <v>21</v>
      </c>
      <c r="S284">
        <v>8</v>
      </c>
      <c r="T284">
        <v>-5</v>
      </c>
      <c r="U284">
        <v>-36</v>
      </c>
      <c r="V284">
        <v>-49</v>
      </c>
      <c r="W284">
        <v>-35</v>
      </c>
      <c r="X284">
        <v>-17</v>
      </c>
      <c r="Y284">
        <v>2</v>
      </c>
      <c r="Z284">
        <v>15</v>
      </c>
      <c r="AA284">
        <v>27</v>
      </c>
      <c r="AB284">
        <v>27</v>
      </c>
      <c r="AC284">
        <v>14</v>
      </c>
      <c r="AD284">
        <v>7</v>
      </c>
      <c r="AE284">
        <v>3</v>
      </c>
      <c r="AF284">
        <v>-4</v>
      </c>
      <c r="AG284">
        <v>-5</v>
      </c>
      <c r="AH284">
        <v>-3</v>
      </c>
      <c r="AI284">
        <v>1</v>
      </c>
      <c r="AJ284">
        <v>8</v>
      </c>
      <c r="AK284">
        <v>5</v>
      </c>
      <c r="AL284">
        <v>3</v>
      </c>
      <c r="AM284">
        <v>-1</v>
      </c>
      <c r="AN284">
        <v>0</v>
      </c>
      <c r="AO284">
        <v>-1</v>
      </c>
      <c r="AP284">
        <v>8</v>
      </c>
      <c r="AQ284">
        <v>1</v>
      </c>
      <c r="AR284">
        <v>7</v>
      </c>
      <c r="AS284">
        <v>14</v>
      </c>
      <c r="AT284">
        <v>17</v>
      </c>
      <c r="AU284">
        <v>25</v>
      </c>
      <c r="AV284">
        <v>26</v>
      </c>
      <c r="AW284">
        <v>24</v>
      </c>
      <c r="AX284">
        <v>17</v>
      </c>
      <c r="AY284">
        <v>9</v>
      </c>
      <c r="AZ284">
        <v>2</v>
      </c>
      <c r="BA284">
        <v>-12</v>
      </c>
      <c r="BB284">
        <v>-10</v>
      </c>
      <c r="BC284">
        <v>-35</v>
      </c>
      <c r="BD284">
        <v>-22</v>
      </c>
      <c r="BE284">
        <v>-7</v>
      </c>
      <c r="BF284">
        <v>13</v>
      </c>
      <c r="BG284">
        <v>23</v>
      </c>
      <c r="BH284">
        <v>22</v>
      </c>
      <c r="BI284">
        <v>19</v>
      </c>
      <c r="BJ284">
        <v>8</v>
      </c>
      <c r="BK284">
        <v>21</v>
      </c>
      <c r="BL284">
        <v>13</v>
      </c>
      <c r="BM284">
        <v>-6</v>
      </c>
      <c r="BN284">
        <v>-8</v>
      </c>
      <c r="BO284">
        <v>-5</v>
      </c>
      <c r="BP284">
        <v>-16</v>
      </c>
      <c r="BQ284">
        <v>-14</v>
      </c>
      <c r="BR284">
        <v>-10</v>
      </c>
      <c r="BS284">
        <v>-15</v>
      </c>
      <c r="BT284">
        <v>-17</v>
      </c>
      <c r="BU284">
        <v>-17</v>
      </c>
      <c r="BV284">
        <v>-8</v>
      </c>
    </row>
    <row r="285" spans="1:74" x14ac:dyDescent="0.25">
      <c r="A285" t="s">
        <v>619</v>
      </c>
      <c r="B285" t="s">
        <v>128</v>
      </c>
      <c r="C285" t="s">
        <v>103</v>
      </c>
      <c r="D285">
        <v>1.714</v>
      </c>
      <c r="E285">
        <v>-22</v>
      </c>
      <c r="F285">
        <v>-20</v>
      </c>
      <c r="G285">
        <v>-24</v>
      </c>
      <c r="H285">
        <v>-11</v>
      </c>
      <c r="I285">
        <v>-10</v>
      </c>
      <c r="J285">
        <v>-10</v>
      </c>
      <c r="K285">
        <v>-5</v>
      </c>
      <c r="L285">
        <v>5</v>
      </c>
      <c r="M285">
        <v>11</v>
      </c>
      <c r="N285">
        <v>18</v>
      </c>
      <c r="O285">
        <v>29</v>
      </c>
      <c r="P285">
        <v>36</v>
      </c>
      <c r="Q285">
        <v>36</v>
      </c>
      <c r="R285">
        <v>32</v>
      </c>
      <c r="S285">
        <v>28</v>
      </c>
      <c r="T285">
        <v>9</v>
      </c>
      <c r="U285">
        <v>-29</v>
      </c>
      <c r="V285">
        <v>-50</v>
      </c>
      <c r="W285">
        <v>-42</v>
      </c>
      <c r="X285">
        <v>-30</v>
      </c>
      <c r="Y285">
        <v>-11</v>
      </c>
      <c r="Z285">
        <v>14</v>
      </c>
      <c r="AA285">
        <v>26</v>
      </c>
      <c r="AB285">
        <v>33</v>
      </c>
      <c r="AC285">
        <v>23</v>
      </c>
      <c r="AD285">
        <v>21</v>
      </c>
      <c r="AE285">
        <v>16</v>
      </c>
      <c r="AF285">
        <v>5</v>
      </c>
      <c r="AG285">
        <v>2</v>
      </c>
      <c r="AH285">
        <v>4</v>
      </c>
      <c r="AI285">
        <v>7</v>
      </c>
      <c r="AJ285">
        <v>11</v>
      </c>
      <c r="AK285">
        <v>9</v>
      </c>
      <c r="AL285">
        <v>1</v>
      </c>
      <c r="AM285">
        <v>2</v>
      </c>
      <c r="AN285">
        <v>4</v>
      </c>
      <c r="AO285">
        <v>3</v>
      </c>
      <c r="AP285">
        <v>5</v>
      </c>
      <c r="AQ285">
        <v>6</v>
      </c>
      <c r="AR285">
        <v>6</v>
      </c>
      <c r="AS285">
        <v>11</v>
      </c>
      <c r="AT285">
        <v>17</v>
      </c>
      <c r="AU285">
        <v>24</v>
      </c>
      <c r="AV285">
        <v>29</v>
      </c>
      <c r="AW285">
        <v>26</v>
      </c>
      <c r="AX285">
        <v>23</v>
      </c>
      <c r="AY285">
        <v>20</v>
      </c>
      <c r="AZ285">
        <v>6</v>
      </c>
      <c r="BA285">
        <v>-14</v>
      </c>
      <c r="BB285">
        <v>-12</v>
      </c>
      <c r="BC285">
        <v>-39</v>
      </c>
      <c r="BD285">
        <v>-26</v>
      </c>
      <c r="BE285">
        <v>-12</v>
      </c>
      <c r="BF285">
        <v>3</v>
      </c>
      <c r="BG285">
        <v>19</v>
      </c>
      <c r="BH285">
        <v>25</v>
      </c>
      <c r="BI285">
        <v>13</v>
      </c>
      <c r="BJ285">
        <v>7</v>
      </c>
      <c r="BK285">
        <v>17</v>
      </c>
      <c r="BL285">
        <v>14</v>
      </c>
      <c r="BM285">
        <v>-6</v>
      </c>
      <c r="BN285">
        <v>-8</v>
      </c>
      <c r="BO285">
        <v>-12</v>
      </c>
      <c r="BP285">
        <v>-17</v>
      </c>
      <c r="BQ285">
        <v>-18</v>
      </c>
      <c r="BR285">
        <v>-20</v>
      </c>
      <c r="BS285">
        <v>-22</v>
      </c>
      <c r="BT285">
        <v>-24</v>
      </c>
      <c r="BU285">
        <v>-23</v>
      </c>
      <c r="BV285">
        <v>-19</v>
      </c>
    </row>
    <row r="286" spans="1:74" x14ac:dyDescent="0.25">
      <c r="A286" t="s">
        <v>620</v>
      </c>
      <c r="B286" t="s">
        <v>72</v>
      </c>
      <c r="C286" t="s">
        <v>103</v>
      </c>
      <c r="D286">
        <v>-17.885999999999999</v>
      </c>
      <c r="E286">
        <v>-29</v>
      </c>
      <c r="F286">
        <v>-23</v>
      </c>
      <c r="G286">
        <v>-22</v>
      </c>
      <c r="H286">
        <v>-19</v>
      </c>
      <c r="I286">
        <v>-27</v>
      </c>
      <c r="J286">
        <v>-36</v>
      </c>
      <c r="K286">
        <v>-35</v>
      </c>
      <c r="L286">
        <v>-39</v>
      </c>
      <c r="M286">
        <v>-19</v>
      </c>
      <c r="N286">
        <v>-33</v>
      </c>
      <c r="O286">
        <v>-19</v>
      </c>
      <c r="P286">
        <v>-3</v>
      </c>
      <c r="Q286">
        <v>-5</v>
      </c>
      <c r="R286">
        <v>-4</v>
      </c>
      <c r="S286">
        <v>-4</v>
      </c>
      <c r="T286">
        <v>-26</v>
      </c>
      <c r="U286">
        <v>-63</v>
      </c>
      <c r="V286">
        <v>-61</v>
      </c>
      <c r="W286">
        <v>-44</v>
      </c>
      <c r="X286">
        <v>-33</v>
      </c>
      <c r="Y286">
        <v>-18</v>
      </c>
      <c r="Z286">
        <v>2</v>
      </c>
      <c r="AA286">
        <v>16</v>
      </c>
      <c r="AB286">
        <v>12</v>
      </c>
      <c r="AC286">
        <v>9</v>
      </c>
      <c r="AD286">
        <v>4</v>
      </c>
      <c r="AE286">
        <v>-4</v>
      </c>
      <c r="AF286">
        <v>-12</v>
      </c>
      <c r="AG286">
        <v>-24</v>
      </c>
      <c r="AH286">
        <v>-21</v>
      </c>
      <c r="AI286">
        <v>-10</v>
      </c>
      <c r="AJ286">
        <v>-3</v>
      </c>
      <c r="AK286">
        <v>-3</v>
      </c>
      <c r="AL286">
        <v>2</v>
      </c>
      <c r="AM286">
        <v>-1</v>
      </c>
      <c r="AN286">
        <v>-10</v>
      </c>
      <c r="AO286">
        <v>-4</v>
      </c>
      <c r="AP286">
        <v>-6</v>
      </c>
      <c r="AQ286">
        <v>3</v>
      </c>
      <c r="AR286">
        <v>-11</v>
      </c>
      <c r="AS286">
        <v>-1</v>
      </c>
      <c r="AT286">
        <v>8</v>
      </c>
      <c r="AU286">
        <v>1</v>
      </c>
      <c r="AV286">
        <v>6</v>
      </c>
      <c r="AW286">
        <v>14</v>
      </c>
      <c r="AX286">
        <v>8</v>
      </c>
      <c r="AY286">
        <v>2</v>
      </c>
      <c r="AZ286">
        <v>-18</v>
      </c>
      <c r="BA286">
        <v>-33</v>
      </c>
      <c r="BB286">
        <v>-37</v>
      </c>
      <c r="BC286">
        <v>-60</v>
      </c>
      <c r="BD286">
        <v>-41</v>
      </c>
      <c r="BE286">
        <v>-22</v>
      </c>
      <c r="BF286">
        <v>-8</v>
      </c>
      <c r="BG286">
        <v>-4</v>
      </c>
      <c r="BH286">
        <v>-6</v>
      </c>
      <c r="BI286">
        <v>-19</v>
      </c>
      <c r="BJ286">
        <v>-19</v>
      </c>
      <c r="BK286">
        <v>-3</v>
      </c>
      <c r="BL286">
        <v>-6</v>
      </c>
      <c r="BM286">
        <v>-20</v>
      </c>
      <c r="BN286">
        <v>-39</v>
      </c>
      <c r="BO286">
        <v>-32</v>
      </c>
      <c r="BP286">
        <v>-44</v>
      </c>
      <c r="BQ286">
        <v>-46</v>
      </c>
      <c r="BR286">
        <v>-38</v>
      </c>
      <c r="BS286">
        <v>-51</v>
      </c>
      <c r="BT286">
        <v>-45</v>
      </c>
      <c r="BU286">
        <v>-42</v>
      </c>
      <c r="BV286">
        <v>-34</v>
      </c>
    </row>
    <row r="287" spans="1:74" x14ac:dyDescent="0.25">
      <c r="A287" t="s">
        <v>621</v>
      </c>
      <c r="B287" t="s">
        <v>240</v>
      </c>
      <c r="C287" t="s">
        <v>103</v>
      </c>
      <c r="D287">
        <v>3.7290000000000001</v>
      </c>
      <c r="E287">
        <v>-8</v>
      </c>
      <c r="F287">
        <v>-24</v>
      </c>
      <c r="G287">
        <v>-20</v>
      </c>
      <c r="H287">
        <v>-6</v>
      </c>
      <c r="I287">
        <v>-9</v>
      </c>
      <c r="J287">
        <v>-11</v>
      </c>
      <c r="K287">
        <v>-3</v>
      </c>
      <c r="L287">
        <v>7</v>
      </c>
      <c r="M287">
        <v>15</v>
      </c>
      <c r="N287">
        <v>11</v>
      </c>
      <c r="O287">
        <v>13</v>
      </c>
      <c r="P287">
        <v>13</v>
      </c>
      <c r="Q287">
        <v>20</v>
      </c>
      <c r="R287">
        <v>26</v>
      </c>
      <c r="S287">
        <v>12</v>
      </c>
      <c r="T287">
        <v>9</v>
      </c>
      <c r="U287">
        <v>-9</v>
      </c>
      <c r="V287">
        <v>-27</v>
      </c>
      <c r="W287">
        <v>-32</v>
      </c>
      <c r="X287">
        <v>-12</v>
      </c>
      <c r="Y287">
        <v>-3</v>
      </c>
      <c r="Z287">
        <v>2</v>
      </c>
      <c r="AA287">
        <v>11</v>
      </c>
      <c r="AB287">
        <v>28</v>
      </c>
      <c r="AC287">
        <v>24</v>
      </c>
      <c r="AD287">
        <v>25</v>
      </c>
      <c r="AE287">
        <v>14</v>
      </c>
      <c r="AF287">
        <v>-1</v>
      </c>
      <c r="AG287">
        <v>6</v>
      </c>
      <c r="AH287">
        <v>-12</v>
      </c>
      <c r="AI287">
        <v>-8</v>
      </c>
      <c r="AJ287">
        <v>-5</v>
      </c>
      <c r="AK287">
        <v>4</v>
      </c>
      <c r="AL287">
        <v>4</v>
      </c>
      <c r="AM287">
        <v>5</v>
      </c>
      <c r="AN287">
        <v>-4</v>
      </c>
      <c r="AO287">
        <v>1</v>
      </c>
      <c r="AP287">
        <v>-6</v>
      </c>
      <c r="AQ287">
        <v>-6</v>
      </c>
      <c r="AR287">
        <v>4</v>
      </c>
      <c r="AS287">
        <v>4</v>
      </c>
      <c r="AT287">
        <v>3</v>
      </c>
      <c r="AU287">
        <v>37</v>
      </c>
      <c r="AV287">
        <v>28</v>
      </c>
      <c r="AW287">
        <v>9</v>
      </c>
      <c r="AX287">
        <v>31</v>
      </c>
      <c r="AY287">
        <v>34</v>
      </c>
      <c r="AZ287">
        <v>31</v>
      </c>
      <c r="BA287">
        <v>11</v>
      </c>
      <c r="BB287">
        <v>4</v>
      </c>
      <c r="BC287">
        <v>-45</v>
      </c>
      <c r="BD287">
        <v>-45</v>
      </c>
      <c r="BE287">
        <v>-37</v>
      </c>
      <c r="BF287">
        <v>-28</v>
      </c>
      <c r="BG287">
        <v>-17</v>
      </c>
      <c r="BH287">
        <v>3</v>
      </c>
      <c r="BI287">
        <v>-4</v>
      </c>
      <c r="BJ287">
        <v>12</v>
      </c>
      <c r="BK287">
        <v>32</v>
      </c>
      <c r="BL287">
        <v>14</v>
      </c>
      <c r="BM287">
        <v>37</v>
      </c>
      <c r="BN287">
        <v>23</v>
      </c>
      <c r="BO287">
        <v>3</v>
      </c>
      <c r="BP287">
        <v>13</v>
      </c>
      <c r="BQ287">
        <v>1</v>
      </c>
      <c r="BR287">
        <v>6</v>
      </c>
      <c r="BS287">
        <v>2</v>
      </c>
      <c r="BT287">
        <v>34</v>
      </c>
      <c r="BU287">
        <v>3</v>
      </c>
      <c r="BV287">
        <v>14</v>
      </c>
    </row>
    <row r="288" spans="1:74" x14ac:dyDescent="0.25">
      <c r="A288" t="s">
        <v>622</v>
      </c>
      <c r="B288" t="s">
        <v>129</v>
      </c>
      <c r="C288" t="s">
        <v>103</v>
      </c>
      <c r="D288">
        <v>-7.0570000000000004</v>
      </c>
      <c r="E288">
        <v>-40</v>
      </c>
      <c r="F288">
        <v>-26</v>
      </c>
      <c r="G288">
        <v>-36</v>
      </c>
      <c r="H288">
        <v>-24</v>
      </c>
      <c r="I288">
        <v>-21</v>
      </c>
      <c r="J288">
        <v>-24</v>
      </c>
      <c r="K288">
        <v>-14</v>
      </c>
      <c r="L288">
        <v>-1</v>
      </c>
      <c r="M288">
        <v>-3</v>
      </c>
      <c r="N288">
        <v>-5</v>
      </c>
      <c r="O288">
        <v>13</v>
      </c>
      <c r="P288">
        <v>14</v>
      </c>
      <c r="Q288">
        <v>21</v>
      </c>
      <c r="R288">
        <v>11</v>
      </c>
      <c r="S288">
        <v>6</v>
      </c>
      <c r="T288">
        <v>-5</v>
      </c>
      <c r="U288">
        <v>-32</v>
      </c>
      <c r="V288">
        <v>-43</v>
      </c>
      <c r="W288">
        <v>-33</v>
      </c>
      <c r="X288">
        <v>-21</v>
      </c>
      <c r="Y288">
        <v>-12</v>
      </c>
      <c r="Z288">
        <v>5</v>
      </c>
      <c r="AA288">
        <v>6</v>
      </c>
      <c r="AB288">
        <v>-2</v>
      </c>
      <c r="AC288">
        <v>4</v>
      </c>
      <c r="AD288">
        <v>-3</v>
      </c>
      <c r="AE288">
        <v>4</v>
      </c>
      <c r="AF288">
        <v>-7</v>
      </c>
      <c r="AG288">
        <v>-11</v>
      </c>
      <c r="AH288">
        <v>-12</v>
      </c>
      <c r="AI288">
        <v>-7</v>
      </c>
      <c r="AJ288">
        <v>-14</v>
      </c>
      <c r="AK288">
        <v>-2</v>
      </c>
      <c r="AL288">
        <v>-3</v>
      </c>
      <c r="AM288">
        <v>-3</v>
      </c>
      <c r="AN288">
        <v>9</v>
      </c>
      <c r="AO288">
        <v>8</v>
      </c>
      <c r="AP288">
        <v>3</v>
      </c>
      <c r="AQ288">
        <v>8</v>
      </c>
      <c r="AR288">
        <v>19</v>
      </c>
      <c r="AS288">
        <v>6</v>
      </c>
      <c r="AT288">
        <v>8</v>
      </c>
      <c r="AU288">
        <v>10</v>
      </c>
      <c r="AV288">
        <v>17</v>
      </c>
      <c r="AW288">
        <v>9</v>
      </c>
      <c r="AX288">
        <v>2</v>
      </c>
      <c r="AY288">
        <v>1</v>
      </c>
      <c r="AZ288">
        <v>13</v>
      </c>
      <c r="BA288">
        <v>-3</v>
      </c>
      <c r="BB288">
        <v>1</v>
      </c>
      <c r="BC288">
        <v>-43</v>
      </c>
      <c r="BD288">
        <v>-7</v>
      </c>
      <c r="BE288">
        <v>-2</v>
      </c>
      <c r="BF288">
        <v>1</v>
      </c>
      <c r="BG288">
        <v>16</v>
      </c>
      <c r="BH288">
        <v>14</v>
      </c>
      <c r="BI288">
        <v>11</v>
      </c>
      <c r="BJ288">
        <v>-24</v>
      </c>
      <c r="BK288">
        <v>-12</v>
      </c>
      <c r="BL288">
        <v>-7</v>
      </c>
      <c r="BM288">
        <v>-15</v>
      </c>
      <c r="BN288">
        <v>-17</v>
      </c>
      <c r="BO288">
        <v>-20</v>
      </c>
      <c r="BP288">
        <v>-31</v>
      </c>
      <c r="BQ288">
        <v>-18</v>
      </c>
      <c r="BR288">
        <v>-27</v>
      </c>
      <c r="BS288">
        <v>-23</v>
      </c>
      <c r="BT288">
        <v>-20</v>
      </c>
      <c r="BU288">
        <v>-27</v>
      </c>
      <c r="BV288">
        <v>-34</v>
      </c>
    </row>
    <row r="289" spans="1:74" x14ac:dyDescent="0.25">
      <c r="A289" t="s">
        <v>623</v>
      </c>
      <c r="B289" t="s">
        <v>241</v>
      </c>
      <c r="C289" t="s">
        <v>103</v>
      </c>
      <c r="D289">
        <v>-0.24299999999999999</v>
      </c>
      <c r="E289">
        <v>-30</v>
      </c>
      <c r="F289">
        <v>-21</v>
      </c>
      <c r="G289">
        <v>-25</v>
      </c>
      <c r="H289">
        <v>-24</v>
      </c>
      <c r="I289">
        <v>-18</v>
      </c>
      <c r="J289">
        <v>-19</v>
      </c>
      <c r="K289">
        <v>-22</v>
      </c>
      <c r="L289">
        <v>-5</v>
      </c>
      <c r="M289">
        <v>-5</v>
      </c>
      <c r="N289">
        <v>-4</v>
      </c>
      <c r="O289">
        <v>6</v>
      </c>
      <c r="P289">
        <v>-4</v>
      </c>
      <c r="Q289">
        <v>6</v>
      </c>
      <c r="R289">
        <v>4</v>
      </c>
      <c r="S289">
        <v>-2</v>
      </c>
      <c r="T289">
        <v>-7</v>
      </c>
      <c r="U289">
        <v>-19</v>
      </c>
      <c r="V289">
        <v>-34</v>
      </c>
      <c r="W289">
        <v>-15</v>
      </c>
      <c r="X289">
        <v>-3</v>
      </c>
      <c r="Y289">
        <v>7</v>
      </c>
      <c r="Z289">
        <v>7</v>
      </c>
      <c r="AA289">
        <v>12</v>
      </c>
      <c r="AB289">
        <v>19</v>
      </c>
      <c r="AC289">
        <v>11</v>
      </c>
      <c r="AD289">
        <v>8</v>
      </c>
      <c r="AE289">
        <v>16</v>
      </c>
      <c r="AF289">
        <v>6</v>
      </c>
      <c r="AG289">
        <v>8</v>
      </c>
      <c r="AH289">
        <v>7</v>
      </c>
      <c r="AI289">
        <v>4</v>
      </c>
      <c r="AJ289">
        <v>13</v>
      </c>
      <c r="AK289">
        <v>7</v>
      </c>
      <c r="AL289">
        <v>4</v>
      </c>
      <c r="AM289">
        <v>6</v>
      </c>
      <c r="AN289">
        <v>8</v>
      </c>
      <c r="AO289">
        <v>4</v>
      </c>
      <c r="AP289">
        <v>12</v>
      </c>
      <c r="AQ289">
        <v>9</v>
      </c>
      <c r="AR289">
        <v>9</v>
      </c>
      <c r="AS289">
        <v>18</v>
      </c>
      <c r="AT289">
        <v>15</v>
      </c>
      <c r="AU289">
        <v>18</v>
      </c>
      <c r="AV289">
        <v>21</v>
      </c>
      <c r="AW289">
        <v>23</v>
      </c>
      <c r="AX289">
        <v>17</v>
      </c>
      <c r="AY289">
        <v>22</v>
      </c>
      <c r="AZ289">
        <v>11</v>
      </c>
      <c r="BA289">
        <v>2</v>
      </c>
      <c r="BB289">
        <v>3</v>
      </c>
      <c r="BC289">
        <v>-24</v>
      </c>
      <c r="BD289">
        <v>-9</v>
      </c>
      <c r="BE289">
        <v>-3</v>
      </c>
      <c r="BF289">
        <v>5</v>
      </c>
      <c r="BG289">
        <v>20</v>
      </c>
      <c r="BH289">
        <v>18</v>
      </c>
      <c r="BI289">
        <v>6</v>
      </c>
      <c r="BJ289">
        <v>-10</v>
      </c>
      <c r="BK289">
        <v>6</v>
      </c>
      <c r="BL289">
        <v>4</v>
      </c>
      <c r="BM289">
        <v>-10</v>
      </c>
      <c r="BN289">
        <v>-13</v>
      </c>
      <c r="BO289">
        <v>-10</v>
      </c>
      <c r="BP289">
        <v>-16</v>
      </c>
      <c r="BQ289">
        <v>-10</v>
      </c>
      <c r="BR289">
        <v>-9</v>
      </c>
      <c r="BS289">
        <v>-15</v>
      </c>
      <c r="BT289">
        <v>-16</v>
      </c>
      <c r="BU289">
        <v>-11</v>
      </c>
      <c r="BV289">
        <v>-6</v>
      </c>
    </row>
    <row r="290" spans="1:74" x14ac:dyDescent="0.25">
      <c r="A290" t="s">
        <v>624</v>
      </c>
      <c r="B290" t="s">
        <v>242</v>
      </c>
      <c r="C290" t="s">
        <v>103</v>
      </c>
      <c r="D290">
        <v>9.5139999999999993</v>
      </c>
      <c r="E290">
        <v>-9</v>
      </c>
      <c r="F290">
        <v>1</v>
      </c>
      <c r="G290">
        <v>2</v>
      </c>
      <c r="H290">
        <v>2</v>
      </c>
      <c r="I290">
        <v>4</v>
      </c>
      <c r="J290">
        <v>1</v>
      </c>
      <c r="K290">
        <v>24</v>
      </c>
      <c r="L290">
        <v>13</v>
      </c>
      <c r="M290">
        <v>11</v>
      </c>
      <c r="N290">
        <v>33</v>
      </c>
      <c r="O290">
        <v>36</v>
      </c>
      <c r="P290">
        <v>41</v>
      </c>
      <c r="Q290">
        <v>35</v>
      </c>
      <c r="R290">
        <v>33</v>
      </c>
      <c r="S290">
        <v>20</v>
      </c>
      <c r="T290">
        <v>20</v>
      </c>
      <c r="U290">
        <v>-5</v>
      </c>
      <c r="V290">
        <v>-32</v>
      </c>
      <c r="W290">
        <v>-19</v>
      </c>
      <c r="X290">
        <v>-12</v>
      </c>
      <c r="Y290">
        <v>-3</v>
      </c>
      <c r="Z290">
        <v>21</v>
      </c>
      <c r="AA290">
        <v>30</v>
      </c>
      <c r="AB290">
        <v>37</v>
      </c>
      <c r="AC290">
        <v>26</v>
      </c>
      <c r="AD290">
        <v>24</v>
      </c>
      <c r="AE290">
        <v>17</v>
      </c>
      <c r="AF290">
        <v>14</v>
      </c>
      <c r="AG290">
        <v>12</v>
      </c>
      <c r="AH290">
        <v>2</v>
      </c>
      <c r="AI290">
        <v>13</v>
      </c>
      <c r="AJ290">
        <v>13</v>
      </c>
      <c r="AK290">
        <v>11</v>
      </c>
      <c r="AL290">
        <v>9</v>
      </c>
      <c r="AM290">
        <v>14</v>
      </c>
      <c r="AN290">
        <v>13</v>
      </c>
      <c r="AO290">
        <v>12</v>
      </c>
      <c r="AP290">
        <v>3</v>
      </c>
      <c r="AQ290">
        <v>19</v>
      </c>
      <c r="AR290">
        <v>5</v>
      </c>
      <c r="AS290">
        <v>18</v>
      </c>
      <c r="AT290">
        <v>22</v>
      </c>
      <c r="AU290">
        <v>29</v>
      </c>
      <c r="AV290">
        <v>46</v>
      </c>
      <c r="AW290">
        <v>25</v>
      </c>
      <c r="AX290">
        <v>33</v>
      </c>
      <c r="AY290">
        <v>19</v>
      </c>
      <c r="AZ290">
        <v>8</v>
      </c>
      <c r="BA290">
        <v>3</v>
      </c>
      <c r="BB290">
        <v>-6</v>
      </c>
      <c r="BC290">
        <v>-27</v>
      </c>
      <c r="BD290">
        <v>-16</v>
      </c>
      <c r="BE290">
        <v>-6</v>
      </c>
      <c r="BF290">
        <v>18</v>
      </c>
      <c r="BG290">
        <v>27</v>
      </c>
      <c r="BH290">
        <v>23</v>
      </c>
      <c r="BI290">
        <v>25</v>
      </c>
      <c r="BJ290">
        <v>1</v>
      </c>
      <c r="BK290">
        <v>20</v>
      </c>
      <c r="BL290">
        <v>6</v>
      </c>
      <c r="BM290">
        <v>4</v>
      </c>
      <c r="BN290">
        <v>-11</v>
      </c>
      <c r="BO290">
        <v>-17</v>
      </c>
      <c r="BP290">
        <v>-14</v>
      </c>
      <c r="BQ290">
        <v>-15</v>
      </c>
      <c r="BR290">
        <v>-5</v>
      </c>
      <c r="BS290">
        <v>-6</v>
      </c>
      <c r="BT290">
        <v>-6</v>
      </c>
      <c r="BU290">
        <v>-13</v>
      </c>
      <c r="BV290">
        <v>-10</v>
      </c>
    </row>
    <row r="291" spans="1:74" x14ac:dyDescent="0.25">
      <c r="A291" t="s">
        <v>625</v>
      </c>
      <c r="B291" t="s">
        <v>132</v>
      </c>
      <c r="C291" t="s">
        <v>103</v>
      </c>
      <c r="D291">
        <v>0.314</v>
      </c>
      <c r="E291">
        <v>-29</v>
      </c>
      <c r="F291">
        <v>-45</v>
      </c>
      <c r="G291">
        <v>-36</v>
      </c>
      <c r="H291">
        <v>-34</v>
      </c>
      <c r="I291">
        <v>-25</v>
      </c>
      <c r="J291">
        <v>-37</v>
      </c>
      <c r="K291">
        <v>-27</v>
      </c>
      <c r="L291">
        <v>-16</v>
      </c>
      <c r="M291">
        <v>-29</v>
      </c>
      <c r="N291">
        <v>-11</v>
      </c>
      <c r="O291">
        <v>-6</v>
      </c>
      <c r="P291">
        <v>-28</v>
      </c>
      <c r="Q291">
        <v>-11</v>
      </c>
      <c r="R291">
        <v>-7</v>
      </c>
      <c r="S291">
        <v>7</v>
      </c>
      <c r="T291">
        <v>-12</v>
      </c>
      <c r="U291">
        <v>-13</v>
      </c>
      <c r="V291">
        <v>1</v>
      </c>
      <c r="W291">
        <v>-3</v>
      </c>
      <c r="X291">
        <v>-6</v>
      </c>
      <c r="Y291">
        <v>5</v>
      </c>
      <c r="Z291">
        <v>-2</v>
      </c>
      <c r="AA291">
        <v>3</v>
      </c>
      <c r="AB291">
        <v>-3</v>
      </c>
      <c r="AC291">
        <v>-4</v>
      </c>
      <c r="AD291">
        <v>8</v>
      </c>
      <c r="AE291">
        <v>4</v>
      </c>
      <c r="AF291">
        <v>-1</v>
      </c>
      <c r="AG291">
        <v>-3</v>
      </c>
      <c r="AH291">
        <v>-1</v>
      </c>
      <c r="AI291">
        <v>-5</v>
      </c>
      <c r="AJ291">
        <v>8</v>
      </c>
      <c r="AK291">
        <v>-6</v>
      </c>
      <c r="AL291">
        <v>-1</v>
      </c>
      <c r="AM291">
        <v>-5</v>
      </c>
      <c r="AN291">
        <v>-6</v>
      </c>
      <c r="AO291">
        <v>-1</v>
      </c>
      <c r="AP291">
        <v>1</v>
      </c>
      <c r="AQ291">
        <v>-5</v>
      </c>
      <c r="AR291">
        <v>0</v>
      </c>
      <c r="AS291">
        <v>-8</v>
      </c>
      <c r="AT291">
        <v>1</v>
      </c>
      <c r="AU291">
        <v>0</v>
      </c>
      <c r="AV291">
        <v>-4</v>
      </c>
      <c r="AW291">
        <v>2</v>
      </c>
      <c r="AX291">
        <v>9</v>
      </c>
      <c r="AY291">
        <v>15</v>
      </c>
      <c r="AZ291">
        <v>8</v>
      </c>
      <c r="BA291">
        <v>15</v>
      </c>
      <c r="BB291">
        <v>12</v>
      </c>
      <c r="BC291">
        <v>-2</v>
      </c>
      <c r="BD291">
        <v>2</v>
      </c>
      <c r="BE291">
        <v>1</v>
      </c>
      <c r="BF291">
        <v>1</v>
      </c>
      <c r="BG291">
        <v>20</v>
      </c>
      <c r="BH291">
        <v>26</v>
      </c>
      <c r="BI291">
        <v>22</v>
      </c>
      <c r="BJ291">
        <v>21</v>
      </c>
      <c r="BK291">
        <v>19</v>
      </c>
      <c r="BL291">
        <v>19</v>
      </c>
      <c r="BM291">
        <v>41</v>
      </c>
      <c r="BN291">
        <v>38</v>
      </c>
      <c r="BO291">
        <v>33</v>
      </c>
      <c r="BP291">
        <v>38</v>
      </c>
      <c r="BQ291">
        <v>27</v>
      </c>
      <c r="BR291">
        <v>26</v>
      </c>
      <c r="BS291">
        <v>7</v>
      </c>
      <c r="BT291">
        <v>20</v>
      </c>
      <c r="BU291">
        <v>1</v>
      </c>
      <c r="BV291">
        <v>-7</v>
      </c>
    </row>
    <row r="292" spans="1:74" x14ac:dyDescent="0.25">
      <c r="A292" t="s">
        <v>626</v>
      </c>
      <c r="B292" t="s">
        <v>243</v>
      </c>
      <c r="C292" t="s">
        <v>103</v>
      </c>
      <c r="D292">
        <v>2.786</v>
      </c>
      <c r="E292">
        <v>-41</v>
      </c>
      <c r="F292">
        <v>-19</v>
      </c>
      <c r="G292">
        <v>-32</v>
      </c>
      <c r="H292">
        <v>-30</v>
      </c>
      <c r="I292">
        <v>-15</v>
      </c>
      <c r="J292">
        <v>-14</v>
      </c>
      <c r="K292">
        <v>-4</v>
      </c>
      <c r="L292">
        <v>-4</v>
      </c>
      <c r="M292">
        <v>2</v>
      </c>
      <c r="N292">
        <v>3</v>
      </c>
      <c r="O292">
        <v>10</v>
      </c>
      <c r="P292">
        <v>13</v>
      </c>
      <c r="Q292">
        <v>7</v>
      </c>
      <c r="R292">
        <v>2</v>
      </c>
      <c r="S292">
        <v>3</v>
      </c>
      <c r="T292">
        <v>6</v>
      </c>
      <c r="U292">
        <v>-26</v>
      </c>
      <c r="V292">
        <v>-29</v>
      </c>
      <c r="W292">
        <v>-18</v>
      </c>
      <c r="X292">
        <v>-8</v>
      </c>
      <c r="Y292">
        <v>-3</v>
      </c>
      <c r="Z292">
        <v>9</v>
      </c>
      <c r="AA292">
        <v>9</v>
      </c>
      <c r="AB292">
        <v>18</v>
      </c>
      <c r="AC292">
        <v>7</v>
      </c>
      <c r="AD292">
        <v>3</v>
      </c>
      <c r="AE292">
        <v>6</v>
      </c>
      <c r="AF292">
        <v>-11</v>
      </c>
      <c r="AG292">
        <v>1</v>
      </c>
      <c r="AH292">
        <v>-9</v>
      </c>
      <c r="AI292">
        <v>2</v>
      </c>
      <c r="AJ292">
        <v>2</v>
      </c>
      <c r="AK292">
        <v>10</v>
      </c>
      <c r="AL292">
        <v>4</v>
      </c>
      <c r="AM292">
        <v>2</v>
      </c>
      <c r="AN292">
        <v>6</v>
      </c>
      <c r="AO292">
        <v>6</v>
      </c>
      <c r="AP292">
        <v>12</v>
      </c>
      <c r="AQ292">
        <v>16</v>
      </c>
      <c r="AR292">
        <v>19</v>
      </c>
      <c r="AS292">
        <v>13</v>
      </c>
      <c r="AT292">
        <v>26</v>
      </c>
      <c r="AU292">
        <v>27</v>
      </c>
      <c r="AV292">
        <v>27</v>
      </c>
      <c r="AW292">
        <v>26</v>
      </c>
      <c r="AX292">
        <v>24</v>
      </c>
      <c r="AY292">
        <v>27</v>
      </c>
      <c r="AZ292">
        <v>17</v>
      </c>
      <c r="BA292">
        <v>10</v>
      </c>
      <c r="BB292">
        <v>15</v>
      </c>
      <c r="BC292">
        <v>-19</v>
      </c>
      <c r="BD292">
        <v>6</v>
      </c>
      <c r="BE292">
        <v>3</v>
      </c>
      <c r="BF292">
        <v>14</v>
      </c>
      <c r="BG292">
        <v>22</v>
      </c>
      <c r="BH292">
        <v>26</v>
      </c>
      <c r="BI292">
        <v>13</v>
      </c>
      <c r="BJ292">
        <v>-7</v>
      </c>
      <c r="BK292">
        <v>10</v>
      </c>
      <c r="BL292">
        <v>5</v>
      </c>
      <c r="BM292">
        <v>8</v>
      </c>
      <c r="BN292">
        <v>2</v>
      </c>
      <c r="BO292">
        <v>8</v>
      </c>
      <c r="BP292">
        <v>2</v>
      </c>
      <c r="BQ292">
        <v>3</v>
      </c>
      <c r="BR292">
        <v>-5</v>
      </c>
      <c r="BS292">
        <v>-4</v>
      </c>
      <c r="BT292">
        <v>-5</v>
      </c>
      <c r="BU292">
        <v>-5</v>
      </c>
      <c r="BV292">
        <v>-9</v>
      </c>
    </row>
    <row r="293" spans="1:74" x14ac:dyDescent="0.25">
      <c r="A293" t="s">
        <v>627</v>
      </c>
      <c r="B293" t="s">
        <v>37</v>
      </c>
      <c r="C293" t="s">
        <v>103</v>
      </c>
      <c r="D293">
        <v>-6.4569999999999999</v>
      </c>
      <c r="E293">
        <v>-40</v>
      </c>
      <c r="F293">
        <v>-41</v>
      </c>
      <c r="G293">
        <v>-38</v>
      </c>
      <c r="H293">
        <v>-40</v>
      </c>
      <c r="I293">
        <v>-38</v>
      </c>
      <c r="J293">
        <v>-36</v>
      </c>
      <c r="K293">
        <v>-32</v>
      </c>
      <c r="L293">
        <v>-20</v>
      </c>
      <c r="M293">
        <v>-6</v>
      </c>
      <c r="N293">
        <v>-10</v>
      </c>
      <c r="O293">
        <v>0</v>
      </c>
      <c r="P293">
        <v>4</v>
      </c>
      <c r="Q293">
        <v>-6</v>
      </c>
      <c r="R293">
        <v>-7</v>
      </c>
      <c r="S293">
        <v>-6</v>
      </c>
      <c r="T293">
        <v>-12</v>
      </c>
      <c r="U293">
        <v>-24</v>
      </c>
      <c r="V293">
        <v>-20</v>
      </c>
      <c r="W293">
        <v>-20</v>
      </c>
      <c r="X293">
        <v>-17</v>
      </c>
      <c r="Y293">
        <v>-5</v>
      </c>
      <c r="Z293">
        <v>-6</v>
      </c>
      <c r="AA293">
        <v>-2</v>
      </c>
      <c r="AB293">
        <v>7</v>
      </c>
      <c r="AC293">
        <v>-1</v>
      </c>
      <c r="AD293">
        <v>-2</v>
      </c>
      <c r="AE293">
        <v>6</v>
      </c>
      <c r="AF293">
        <v>-3</v>
      </c>
      <c r="AG293">
        <v>-4</v>
      </c>
      <c r="AH293">
        <v>2</v>
      </c>
      <c r="AI293">
        <v>0</v>
      </c>
      <c r="AJ293">
        <v>3</v>
      </c>
      <c r="AK293">
        <v>1</v>
      </c>
      <c r="AL293">
        <v>-3</v>
      </c>
      <c r="AM293">
        <v>-2</v>
      </c>
      <c r="AN293">
        <v>3</v>
      </c>
      <c r="AO293">
        <v>1</v>
      </c>
      <c r="AP293">
        <v>4</v>
      </c>
      <c r="AQ293">
        <v>9</v>
      </c>
      <c r="AR293">
        <v>5</v>
      </c>
      <c r="AS293">
        <v>9</v>
      </c>
      <c r="AT293">
        <v>13</v>
      </c>
      <c r="AU293">
        <v>10</v>
      </c>
      <c r="AV293">
        <v>14</v>
      </c>
      <c r="AW293">
        <v>15</v>
      </c>
      <c r="AX293">
        <v>12</v>
      </c>
      <c r="AY293">
        <v>11</v>
      </c>
      <c r="AZ293">
        <v>11</v>
      </c>
      <c r="BA293">
        <v>4</v>
      </c>
      <c r="BB293">
        <v>6</v>
      </c>
      <c r="BC293">
        <v>-11</v>
      </c>
      <c r="BD293">
        <v>-3</v>
      </c>
      <c r="BE293">
        <v>-1</v>
      </c>
      <c r="BF293">
        <v>2</v>
      </c>
      <c r="BG293">
        <v>4</v>
      </c>
      <c r="BH293">
        <v>5</v>
      </c>
      <c r="BI293">
        <v>-1</v>
      </c>
      <c r="BJ293">
        <v>-17</v>
      </c>
      <c r="BK293">
        <v>-7</v>
      </c>
      <c r="BL293">
        <v>-8</v>
      </c>
      <c r="BM293">
        <v>-22</v>
      </c>
      <c r="BN293">
        <v>-16</v>
      </c>
      <c r="BO293">
        <v>-12</v>
      </c>
      <c r="BP293">
        <v>-13</v>
      </c>
      <c r="BQ293">
        <v>-12</v>
      </c>
      <c r="BR293">
        <v>-8</v>
      </c>
      <c r="BS293">
        <v>-11</v>
      </c>
      <c r="BT293">
        <v>-9</v>
      </c>
      <c r="BU293">
        <v>-9</v>
      </c>
      <c r="BV293">
        <v>-12</v>
      </c>
    </row>
    <row r="294" spans="1:74" x14ac:dyDescent="0.25">
      <c r="A294" t="s">
        <v>628</v>
      </c>
      <c r="B294" t="s">
        <v>134</v>
      </c>
      <c r="C294" t="s">
        <v>103</v>
      </c>
      <c r="D294">
        <v>-7.7290000000000001</v>
      </c>
      <c r="E294">
        <v>-43</v>
      </c>
      <c r="F294">
        <v>-43</v>
      </c>
      <c r="G294">
        <v>-37</v>
      </c>
      <c r="H294">
        <v>-42</v>
      </c>
      <c r="I294">
        <v>-40</v>
      </c>
      <c r="J294">
        <v>-40</v>
      </c>
      <c r="K294">
        <v>-37</v>
      </c>
      <c r="L294">
        <v>-21</v>
      </c>
      <c r="M294">
        <v>-8</v>
      </c>
      <c r="N294">
        <v>-12</v>
      </c>
      <c r="O294">
        <v>-1</v>
      </c>
      <c r="P294">
        <v>-1</v>
      </c>
      <c r="Q294">
        <v>-9</v>
      </c>
      <c r="R294">
        <v>-7</v>
      </c>
      <c r="S294">
        <v>-6</v>
      </c>
      <c r="T294">
        <v>-15</v>
      </c>
      <c r="U294">
        <v>-24</v>
      </c>
      <c r="V294">
        <v>-21</v>
      </c>
      <c r="W294">
        <v>-22</v>
      </c>
      <c r="X294">
        <v>-20</v>
      </c>
      <c r="Y294">
        <v>-8</v>
      </c>
      <c r="Z294">
        <v>-6</v>
      </c>
      <c r="AA294">
        <v>-3</v>
      </c>
      <c r="AB294">
        <v>5</v>
      </c>
      <c r="AC294">
        <v>0</v>
      </c>
      <c r="AD294">
        <v>-2</v>
      </c>
      <c r="AE294">
        <v>6</v>
      </c>
      <c r="AF294">
        <v>-2</v>
      </c>
      <c r="AG294">
        <v>-2</v>
      </c>
      <c r="AH294">
        <v>2</v>
      </c>
      <c r="AI294">
        <v>2</v>
      </c>
      <c r="AJ294">
        <v>4</v>
      </c>
      <c r="AK294">
        <v>1</v>
      </c>
      <c r="AL294">
        <v>-4</v>
      </c>
      <c r="AM294">
        <v>-1</v>
      </c>
      <c r="AN294">
        <v>6</v>
      </c>
      <c r="AO294">
        <v>2</v>
      </c>
      <c r="AP294">
        <v>4</v>
      </c>
      <c r="AQ294">
        <v>8</v>
      </c>
      <c r="AR294">
        <v>5</v>
      </c>
      <c r="AS294">
        <v>8</v>
      </c>
      <c r="AT294">
        <v>10</v>
      </c>
      <c r="AU294">
        <v>9</v>
      </c>
      <c r="AV294">
        <v>10</v>
      </c>
      <c r="AW294">
        <v>13</v>
      </c>
      <c r="AX294">
        <v>12</v>
      </c>
      <c r="AY294">
        <v>11</v>
      </c>
      <c r="AZ294">
        <v>8</v>
      </c>
      <c r="BA294">
        <v>4</v>
      </c>
      <c r="BB294">
        <v>4</v>
      </c>
      <c r="BC294">
        <v>-8</v>
      </c>
      <c r="BD294">
        <v>-2</v>
      </c>
      <c r="BE294">
        <v>0</v>
      </c>
      <c r="BF294">
        <v>3</v>
      </c>
      <c r="BG294">
        <v>5</v>
      </c>
      <c r="BH294">
        <v>5</v>
      </c>
      <c r="BI294">
        <v>-3</v>
      </c>
      <c r="BJ294">
        <v>-18</v>
      </c>
      <c r="BK294">
        <v>-10</v>
      </c>
      <c r="BL294">
        <v>-13</v>
      </c>
      <c r="BM294">
        <v>-30</v>
      </c>
      <c r="BN294">
        <v>-20</v>
      </c>
      <c r="BO294">
        <v>-17</v>
      </c>
      <c r="BP294">
        <v>-15</v>
      </c>
      <c r="BQ294">
        <v>-16</v>
      </c>
      <c r="BR294">
        <v>-12</v>
      </c>
      <c r="BS294">
        <v>-13</v>
      </c>
      <c r="BT294">
        <v>-10</v>
      </c>
      <c r="BU294">
        <v>-12</v>
      </c>
      <c r="BV294">
        <v>-12</v>
      </c>
    </row>
    <row r="295" spans="1:74" x14ac:dyDescent="0.25">
      <c r="A295" t="s">
        <v>629</v>
      </c>
      <c r="B295" t="s">
        <v>135</v>
      </c>
      <c r="C295" t="s">
        <v>103</v>
      </c>
      <c r="D295">
        <v>-6.9</v>
      </c>
      <c r="E295">
        <v>-49</v>
      </c>
      <c r="F295">
        <v>-47</v>
      </c>
      <c r="G295">
        <v>-49</v>
      </c>
      <c r="H295">
        <v>-48</v>
      </c>
      <c r="I295">
        <v>-53</v>
      </c>
      <c r="J295">
        <v>-37</v>
      </c>
      <c r="K295">
        <v>-28</v>
      </c>
      <c r="L295">
        <v>-19</v>
      </c>
      <c r="M295">
        <v>-10</v>
      </c>
      <c r="N295">
        <v>-6</v>
      </c>
      <c r="O295">
        <v>3</v>
      </c>
      <c r="P295">
        <v>8</v>
      </c>
      <c r="Q295">
        <v>-6</v>
      </c>
      <c r="R295">
        <v>-10</v>
      </c>
      <c r="S295">
        <v>-9</v>
      </c>
      <c r="T295">
        <v>-12</v>
      </c>
      <c r="U295">
        <v>-27</v>
      </c>
      <c r="V295">
        <v>-15</v>
      </c>
      <c r="W295">
        <v>-21</v>
      </c>
      <c r="X295">
        <v>-25</v>
      </c>
      <c r="Y295">
        <v>-5</v>
      </c>
      <c r="Z295">
        <v>-18</v>
      </c>
      <c r="AA295">
        <v>-6</v>
      </c>
      <c r="AB295">
        <v>7</v>
      </c>
      <c r="AC295">
        <v>-1</v>
      </c>
      <c r="AD295">
        <v>-5</v>
      </c>
      <c r="AE295">
        <v>5</v>
      </c>
      <c r="AF295">
        <v>-8</v>
      </c>
      <c r="AG295">
        <v>-10</v>
      </c>
      <c r="AH295">
        <v>3</v>
      </c>
      <c r="AI295">
        <v>-5</v>
      </c>
      <c r="AJ295">
        <v>0</v>
      </c>
      <c r="AK295">
        <v>4</v>
      </c>
      <c r="AL295">
        <v>-5</v>
      </c>
      <c r="AM295">
        <v>-7</v>
      </c>
      <c r="AN295">
        <v>-6</v>
      </c>
      <c r="AO295">
        <v>-2</v>
      </c>
      <c r="AP295">
        <v>1</v>
      </c>
      <c r="AQ295">
        <v>9</v>
      </c>
      <c r="AR295">
        <v>2</v>
      </c>
      <c r="AS295">
        <v>7</v>
      </c>
      <c r="AT295">
        <v>20</v>
      </c>
      <c r="AU295">
        <v>10</v>
      </c>
      <c r="AV295">
        <v>19</v>
      </c>
      <c r="AW295">
        <v>19</v>
      </c>
      <c r="AX295">
        <v>12</v>
      </c>
      <c r="AY295">
        <v>13</v>
      </c>
      <c r="AZ295">
        <v>13</v>
      </c>
      <c r="BA295">
        <v>3</v>
      </c>
      <c r="BB295">
        <v>8</v>
      </c>
      <c r="BC295">
        <v>-7</v>
      </c>
      <c r="BD295">
        <v>-3</v>
      </c>
      <c r="BE295">
        <v>-4</v>
      </c>
      <c r="BF295">
        <v>-4</v>
      </c>
      <c r="BG295">
        <v>-4</v>
      </c>
      <c r="BH295">
        <v>1</v>
      </c>
      <c r="BI295">
        <v>-1</v>
      </c>
      <c r="BJ295">
        <v>-12</v>
      </c>
      <c r="BK295">
        <v>-10</v>
      </c>
      <c r="BL295">
        <v>1</v>
      </c>
      <c r="BM295">
        <v>-11</v>
      </c>
      <c r="BN295">
        <v>-1</v>
      </c>
      <c r="BO295">
        <v>1</v>
      </c>
      <c r="BP295">
        <v>-11</v>
      </c>
      <c r="BQ295">
        <v>-7</v>
      </c>
      <c r="BR295">
        <v>-3</v>
      </c>
      <c r="BS295">
        <v>-8</v>
      </c>
      <c r="BT295">
        <v>-5</v>
      </c>
      <c r="BU295">
        <v>-4</v>
      </c>
      <c r="BV295">
        <v>-8</v>
      </c>
    </row>
    <row r="296" spans="1:74" x14ac:dyDescent="0.25">
      <c r="A296" t="s">
        <v>630</v>
      </c>
      <c r="B296" t="s">
        <v>136</v>
      </c>
      <c r="C296" t="s">
        <v>103</v>
      </c>
      <c r="D296">
        <v>-4.3570000000000002</v>
      </c>
      <c r="E296">
        <v>-33</v>
      </c>
      <c r="F296">
        <v>-38</v>
      </c>
      <c r="G296">
        <v>-36</v>
      </c>
      <c r="H296">
        <v>-35</v>
      </c>
      <c r="I296">
        <v>-30</v>
      </c>
      <c r="J296">
        <v>-32</v>
      </c>
      <c r="K296">
        <v>-27</v>
      </c>
      <c r="L296">
        <v>-19</v>
      </c>
      <c r="M296">
        <v>-3</v>
      </c>
      <c r="N296">
        <v>-6</v>
      </c>
      <c r="O296">
        <v>0</v>
      </c>
      <c r="P296">
        <v>10</v>
      </c>
      <c r="Q296">
        <v>-3</v>
      </c>
      <c r="R296">
        <v>-5</v>
      </c>
      <c r="S296">
        <v>-6</v>
      </c>
      <c r="T296">
        <v>-7</v>
      </c>
      <c r="U296">
        <v>-23</v>
      </c>
      <c r="V296">
        <v>-19</v>
      </c>
      <c r="W296">
        <v>-15</v>
      </c>
      <c r="X296">
        <v>-9</v>
      </c>
      <c r="Y296">
        <v>-4</v>
      </c>
      <c r="Z296">
        <v>3</v>
      </c>
      <c r="AA296">
        <v>4</v>
      </c>
      <c r="AB296">
        <v>11</v>
      </c>
      <c r="AC296">
        <v>1</v>
      </c>
      <c r="AD296">
        <v>0</v>
      </c>
      <c r="AE296">
        <v>6</v>
      </c>
      <c r="AF296">
        <v>0</v>
      </c>
      <c r="AG296">
        <v>-1</v>
      </c>
      <c r="AH296">
        <v>4</v>
      </c>
      <c r="AI296">
        <v>2</v>
      </c>
      <c r="AJ296">
        <v>5</v>
      </c>
      <c r="AK296">
        <v>2</v>
      </c>
      <c r="AL296">
        <v>-1</v>
      </c>
      <c r="AM296">
        <v>-2</v>
      </c>
      <c r="AN296">
        <v>3</v>
      </c>
      <c r="AO296">
        <v>1</v>
      </c>
      <c r="AP296">
        <v>5</v>
      </c>
      <c r="AQ296">
        <v>10</v>
      </c>
      <c r="AR296">
        <v>7</v>
      </c>
      <c r="AS296">
        <v>9</v>
      </c>
      <c r="AT296">
        <v>14</v>
      </c>
      <c r="AU296">
        <v>12</v>
      </c>
      <c r="AV296">
        <v>15</v>
      </c>
      <c r="AW296">
        <v>17</v>
      </c>
      <c r="AX296">
        <v>11</v>
      </c>
      <c r="AY296">
        <v>9</v>
      </c>
      <c r="AZ296">
        <v>12</v>
      </c>
      <c r="BA296">
        <v>6</v>
      </c>
      <c r="BB296">
        <v>7</v>
      </c>
      <c r="BC296">
        <v>-18</v>
      </c>
      <c r="BD296">
        <v>-2</v>
      </c>
      <c r="BE296">
        <v>-1</v>
      </c>
      <c r="BF296">
        <v>3</v>
      </c>
      <c r="BG296">
        <v>5</v>
      </c>
      <c r="BH296">
        <v>7</v>
      </c>
      <c r="BI296">
        <v>2</v>
      </c>
      <c r="BJ296">
        <v>-16</v>
      </c>
      <c r="BK296">
        <v>-5</v>
      </c>
      <c r="BL296">
        <v>-5</v>
      </c>
      <c r="BM296">
        <v>-14</v>
      </c>
      <c r="BN296">
        <v>-16</v>
      </c>
      <c r="BO296">
        <v>-9</v>
      </c>
      <c r="BP296">
        <v>-10</v>
      </c>
      <c r="BQ296">
        <v>-11</v>
      </c>
      <c r="BR296">
        <v>-6</v>
      </c>
      <c r="BS296">
        <v>-9</v>
      </c>
      <c r="BT296">
        <v>-10</v>
      </c>
      <c r="BU296">
        <v>-8</v>
      </c>
      <c r="BV296">
        <v>-14</v>
      </c>
    </row>
    <row r="297" spans="1:74" x14ac:dyDescent="0.25">
      <c r="A297" t="s">
        <v>631</v>
      </c>
      <c r="B297" t="s">
        <v>38</v>
      </c>
      <c r="C297" t="s">
        <v>103</v>
      </c>
      <c r="D297">
        <v>-4.8860000000000001</v>
      </c>
      <c r="E297">
        <v>-26</v>
      </c>
      <c r="F297">
        <v>-25</v>
      </c>
      <c r="G297">
        <v>-23</v>
      </c>
      <c r="H297">
        <v>-21</v>
      </c>
      <c r="I297">
        <v>-17</v>
      </c>
      <c r="J297">
        <v>-21</v>
      </c>
      <c r="K297">
        <v>-15</v>
      </c>
      <c r="L297">
        <v>-10</v>
      </c>
      <c r="M297">
        <v>-6</v>
      </c>
      <c r="N297">
        <v>-6</v>
      </c>
      <c r="O297">
        <v>1</v>
      </c>
      <c r="P297">
        <v>5</v>
      </c>
      <c r="Q297">
        <v>0</v>
      </c>
      <c r="R297">
        <v>-4</v>
      </c>
      <c r="S297">
        <v>-3</v>
      </c>
      <c r="T297">
        <v>-9</v>
      </c>
      <c r="U297">
        <v>-20</v>
      </c>
      <c r="V297">
        <v>-23</v>
      </c>
      <c r="W297">
        <v>-16</v>
      </c>
      <c r="X297">
        <v>-11</v>
      </c>
      <c r="Y297">
        <v>-2</v>
      </c>
      <c r="Z297">
        <v>5</v>
      </c>
      <c r="AA297">
        <v>9</v>
      </c>
      <c r="AB297">
        <v>10</v>
      </c>
      <c r="AC297">
        <v>7</v>
      </c>
      <c r="AD297">
        <v>6</v>
      </c>
      <c r="AE297">
        <v>6</v>
      </c>
      <c r="AF297">
        <v>-1</v>
      </c>
      <c r="AG297">
        <v>0</v>
      </c>
      <c r="AH297">
        <v>-3</v>
      </c>
      <c r="AI297">
        <v>1</v>
      </c>
      <c r="AJ297">
        <v>3</v>
      </c>
      <c r="AK297">
        <v>5</v>
      </c>
      <c r="AL297">
        <v>-1</v>
      </c>
      <c r="AM297">
        <v>-1</v>
      </c>
      <c r="AN297">
        <v>3</v>
      </c>
      <c r="AO297">
        <v>3</v>
      </c>
      <c r="AP297">
        <v>4</v>
      </c>
      <c r="AQ297">
        <v>5</v>
      </c>
      <c r="AR297">
        <v>5</v>
      </c>
      <c r="AS297">
        <v>6</v>
      </c>
      <c r="AT297">
        <v>7</v>
      </c>
      <c r="AU297">
        <v>9</v>
      </c>
      <c r="AV297">
        <v>10</v>
      </c>
      <c r="AW297">
        <v>9</v>
      </c>
      <c r="AX297">
        <v>8</v>
      </c>
      <c r="AY297">
        <v>7</v>
      </c>
      <c r="AZ297">
        <v>6</v>
      </c>
      <c r="BA297">
        <v>1</v>
      </c>
      <c r="BB297">
        <v>0</v>
      </c>
      <c r="BC297">
        <v>-26</v>
      </c>
      <c r="BD297">
        <v>-8</v>
      </c>
      <c r="BE297">
        <v>-11</v>
      </c>
      <c r="BF297">
        <v>-6</v>
      </c>
      <c r="BG297">
        <v>6</v>
      </c>
      <c r="BH297">
        <v>5</v>
      </c>
      <c r="BI297">
        <v>-2</v>
      </c>
      <c r="BJ297">
        <v>-14</v>
      </c>
      <c r="BK297">
        <v>-4</v>
      </c>
      <c r="BL297">
        <v>-3</v>
      </c>
      <c r="BM297">
        <v>-13</v>
      </c>
      <c r="BN297">
        <v>-12</v>
      </c>
      <c r="BO297">
        <v>-11</v>
      </c>
      <c r="BP297">
        <v>-17</v>
      </c>
      <c r="BQ297">
        <v>-15</v>
      </c>
      <c r="BR297">
        <v>-14</v>
      </c>
      <c r="BS297">
        <v>-17</v>
      </c>
      <c r="BT297">
        <v>-17</v>
      </c>
      <c r="BU297">
        <v>-20</v>
      </c>
      <c r="BV297">
        <v>-20</v>
      </c>
    </row>
    <row r="298" spans="1:74" x14ac:dyDescent="0.25">
      <c r="A298" t="s">
        <v>632</v>
      </c>
      <c r="B298" t="s">
        <v>137</v>
      </c>
      <c r="C298" t="s">
        <v>103</v>
      </c>
      <c r="D298">
        <v>-1.157</v>
      </c>
      <c r="E298">
        <v>-23</v>
      </c>
      <c r="F298">
        <v>-17</v>
      </c>
      <c r="G298">
        <v>-17</v>
      </c>
      <c r="H298">
        <v>-15</v>
      </c>
      <c r="I298">
        <v>-9</v>
      </c>
      <c r="J298">
        <v>-20</v>
      </c>
      <c r="K298">
        <v>-12</v>
      </c>
      <c r="L298">
        <v>-3</v>
      </c>
      <c r="M298">
        <v>-3</v>
      </c>
      <c r="N298">
        <v>0</v>
      </c>
      <c r="O298">
        <v>10</v>
      </c>
      <c r="P298">
        <v>15</v>
      </c>
      <c r="Q298">
        <v>7</v>
      </c>
      <c r="R298">
        <v>3</v>
      </c>
      <c r="S298">
        <v>5</v>
      </c>
      <c r="T298">
        <v>-1</v>
      </c>
      <c r="U298">
        <v>-15</v>
      </c>
      <c r="V298">
        <v>-24</v>
      </c>
      <c r="W298">
        <v>-14</v>
      </c>
      <c r="X298">
        <v>-7</v>
      </c>
      <c r="Y298">
        <v>2</v>
      </c>
      <c r="Z298">
        <v>7</v>
      </c>
      <c r="AA298">
        <v>14</v>
      </c>
      <c r="AB298">
        <v>16</v>
      </c>
      <c r="AC298">
        <v>10</v>
      </c>
      <c r="AD298">
        <v>10</v>
      </c>
      <c r="AE298">
        <v>11</v>
      </c>
      <c r="AF298">
        <v>4</v>
      </c>
      <c r="AG298">
        <v>5</v>
      </c>
      <c r="AH298">
        <v>0</v>
      </c>
      <c r="AI298">
        <v>2</v>
      </c>
      <c r="AJ298">
        <v>7</v>
      </c>
      <c r="AK298">
        <v>10</v>
      </c>
      <c r="AL298">
        <v>3</v>
      </c>
      <c r="AM298">
        <v>3</v>
      </c>
      <c r="AN298">
        <v>6</v>
      </c>
      <c r="AO298">
        <v>4</v>
      </c>
      <c r="AP298">
        <v>6</v>
      </c>
      <c r="AQ298">
        <v>6</v>
      </c>
      <c r="AR298">
        <v>8</v>
      </c>
      <c r="AS298">
        <v>10</v>
      </c>
      <c r="AT298">
        <v>13</v>
      </c>
      <c r="AU298">
        <v>12</v>
      </c>
      <c r="AV298">
        <v>16</v>
      </c>
      <c r="AW298">
        <v>13</v>
      </c>
      <c r="AX298">
        <v>12</v>
      </c>
      <c r="AY298">
        <v>13</v>
      </c>
      <c r="AZ298">
        <v>10</v>
      </c>
      <c r="BA298">
        <v>2</v>
      </c>
      <c r="BB298">
        <v>0</v>
      </c>
      <c r="BC298">
        <v>-24</v>
      </c>
      <c r="BD298">
        <v>-7</v>
      </c>
      <c r="BE298">
        <v>-7</v>
      </c>
      <c r="BF298">
        <v>1</v>
      </c>
      <c r="BG298">
        <v>10</v>
      </c>
      <c r="BH298">
        <v>10</v>
      </c>
      <c r="BI298">
        <v>4</v>
      </c>
      <c r="BJ298">
        <v>-10</v>
      </c>
      <c r="BK298">
        <v>-1</v>
      </c>
      <c r="BL298">
        <v>1</v>
      </c>
      <c r="BM298">
        <v>-13</v>
      </c>
      <c r="BN298">
        <v>-11</v>
      </c>
      <c r="BO298">
        <v>-9</v>
      </c>
      <c r="BP298">
        <v>-18</v>
      </c>
      <c r="BQ298">
        <v>-17</v>
      </c>
      <c r="BR298">
        <v>-15</v>
      </c>
      <c r="BS298">
        <v>-17</v>
      </c>
      <c r="BT298">
        <v>-17</v>
      </c>
      <c r="BU298">
        <v>-19</v>
      </c>
      <c r="BV298">
        <v>-17</v>
      </c>
    </row>
    <row r="299" spans="1:74" x14ac:dyDescent="0.25">
      <c r="A299" t="s">
        <v>633</v>
      </c>
      <c r="B299" t="s">
        <v>138</v>
      </c>
      <c r="C299" t="s">
        <v>103</v>
      </c>
      <c r="D299">
        <v>-7.8860000000000001</v>
      </c>
      <c r="E299">
        <v>-31</v>
      </c>
      <c r="F299">
        <v>-33</v>
      </c>
      <c r="G299">
        <v>-30</v>
      </c>
      <c r="H299">
        <v>-27</v>
      </c>
      <c r="I299">
        <v>-24</v>
      </c>
      <c r="J299">
        <v>-22</v>
      </c>
      <c r="K299">
        <v>-17</v>
      </c>
      <c r="L299">
        <v>-14</v>
      </c>
      <c r="M299">
        <v>-9</v>
      </c>
      <c r="N299">
        <v>-10</v>
      </c>
      <c r="O299">
        <v>-5</v>
      </c>
      <c r="P299">
        <v>-2</v>
      </c>
      <c r="Q299">
        <v>-4</v>
      </c>
      <c r="R299">
        <v>-8</v>
      </c>
      <c r="S299">
        <v>-10</v>
      </c>
      <c r="T299">
        <v>-14</v>
      </c>
      <c r="U299">
        <v>-20</v>
      </c>
      <c r="V299">
        <v>-22</v>
      </c>
      <c r="W299">
        <v>-13</v>
      </c>
      <c r="X299">
        <v>-11</v>
      </c>
      <c r="Y299">
        <v>-4</v>
      </c>
      <c r="Z299">
        <v>3</v>
      </c>
      <c r="AA299">
        <v>5</v>
      </c>
      <c r="AB299">
        <v>5</v>
      </c>
      <c r="AC299">
        <v>2</v>
      </c>
      <c r="AD299">
        <v>0</v>
      </c>
      <c r="AE299">
        <v>2</v>
      </c>
      <c r="AF299">
        <v>-2</v>
      </c>
      <c r="AG299">
        <v>-3</v>
      </c>
      <c r="AH299">
        <v>-3</v>
      </c>
      <c r="AI299">
        <v>1</v>
      </c>
      <c r="AJ299">
        <v>-1</v>
      </c>
      <c r="AK299">
        <v>1</v>
      </c>
      <c r="AL299">
        <v>-2</v>
      </c>
      <c r="AM299">
        <v>-5</v>
      </c>
      <c r="AN299">
        <v>0</v>
      </c>
      <c r="AO299">
        <v>1</v>
      </c>
      <c r="AP299">
        <v>2</v>
      </c>
      <c r="AQ299">
        <v>3</v>
      </c>
      <c r="AR299">
        <v>2</v>
      </c>
      <c r="AS299">
        <v>0</v>
      </c>
      <c r="AT299">
        <v>2</v>
      </c>
      <c r="AU299">
        <v>5</v>
      </c>
      <c r="AV299">
        <v>3</v>
      </c>
      <c r="AW299">
        <v>4</v>
      </c>
      <c r="AX299">
        <v>3</v>
      </c>
      <c r="AY299">
        <v>1</v>
      </c>
      <c r="AZ299">
        <v>2</v>
      </c>
      <c r="BA299">
        <v>0</v>
      </c>
      <c r="BB299">
        <v>0</v>
      </c>
      <c r="BC299">
        <v>-25</v>
      </c>
      <c r="BD299">
        <v>-7</v>
      </c>
      <c r="BE299">
        <v>-14</v>
      </c>
      <c r="BF299">
        <v>-11</v>
      </c>
      <c r="BG299">
        <v>5</v>
      </c>
      <c r="BH299">
        <v>1</v>
      </c>
      <c r="BI299">
        <v>-5</v>
      </c>
      <c r="BJ299">
        <v>-17</v>
      </c>
      <c r="BK299">
        <v>-8</v>
      </c>
      <c r="BL299">
        <v>-6</v>
      </c>
      <c r="BM299">
        <v>-14</v>
      </c>
      <c r="BN299">
        <v>-14</v>
      </c>
      <c r="BO299">
        <v>-13</v>
      </c>
      <c r="BP299">
        <v>-17</v>
      </c>
      <c r="BQ299">
        <v>-15</v>
      </c>
      <c r="BR299">
        <v>-14</v>
      </c>
      <c r="BS299">
        <v>-17</v>
      </c>
      <c r="BT299">
        <v>-18</v>
      </c>
      <c r="BU299">
        <v>-22</v>
      </c>
      <c r="BV299">
        <v>-22</v>
      </c>
    </row>
    <row r="300" spans="1:74" x14ac:dyDescent="0.25">
      <c r="A300" t="s">
        <v>634</v>
      </c>
      <c r="B300" t="s">
        <v>139</v>
      </c>
      <c r="C300" t="s">
        <v>103</v>
      </c>
      <c r="D300">
        <v>1.2430000000000001</v>
      </c>
      <c r="E300">
        <v>-16</v>
      </c>
      <c r="F300">
        <v>-12</v>
      </c>
      <c r="G300">
        <v>-14</v>
      </c>
      <c r="H300">
        <v>-11</v>
      </c>
      <c r="I300">
        <v>-8</v>
      </c>
      <c r="J300">
        <v>-10</v>
      </c>
      <c r="K300">
        <v>-8</v>
      </c>
      <c r="L300">
        <v>1</v>
      </c>
      <c r="M300">
        <v>5</v>
      </c>
      <c r="N300">
        <v>3</v>
      </c>
      <c r="O300">
        <v>11</v>
      </c>
      <c r="P300">
        <v>16</v>
      </c>
      <c r="Q300">
        <v>12</v>
      </c>
      <c r="R300">
        <v>11</v>
      </c>
      <c r="S300">
        <v>10</v>
      </c>
      <c r="T300">
        <v>2</v>
      </c>
      <c r="U300">
        <v>-13</v>
      </c>
      <c r="V300">
        <v>-18</v>
      </c>
      <c r="W300">
        <v>-9</v>
      </c>
      <c r="X300">
        <v>-2</v>
      </c>
      <c r="Y300">
        <v>5</v>
      </c>
      <c r="Z300">
        <v>9</v>
      </c>
      <c r="AA300">
        <v>12</v>
      </c>
      <c r="AB300">
        <v>13</v>
      </c>
      <c r="AC300">
        <v>10</v>
      </c>
      <c r="AD300">
        <v>9</v>
      </c>
      <c r="AE300">
        <v>10</v>
      </c>
      <c r="AF300">
        <v>4</v>
      </c>
      <c r="AG300">
        <v>5</v>
      </c>
      <c r="AH300">
        <v>3</v>
      </c>
      <c r="AI300">
        <v>6</v>
      </c>
      <c r="AJ300">
        <v>7</v>
      </c>
      <c r="AK300">
        <v>8</v>
      </c>
      <c r="AL300">
        <v>5</v>
      </c>
      <c r="AM300">
        <v>5</v>
      </c>
      <c r="AN300">
        <v>6</v>
      </c>
      <c r="AO300">
        <v>7</v>
      </c>
      <c r="AP300">
        <v>7</v>
      </c>
      <c r="AQ300">
        <v>8</v>
      </c>
      <c r="AR300">
        <v>6</v>
      </c>
      <c r="AS300">
        <v>7</v>
      </c>
      <c r="AT300">
        <v>8</v>
      </c>
      <c r="AU300">
        <v>9</v>
      </c>
      <c r="AV300">
        <v>12</v>
      </c>
      <c r="AW300">
        <v>11</v>
      </c>
      <c r="AX300">
        <v>9</v>
      </c>
      <c r="AY300">
        <v>11</v>
      </c>
      <c r="AZ300">
        <v>8</v>
      </c>
      <c r="BA300">
        <v>3</v>
      </c>
      <c r="BB300">
        <v>5</v>
      </c>
      <c r="BC300">
        <v>-28</v>
      </c>
      <c r="BD300">
        <v>-12</v>
      </c>
      <c r="BE300">
        <v>-9</v>
      </c>
      <c r="BF300">
        <v>-6</v>
      </c>
      <c r="BG300">
        <v>8</v>
      </c>
      <c r="BH300">
        <v>5</v>
      </c>
      <c r="BI300">
        <v>7</v>
      </c>
      <c r="BJ300">
        <v>-5</v>
      </c>
      <c r="BK300">
        <v>4</v>
      </c>
      <c r="BL300">
        <v>4</v>
      </c>
      <c r="BM300">
        <v>-5</v>
      </c>
      <c r="BN300">
        <v>-3</v>
      </c>
      <c r="BO300">
        <v>-2</v>
      </c>
      <c r="BP300">
        <v>-6</v>
      </c>
      <c r="BQ300">
        <v>-4</v>
      </c>
      <c r="BR300">
        <v>-4</v>
      </c>
      <c r="BS300">
        <v>-7</v>
      </c>
      <c r="BT300">
        <v>-7</v>
      </c>
      <c r="BU300">
        <v>-10</v>
      </c>
      <c r="BV300">
        <v>-11</v>
      </c>
    </row>
    <row r="301" spans="1:74" x14ac:dyDescent="0.25">
      <c r="A301" t="s">
        <v>635</v>
      </c>
      <c r="B301" t="s">
        <v>140</v>
      </c>
      <c r="C301" t="s">
        <v>103</v>
      </c>
      <c r="D301">
        <v>-4.2140000000000004</v>
      </c>
      <c r="E301">
        <v>-17</v>
      </c>
      <c r="F301">
        <v>-12</v>
      </c>
      <c r="G301">
        <v>-17</v>
      </c>
      <c r="H301">
        <v>-15</v>
      </c>
      <c r="I301">
        <v>-13</v>
      </c>
      <c r="J301">
        <v>-19</v>
      </c>
      <c r="K301">
        <v>-14</v>
      </c>
      <c r="L301">
        <v>-7</v>
      </c>
      <c r="M301">
        <v>-2</v>
      </c>
      <c r="N301">
        <v>0</v>
      </c>
      <c r="O301">
        <v>13</v>
      </c>
      <c r="P301">
        <v>21</v>
      </c>
      <c r="Q301">
        <v>12</v>
      </c>
      <c r="R301">
        <v>9</v>
      </c>
      <c r="S301">
        <v>5</v>
      </c>
      <c r="T301">
        <v>-7</v>
      </c>
      <c r="U301">
        <v>-33</v>
      </c>
      <c r="V301">
        <v>-37</v>
      </c>
      <c r="W301">
        <v>-22</v>
      </c>
      <c r="X301">
        <v>-14</v>
      </c>
      <c r="Y301">
        <v>1</v>
      </c>
      <c r="Z301">
        <v>9</v>
      </c>
      <c r="AA301">
        <v>9</v>
      </c>
      <c r="AB301">
        <v>9</v>
      </c>
      <c r="AC301">
        <v>5</v>
      </c>
      <c r="AD301">
        <v>2</v>
      </c>
      <c r="AE301">
        <v>1</v>
      </c>
      <c r="AF301">
        <v>-4</v>
      </c>
      <c r="AG301">
        <v>-7</v>
      </c>
      <c r="AH301">
        <v>-5</v>
      </c>
      <c r="AI301">
        <v>0</v>
      </c>
      <c r="AJ301">
        <v>2</v>
      </c>
      <c r="AK301">
        <v>3</v>
      </c>
      <c r="AL301">
        <v>0</v>
      </c>
      <c r="AM301">
        <v>0</v>
      </c>
      <c r="AN301">
        <v>3</v>
      </c>
      <c r="AO301">
        <v>5</v>
      </c>
      <c r="AP301">
        <v>4</v>
      </c>
      <c r="AQ301">
        <v>5</v>
      </c>
      <c r="AR301">
        <v>4</v>
      </c>
      <c r="AS301">
        <v>6</v>
      </c>
      <c r="AT301">
        <v>7</v>
      </c>
      <c r="AU301">
        <v>9</v>
      </c>
      <c r="AV301">
        <v>12</v>
      </c>
      <c r="AW301">
        <v>8</v>
      </c>
      <c r="AX301">
        <v>7</v>
      </c>
      <c r="AY301">
        <v>8</v>
      </c>
      <c r="AZ301">
        <v>1</v>
      </c>
      <c r="BA301">
        <v>-7</v>
      </c>
      <c r="BB301">
        <v>-3</v>
      </c>
      <c r="BC301">
        <v>-33</v>
      </c>
      <c r="BD301">
        <v>-14</v>
      </c>
      <c r="BE301">
        <v>-14</v>
      </c>
      <c r="BF301">
        <v>-7</v>
      </c>
      <c r="BG301">
        <v>6</v>
      </c>
      <c r="BH301">
        <v>2</v>
      </c>
      <c r="BI301">
        <v>-1</v>
      </c>
      <c r="BJ301">
        <v>-7</v>
      </c>
      <c r="BK301">
        <v>-1</v>
      </c>
      <c r="BL301">
        <v>-4</v>
      </c>
      <c r="BM301">
        <v>-16</v>
      </c>
      <c r="BN301">
        <v>-18</v>
      </c>
      <c r="BO301">
        <v>-13</v>
      </c>
      <c r="BP301">
        <v>-17</v>
      </c>
      <c r="BQ301">
        <v>-13</v>
      </c>
      <c r="BR301">
        <v>-12</v>
      </c>
      <c r="BS301">
        <v>-11</v>
      </c>
      <c r="BT301">
        <v>-16</v>
      </c>
      <c r="BU301">
        <v>-17</v>
      </c>
      <c r="BV301">
        <v>-14</v>
      </c>
    </row>
    <row r="302" spans="1:74" x14ac:dyDescent="0.25">
      <c r="A302" t="s">
        <v>636</v>
      </c>
      <c r="B302" t="s">
        <v>141</v>
      </c>
      <c r="C302" t="s">
        <v>103</v>
      </c>
      <c r="D302">
        <v>-7.6429999999999998</v>
      </c>
      <c r="E302">
        <v>-27</v>
      </c>
      <c r="F302">
        <v>-21</v>
      </c>
      <c r="G302">
        <v>-27</v>
      </c>
      <c r="H302">
        <v>-24</v>
      </c>
      <c r="I302">
        <v>-22</v>
      </c>
      <c r="J302">
        <v>-27</v>
      </c>
      <c r="K302">
        <v>-23</v>
      </c>
      <c r="L302">
        <v>-16</v>
      </c>
      <c r="M302">
        <v>-10</v>
      </c>
      <c r="N302">
        <v>-9</v>
      </c>
      <c r="O302">
        <v>5</v>
      </c>
      <c r="P302">
        <v>11</v>
      </c>
      <c r="Q302">
        <v>2</v>
      </c>
      <c r="R302">
        <v>3</v>
      </c>
      <c r="S302">
        <v>-3</v>
      </c>
      <c r="T302">
        <v>-14</v>
      </c>
      <c r="U302">
        <v>-30</v>
      </c>
      <c r="V302">
        <v>-35</v>
      </c>
      <c r="W302">
        <v>-21</v>
      </c>
      <c r="X302">
        <v>-16</v>
      </c>
      <c r="Y302">
        <v>-6</v>
      </c>
      <c r="Z302">
        <v>2</v>
      </c>
      <c r="AA302">
        <v>2</v>
      </c>
      <c r="AB302">
        <v>1</v>
      </c>
      <c r="AC302">
        <v>1</v>
      </c>
      <c r="AD302">
        <v>-4</v>
      </c>
      <c r="AE302">
        <v>-4</v>
      </c>
      <c r="AF302">
        <v>-6</v>
      </c>
      <c r="AG302">
        <v>-6</v>
      </c>
      <c r="AH302">
        <v>-5</v>
      </c>
      <c r="AI302">
        <v>0</v>
      </c>
      <c r="AJ302">
        <v>0</v>
      </c>
      <c r="AK302">
        <v>-3</v>
      </c>
      <c r="AL302">
        <v>-5</v>
      </c>
      <c r="AM302">
        <v>-4</v>
      </c>
      <c r="AN302">
        <v>1</v>
      </c>
      <c r="AO302">
        <v>4</v>
      </c>
      <c r="AP302">
        <v>3</v>
      </c>
      <c r="AQ302">
        <v>3</v>
      </c>
      <c r="AR302">
        <v>5</v>
      </c>
      <c r="AS302">
        <v>4</v>
      </c>
      <c r="AT302">
        <v>3</v>
      </c>
      <c r="AU302">
        <v>6</v>
      </c>
      <c r="AV302">
        <v>7</v>
      </c>
      <c r="AW302">
        <v>3</v>
      </c>
      <c r="AX302">
        <v>2</v>
      </c>
      <c r="AY302">
        <v>4</v>
      </c>
      <c r="AZ302">
        <v>0</v>
      </c>
      <c r="BA302">
        <v>-5</v>
      </c>
      <c r="BB302">
        <v>-1</v>
      </c>
      <c r="BC302">
        <v>-31</v>
      </c>
      <c r="BD302">
        <v>-14</v>
      </c>
      <c r="BE302">
        <v>-15</v>
      </c>
      <c r="BF302">
        <v>-10</v>
      </c>
      <c r="BG302">
        <v>1</v>
      </c>
      <c r="BH302">
        <v>-3</v>
      </c>
      <c r="BI302">
        <v>-6</v>
      </c>
      <c r="BJ302">
        <v>-8</v>
      </c>
      <c r="BK302">
        <v>-4</v>
      </c>
      <c r="BL302">
        <v>-4</v>
      </c>
      <c r="BM302">
        <v>-15</v>
      </c>
      <c r="BN302">
        <v>-16</v>
      </c>
      <c r="BO302">
        <v>-14</v>
      </c>
      <c r="BP302">
        <v>-14</v>
      </c>
      <c r="BQ302">
        <v>-9</v>
      </c>
      <c r="BR302">
        <v>-11</v>
      </c>
      <c r="BS302">
        <v>-11</v>
      </c>
      <c r="BT302">
        <v>-14</v>
      </c>
      <c r="BU302">
        <v>-18</v>
      </c>
      <c r="BV302">
        <v>-17</v>
      </c>
    </row>
    <row r="303" spans="1:74" x14ac:dyDescent="0.25">
      <c r="A303" t="s">
        <v>637</v>
      </c>
      <c r="B303" t="s">
        <v>142</v>
      </c>
      <c r="C303" t="s">
        <v>103</v>
      </c>
      <c r="D303">
        <v>-0.214</v>
      </c>
      <c r="E303">
        <v>-7</v>
      </c>
      <c r="F303">
        <v>-4</v>
      </c>
      <c r="G303">
        <v>-10</v>
      </c>
      <c r="H303">
        <v>-4</v>
      </c>
      <c r="I303">
        <v>-5</v>
      </c>
      <c r="J303">
        <v>-12</v>
      </c>
      <c r="K303">
        <v>-5</v>
      </c>
      <c r="L303">
        <v>3</v>
      </c>
      <c r="M303">
        <v>6</v>
      </c>
      <c r="N303">
        <v>12</v>
      </c>
      <c r="O303">
        <v>21</v>
      </c>
      <c r="P303">
        <v>30</v>
      </c>
      <c r="Q303">
        <v>24</v>
      </c>
      <c r="R303">
        <v>15</v>
      </c>
      <c r="S303">
        <v>10</v>
      </c>
      <c r="T303">
        <v>-3</v>
      </c>
      <c r="U303">
        <v>-39</v>
      </c>
      <c r="V303">
        <v>-43</v>
      </c>
      <c r="W303">
        <v>-20</v>
      </c>
      <c r="X303">
        <v>-13</v>
      </c>
      <c r="Y303">
        <v>11</v>
      </c>
      <c r="Z303">
        <v>18</v>
      </c>
      <c r="AA303">
        <v>18</v>
      </c>
      <c r="AB303">
        <v>20</v>
      </c>
      <c r="AC303">
        <v>13</v>
      </c>
      <c r="AD303">
        <v>8</v>
      </c>
      <c r="AE303">
        <v>8</v>
      </c>
      <c r="AF303">
        <v>-3</v>
      </c>
      <c r="AG303">
        <v>-7</v>
      </c>
      <c r="AH303">
        <v>-4</v>
      </c>
      <c r="AI303">
        <v>0</v>
      </c>
      <c r="AJ303">
        <v>6</v>
      </c>
      <c r="AK303">
        <v>12</v>
      </c>
      <c r="AL303">
        <v>8</v>
      </c>
      <c r="AM303">
        <v>6</v>
      </c>
      <c r="AN303">
        <v>8</v>
      </c>
      <c r="AO303">
        <v>8</v>
      </c>
      <c r="AP303">
        <v>8</v>
      </c>
      <c r="AQ303">
        <v>9</v>
      </c>
      <c r="AR303">
        <v>4</v>
      </c>
      <c r="AS303">
        <v>9</v>
      </c>
      <c r="AT303">
        <v>13</v>
      </c>
      <c r="AU303">
        <v>14</v>
      </c>
      <c r="AV303">
        <v>20</v>
      </c>
      <c r="AW303">
        <v>15</v>
      </c>
      <c r="AX303">
        <v>14</v>
      </c>
      <c r="AY303">
        <v>12</v>
      </c>
      <c r="AZ303">
        <v>4</v>
      </c>
      <c r="BA303">
        <v>-10</v>
      </c>
      <c r="BB303">
        <v>-7</v>
      </c>
      <c r="BC303">
        <v>-35</v>
      </c>
      <c r="BD303">
        <v>-13</v>
      </c>
      <c r="BE303">
        <v>-13</v>
      </c>
      <c r="BF303">
        <v>-2</v>
      </c>
      <c r="BG303">
        <v>12</v>
      </c>
      <c r="BH303">
        <v>8</v>
      </c>
      <c r="BI303">
        <v>4</v>
      </c>
      <c r="BJ303">
        <v>-6</v>
      </c>
      <c r="BK303">
        <v>2</v>
      </c>
      <c r="BL303">
        <v>-4</v>
      </c>
      <c r="BM303">
        <v>-17</v>
      </c>
      <c r="BN303">
        <v>-22</v>
      </c>
      <c r="BO303">
        <v>-13</v>
      </c>
      <c r="BP303">
        <v>-19</v>
      </c>
      <c r="BQ303">
        <v>-17</v>
      </c>
      <c r="BR303">
        <v>-14</v>
      </c>
      <c r="BS303">
        <v>-12</v>
      </c>
      <c r="BT303">
        <v>-18</v>
      </c>
      <c r="BU303">
        <v>-16</v>
      </c>
      <c r="BV303">
        <v>-11</v>
      </c>
    </row>
    <row r="304" spans="1:74" x14ac:dyDescent="0.25">
      <c r="A304" t="s">
        <v>638</v>
      </c>
      <c r="B304" t="s">
        <v>143</v>
      </c>
      <c r="C304" t="s">
        <v>103</v>
      </c>
      <c r="D304">
        <v>-7.1859999999999999</v>
      </c>
      <c r="E304">
        <v>-25</v>
      </c>
      <c r="F304">
        <v>-22</v>
      </c>
      <c r="G304">
        <v>-20</v>
      </c>
      <c r="H304">
        <v>-19</v>
      </c>
      <c r="I304">
        <v>-15</v>
      </c>
      <c r="J304">
        <v>-15</v>
      </c>
      <c r="K304">
        <v>-11</v>
      </c>
      <c r="L304">
        <v>-1</v>
      </c>
      <c r="M304">
        <v>-2</v>
      </c>
      <c r="N304">
        <v>-6</v>
      </c>
      <c r="O304">
        <v>-1</v>
      </c>
      <c r="P304">
        <v>4</v>
      </c>
      <c r="Q304">
        <v>3</v>
      </c>
      <c r="R304">
        <v>-3</v>
      </c>
      <c r="S304">
        <v>-5</v>
      </c>
      <c r="T304">
        <v>-11</v>
      </c>
      <c r="U304">
        <v>-21</v>
      </c>
      <c r="V304">
        <v>-29</v>
      </c>
      <c r="W304">
        <v>-19</v>
      </c>
      <c r="X304">
        <v>-10</v>
      </c>
      <c r="Y304">
        <v>0</v>
      </c>
      <c r="Z304">
        <v>4</v>
      </c>
      <c r="AA304">
        <v>8</v>
      </c>
      <c r="AB304">
        <v>9</v>
      </c>
      <c r="AC304">
        <v>6</v>
      </c>
      <c r="AD304">
        <v>5</v>
      </c>
      <c r="AE304">
        <v>7</v>
      </c>
      <c r="AF304">
        <v>0</v>
      </c>
      <c r="AG304">
        <v>1</v>
      </c>
      <c r="AH304">
        <v>-1</v>
      </c>
      <c r="AI304">
        <v>0</v>
      </c>
      <c r="AJ304">
        <v>-1</v>
      </c>
      <c r="AK304">
        <v>2</v>
      </c>
      <c r="AL304">
        <v>1</v>
      </c>
      <c r="AM304">
        <v>-1</v>
      </c>
      <c r="AN304">
        <v>0</v>
      </c>
      <c r="AO304">
        <v>3</v>
      </c>
      <c r="AP304">
        <v>3</v>
      </c>
      <c r="AQ304">
        <v>5</v>
      </c>
      <c r="AR304">
        <v>0</v>
      </c>
      <c r="AS304">
        <v>3</v>
      </c>
      <c r="AT304">
        <v>5</v>
      </c>
      <c r="AU304">
        <v>1</v>
      </c>
      <c r="AV304">
        <v>3</v>
      </c>
      <c r="AW304">
        <v>5</v>
      </c>
      <c r="AX304">
        <v>0</v>
      </c>
      <c r="AY304">
        <v>2</v>
      </c>
      <c r="AZ304">
        <v>4</v>
      </c>
      <c r="BA304">
        <v>-1</v>
      </c>
      <c r="BB304">
        <v>-3</v>
      </c>
      <c r="BC304">
        <v>-64</v>
      </c>
      <c r="BD304">
        <v>-30</v>
      </c>
      <c r="BE304">
        <v>-31</v>
      </c>
      <c r="BF304">
        <v>-24</v>
      </c>
      <c r="BG304">
        <v>2</v>
      </c>
      <c r="BH304">
        <v>-8</v>
      </c>
      <c r="BI304">
        <v>7</v>
      </c>
      <c r="BJ304">
        <v>-15</v>
      </c>
      <c r="BK304">
        <v>-1</v>
      </c>
      <c r="BL304">
        <v>-1</v>
      </c>
      <c r="BM304">
        <v>-16</v>
      </c>
      <c r="BN304">
        <v>-17</v>
      </c>
      <c r="BO304">
        <v>-14</v>
      </c>
      <c r="BP304">
        <v>-19</v>
      </c>
      <c r="BQ304">
        <v>-17</v>
      </c>
      <c r="BR304">
        <v>-17</v>
      </c>
      <c r="BS304">
        <v>-21</v>
      </c>
      <c r="BT304">
        <v>-18</v>
      </c>
      <c r="BU304">
        <v>-20</v>
      </c>
      <c r="BV304">
        <v>-21</v>
      </c>
    </row>
    <row r="305" spans="1:74" x14ac:dyDescent="0.25">
      <c r="A305" t="s">
        <v>639</v>
      </c>
      <c r="B305" t="s">
        <v>144</v>
      </c>
      <c r="C305" t="s">
        <v>103</v>
      </c>
      <c r="D305">
        <v>-6.3570000000000002</v>
      </c>
      <c r="E305">
        <v>-22</v>
      </c>
      <c r="F305">
        <v>-24</v>
      </c>
      <c r="G305">
        <v>-20</v>
      </c>
      <c r="H305">
        <v>-15</v>
      </c>
      <c r="I305">
        <v>-13</v>
      </c>
      <c r="J305">
        <v>-14</v>
      </c>
      <c r="K305">
        <v>-11</v>
      </c>
      <c r="L305">
        <v>-1</v>
      </c>
      <c r="M305">
        <v>-1</v>
      </c>
      <c r="N305">
        <v>-9</v>
      </c>
      <c r="O305">
        <v>0</v>
      </c>
      <c r="P305">
        <v>4</v>
      </c>
      <c r="Q305">
        <v>4</v>
      </c>
      <c r="R305">
        <v>-2</v>
      </c>
      <c r="S305">
        <v>0</v>
      </c>
      <c r="T305">
        <v>-9</v>
      </c>
      <c r="U305">
        <v>-21</v>
      </c>
      <c r="V305">
        <v>-29</v>
      </c>
      <c r="W305">
        <v>-20</v>
      </c>
      <c r="X305">
        <v>-7</v>
      </c>
      <c r="Y305">
        <v>4</v>
      </c>
      <c r="Z305">
        <v>7</v>
      </c>
      <c r="AA305">
        <v>10</v>
      </c>
      <c r="AB305">
        <v>11</v>
      </c>
      <c r="AC305">
        <v>8</v>
      </c>
      <c r="AD305">
        <v>8</v>
      </c>
      <c r="AE305">
        <v>9</v>
      </c>
      <c r="AF305">
        <v>2</v>
      </c>
      <c r="AG305">
        <v>2</v>
      </c>
      <c r="AH305">
        <v>0</v>
      </c>
      <c r="AI305">
        <v>1</v>
      </c>
      <c r="AJ305">
        <v>1</v>
      </c>
      <c r="AK305">
        <v>1</v>
      </c>
      <c r="AL305">
        <v>3</v>
      </c>
      <c r="AM305">
        <v>0</v>
      </c>
      <c r="AN305">
        <v>1</v>
      </c>
      <c r="AO305">
        <v>4</v>
      </c>
      <c r="AP305">
        <v>4</v>
      </c>
      <c r="AQ305">
        <v>6</v>
      </c>
      <c r="AR305">
        <v>2</v>
      </c>
      <c r="AS305">
        <v>5</v>
      </c>
      <c r="AT305">
        <v>6</v>
      </c>
      <c r="AU305">
        <v>1</v>
      </c>
      <c r="AV305">
        <v>2</v>
      </c>
      <c r="AW305">
        <v>5</v>
      </c>
      <c r="AX305">
        <v>0</v>
      </c>
      <c r="AY305">
        <v>2</v>
      </c>
      <c r="AZ305">
        <v>3</v>
      </c>
      <c r="BA305">
        <v>-2</v>
      </c>
      <c r="BB305">
        <v>-3</v>
      </c>
      <c r="BC305">
        <v>-64</v>
      </c>
      <c r="BD305">
        <v>-30</v>
      </c>
      <c r="BE305">
        <v>-32</v>
      </c>
      <c r="BF305">
        <v>-23</v>
      </c>
      <c r="BG305">
        <v>3</v>
      </c>
      <c r="BH305">
        <v>-7</v>
      </c>
      <c r="BI305">
        <v>8</v>
      </c>
      <c r="BJ305">
        <v>-12</v>
      </c>
      <c r="BK305">
        <v>0</v>
      </c>
      <c r="BL305">
        <v>-2</v>
      </c>
      <c r="BM305">
        <v>-16</v>
      </c>
      <c r="BN305">
        <v>-17</v>
      </c>
      <c r="BO305">
        <v>-15</v>
      </c>
      <c r="BP305">
        <v>-18</v>
      </c>
      <c r="BQ305">
        <v>-15</v>
      </c>
      <c r="BR305">
        <v>-19</v>
      </c>
      <c r="BS305">
        <v>-22</v>
      </c>
      <c r="BT305">
        <v>-18</v>
      </c>
      <c r="BU305">
        <v>-20</v>
      </c>
      <c r="BV305">
        <v>-19</v>
      </c>
    </row>
    <row r="306" spans="1:74" x14ac:dyDescent="0.25">
      <c r="A306" t="s">
        <v>640</v>
      </c>
      <c r="B306" t="s">
        <v>145</v>
      </c>
      <c r="C306" t="s">
        <v>103</v>
      </c>
      <c r="D306">
        <v>-8.6</v>
      </c>
      <c r="E306">
        <v>-28</v>
      </c>
      <c r="F306">
        <v>-21</v>
      </c>
      <c r="G306">
        <v>-21</v>
      </c>
      <c r="H306">
        <v>-24</v>
      </c>
      <c r="I306">
        <v>-16</v>
      </c>
      <c r="J306">
        <v>-17</v>
      </c>
      <c r="K306">
        <v>-10</v>
      </c>
      <c r="L306">
        <v>-1</v>
      </c>
      <c r="M306">
        <v>-2</v>
      </c>
      <c r="N306">
        <v>-1</v>
      </c>
      <c r="O306">
        <v>-2</v>
      </c>
      <c r="P306">
        <v>3</v>
      </c>
      <c r="Q306">
        <v>1</v>
      </c>
      <c r="R306">
        <v>-4</v>
      </c>
      <c r="S306">
        <v>-12</v>
      </c>
      <c r="T306">
        <v>-13</v>
      </c>
      <c r="U306">
        <v>-19</v>
      </c>
      <c r="V306">
        <v>-30</v>
      </c>
      <c r="W306">
        <v>-20</v>
      </c>
      <c r="X306">
        <v>-15</v>
      </c>
      <c r="Y306">
        <v>-6</v>
      </c>
      <c r="Z306">
        <v>2</v>
      </c>
      <c r="AA306">
        <v>5</v>
      </c>
      <c r="AB306">
        <v>6</v>
      </c>
      <c r="AC306">
        <v>1</v>
      </c>
      <c r="AD306">
        <v>-1</v>
      </c>
      <c r="AE306">
        <v>3</v>
      </c>
      <c r="AF306">
        <v>-3</v>
      </c>
      <c r="AG306">
        <v>-1</v>
      </c>
      <c r="AH306">
        <v>-4</v>
      </c>
      <c r="AI306">
        <v>0</v>
      </c>
      <c r="AJ306">
        <v>-3</v>
      </c>
      <c r="AK306">
        <v>4</v>
      </c>
      <c r="AL306">
        <v>-1</v>
      </c>
      <c r="AM306">
        <v>-4</v>
      </c>
      <c r="AN306">
        <v>-2</v>
      </c>
      <c r="AO306">
        <v>1</v>
      </c>
      <c r="AP306">
        <v>0</v>
      </c>
      <c r="AQ306">
        <v>3</v>
      </c>
      <c r="AR306">
        <v>-4</v>
      </c>
      <c r="AS306">
        <v>0</v>
      </c>
      <c r="AT306">
        <v>3</v>
      </c>
      <c r="AU306">
        <v>1</v>
      </c>
      <c r="AV306">
        <v>3</v>
      </c>
      <c r="AW306">
        <v>6</v>
      </c>
      <c r="AX306">
        <v>1</v>
      </c>
      <c r="AY306">
        <v>2</v>
      </c>
      <c r="AZ306">
        <v>4</v>
      </c>
      <c r="BA306">
        <v>1</v>
      </c>
      <c r="BB306">
        <v>-4</v>
      </c>
      <c r="BC306">
        <v>-64</v>
      </c>
      <c r="BD306">
        <v>-32</v>
      </c>
      <c r="BE306">
        <v>-31</v>
      </c>
      <c r="BF306">
        <v>-25</v>
      </c>
      <c r="BG306">
        <v>1</v>
      </c>
      <c r="BH306">
        <v>-10</v>
      </c>
      <c r="BI306">
        <v>5</v>
      </c>
      <c r="BJ306">
        <v>-21</v>
      </c>
      <c r="BK306">
        <v>-3</v>
      </c>
      <c r="BL306">
        <v>2</v>
      </c>
      <c r="BM306">
        <v>-14</v>
      </c>
      <c r="BN306">
        <v>-19</v>
      </c>
      <c r="BO306">
        <v>-12</v>
      </c>
      <c r="BP306">
        <v>-21</v>
      </c>
      <c r="BQ306">
        <v>-21</v>
      </c>
      <c r="BR306">
        <v>-15</v>
      </c>
      <c r="BS306">
        <v>-20</v>
      </c>
      <c r="BT306">
        <v>-17</v>
      </c>
      <c r="BU306">
        <v>-21</v>
      </c>
      <c r="BV306">
        <v>-25</v>
      </c>
    </row>
    <row r="307" spans="1:74" x14ac:dyDescent="0.25">
      <c r="A307" t="s">
        <v>641</v>
      </c>
      <c r="B307" t="s">
        <v>146</v>
      </c>
      <c r="C307" t="s">
        <v>103</v>
      </c>
      <c r="D307">
        <v>-14.243</v>
      </c>
      <c r="E307">
        <v>-37</v>
      </c>
      <c r="F307">
        <v>-33</v>
      </c>
      <c r="G307">
        <v>-20</v>
      </c>
      <c r="H307">
        <v>-24</v>
      </c>
      <c r="I307">
        <v>-14</v>
      </c>
      <c r="J307">
        <v>-15</v>
      </c>
      <c r="K307">
        <v>-13</v>
      </c>
      <c r="L307">
        <v>-7</v>
      </c>
      <c r="M307">
        <v>-13</v>
      </c>
      <c r="N307">
        <v>-5</v>
      </c>
      <c r="O307">
        <v>4</v>
      </c>
      <c r="P307">
        <v>1</v>
      </c>
      <c r="Q307">
        <v>2</v>
      </c>
      <c r="R307">
        <v>-1</v>
      </c>
      <c r="S307">
        <v>-3</v>
      </c>
      <c r="T307">
        <v>-3</v>
      </c>
      <c r="U307">
        <v>-15</v>
      </c>
      <c r="V307">
        <v>-21</v>
      </c>
      <c r="W307">
        <v>-26</v>
      </c>
      <c r="X307">
        <v>-21</v>
      </c>
      <c r="Y307">
        <v>-16</v>
      </c>
      <c r="Z307">
        <v>-8</v>
      </c>
      <c r="AA307">
        <v>2</v>
      </c>
      <c r="AB307">
        <v>-5</v>
      </c>
      <c r="AC307">
        <v>-2</v>
      </c>
      <c r="AD307">
        <v>-7</v>
      </c>
      <c r="AE307">
        <v>-9</v>
      </c>
      <c r="AF307">
        <v>-11</v>
      </c>
      <c r="AG307">
        <v>-11</v>
      </c>
      <c r="AH307">
        <v>-12</v>
      </c>
      <c r="AI307">
        <v>-11</v>
      </c>
      <c r="AJ307">
        <v>-10</v>
      </c>
      <c r="AK307">
        <v>-20</v>
      </c>
      <c r="AL307">
        <v>-3</v>
      </c>
      <c r="AM307">
        <v>-8</v>
      </c>
      <c r="AN307">
        <v>-15</v>
      </c>
      <c r="AO307">
        <v>-11</v>
      </c>
      <c r="AP307">
        <v>-3</v>
      </c>
      <c r="AQ307">
        <v>0</v>
      </c>
      <c r="AR307">
        <v>-10</v>
      </c>
      <c r="AS307">
        <v>-14</v>
      </c>
      <c r="AT307">
        <v>-1</v>
      </c>
      <c r="AU307">
        <v>-12</v>
      </c>
      <c r="AV307">
        <v>-2</v>
      </c>
      <c r="AW307">
        <v>-6</v>
      </c>
      <c r="AX307">
        <v>-7</v>
      </c>
      <c r="AY307">
        <v>0</v>
      </c>
      <c r="AZ307">
        <v>-15</v>
      </c>
      <c r="BA307">
        <v>-19</v>
      </c>
      <c r="BB307">
        <v>-19</v>
      </c>
      <c r="BC307">
        <v>-49</v>
      </c>
      <c r="BD307">
        <v>-26</v>
      </c>
      <c r="BE307">
        <v>-27</v>
      </c>
      <c r="BF307">
        <v>-24</v>
      </c>
      <c r="BG307">
        <v>-6</v>
      </c>
      <c r="BH307">
        <v>0</v>
      </c>
      <c r="BI307">
        <v>-8</v>
      </c>
      <c r="BJ307">
        <v>-15</v>
      </c>
      <c r="BK307">
        <v>-18</v>
      </c>
      <c r="BL307">
        <v>-23</v>
      </c>
      <c r="BM307">
        <v>-21</v>
      </c>
      <c r="BN307">
        <v>-20</v>
      </c>
      <c r="BO307">
        <v>-22</v>
      </c>
      <c r="BP307">
        <v>-26</v>
      </c>
      <c r="BQ307">
        <v>-27</v>
      </c>
      <c r="BR307">
        <v>-24</v>
      </c>
      <c r="BS307">
        <v>-25</v>
      </c>
      <c r="BT307">
        <v>-36</v>
      </c>
      <c r="BU307">
        <v>-32</v>
      </c>
      <c r="BV307">
        <v>-39</v>
      </c>
    </row>
    <row r="308" spans="1:74" x14ac:dyDescent="0.25">
      <c r="A308" t="s">
        <v>642</v>
      </c>
      <c r="B308" t="s">
        <v>147</v>
      </c>
      <c r="C308" t="s">
        <v>103</v>
      </c>
      <c r="D308">
        <v>-4.2709999999999999</v>
      </c>
      <c r="E308">
        <v>-24</v>
      </c>
      <c r="F308">
        <v>-10</v>
      </c>
      <c r="G308">
        <v>-29</v>
      </c>
      <c r="H308">
        <v>-13</v>
      </c>
      <c r="I308">
        <v>-11</v>
      </c>
      <c r="J308">
        <v>-25</v>
      </c>
      <c r="K308">
        <v>-18</v>
      </c>
      <c r="L308">
        <v>-10</v>
      </c>
      <c r="M308">
        <v>2</v>
      </c>
      <c r="N308">
        <v>2</v>
      </c>
      <c r="O308">
        <v>9</v>
      </c>
      <c r="P308">
        <v>3</v>
      </c>
      <c r="Q308">
        <v>-3</v>
      </c>
      <c r="R308">
        <v>14</v>
      </c>
      <c r="S308">
        <v>5</v>
      </c>
      <c r="T308">
        <v>-7</v>
      </c>
      <c r="U308">
        <v>7</v>
      </c>
      <c r="V308">
        <v>-13</v>
      </c>
      <c r="W308">
        <v>-9</v>
      </c>
      <c r="X308">
        <v>-4</v>
      </c>
      <c r="Y308">
        <v>-9</v>
      </c>
      <c r="Z308">
        <v>-4</v>
      </c>
      <c r="AA308">
        <v>-5</v>
      </c>
      <c r="AB308">
        <v>4</v>
      </c>
      <c r="AC308">
        <v>3</v>
      </c>
      <c r="AD308">
        <v>-1</v>
      </c>
      <c r="AE308">
        <v>-8</v>
      </c>
      <c r="AF308">
        <v>6</v>
      </c>
      <c r="AG308">
        <v>-1</v>
      </c>
      <c r="AH308">
        <v>-9</v>
      </c>
      <c r="AI308">
        <v>-1</v>
      </c>
      <c r="AJ308">
        <v>-5</v>
      </c>
      <c r="AK308">
        <v>-5</v>
      </c>
      <c r="AL308">
        <v>1</v>
      </c>
      <c r="AM308">
        <v>8</v>
      </c>
      <c r="AN308">
        <v>4</v>
      </c>
      <c r="AO308">
        <v>11</v>
      </c>
      <c r="AP308">
        <v>4</v>
      </c>
      <c r="AQ308">
        <v>8</v>
      </c>
      <c r="AR308">
        <v>5</v>
      </c>
      <c r="AS308">
        <v>11</v>
      </c>
      <c r="AT308">
        <v>19</v>
      </c>
      <c r="AU308">
        <v>9</v>
      </c>
      <c r="AV308">
        <v>8</v>
      </c>
      <c r="AW308">
        <v>9</v>
      </c>
      <c r="AX308">
        <v>11</v>
      </c>
      <c r="AY308">
        <v>12</v>
      </c>
      <c r="AZ308">
        <v>0</v>
      </c>
      <c r="BA308">
        <v>2</v>
      </c>
      <c r="BB308">
        <v>11</v>
      </c>
      <c r="BC308">
        <v>-38</v>
      </c>
      <c r="BD308">
        <v>-23</v>
      </c>
      <c r="BE308">
        <v>-13</v>
      </c>
      <c r="BF308">
        <v>-4</v>
      </c>
      <c r="BG308">
        <v>19</v>
      </c>
      <c r="BH308">
        <v>-2</v>
      </c>
      <c r="BI308">
        <v>2</v>
      </c>
      <c r="BJ308">
        <v>-10</v>
      </c>
      <c r="BK308">
        <v>-2</v>
      </c>
      <c r="BL308">
        <v>-9</v>
      </c>
      <c r="BM308">
        <v>-17</v>
      </c>
      <c r="BN308">
        <v>-6</v>
      </c>
      <c r="BO308">
        <v>-19</v>
      </c>
      <c r="BP308">
        <v>-6</v>
      </c>
      <c r="BQ308">
        <v>-16</v>
      </c>
      <c r="BR308">
        <v>-21</v>
      </c>
      <c r="BS308">
        <v>-22</v>
      </c>
      <c r="BT308">
        <v>-24</v>
      </c>
      <c r="BU308">
        <v>-26</v>
      </c>
      <c r="BV308">
        <v>-26</v>
      </c>
    </row>
    <row r="309" spans="1:74" x14ac:dyDescent="0.25">
      <c r="A309" t="s">
        <v>643</v>
      </c>
      <c r="B309" t="s">
        <v>148</v>
      </c>
      <c r="C309" t="s">
        <v>103</v>
      </c>
      <c r="D309">
        <v>25.013999999999999</v>
      </c>
      <c r="E309">
        <v>3</v>
      </c>
      <c r="F309">
        <v>8</v>
      </c>
      <c r="G309">
        <v>2</v>
      </c>
      <c r="H309">
        <v>13</v>
      </c>
      <c r="I309">
        <v>18</v>
      </c>
      <c r="J309">
        <v>19</v>
      </c>
      <c r="K309">
        <v>18</v>
      </c>
      <c r="L309">
        <v>25</v>
      </c>
      <c r="M309">
        <v>32</v>
      </c>
      <c r="N309">
        <v>26</v>
      </c>
      <c r="O309">
        <v>35</v>
      </c>
      <c r="P309">
        <v>42</v>
      </c>
      <c r="Q309">
        <v>42</v>
      </c>
      <c r="R309">
        <v>33</v>
      </c>
      <c r="S309">
        <v>41</v>
      </c>
      <c r="T309">
        <v>30</v>
      </c>
      <c r="U309">
        <v>10</v>
      </c>
      <c r="V309">
        <v>2</v>
      </c>
      <c r="W309">
        <v>9</v>
      </c>
      <c r="X309">
        <v>16</v>
      </c>
      <c r="Y309">
        <v>27</v>
      </c>
      <c r="Z309">
        <v>26</v>
      </c>
      <c r="AA309">
        <v>35</v>
      </c>
      <c r="AB309">
        <v>36</v>
      </c>
      <c r="AC309">
        <v>35</v>
      </c>
      <c r="AD309">
        <v>37</v>
      </c>
      <c r="AE309">
        <v>35</v>
      </c>
      <c r="AF309">
        <v>27</v>
      </c>
      <c r="AG309">
        <v>28</v>
      </c>
      <c r="AH309">
        <v>23</v>
      </c>
      <c r="AI309">
        <v>27</v>
      </c>
      <c r="AJ309">
        <v>30</v>
      </c>
      <c r="AK309">
        <v>31</v>
      </c>
      <c r="AL309">
        <v>29</v>
      </c>
      <c r="AM309">
        <v>31</v>
      </c>
      <c r="AN309">
        <v>29</v>
      </c>
      <c r="AO309">
        <v>28</v>
      </c>
      <c r="AP309">
        <v>30</v>
      </c>
      <c r="AQ309">
        <v>34</v>
      </c>
      <c r="AR309">
        <v>34</v>
      </c>
      <c r="AS309">
        <v>34</v>
      </c>
      <c r="AT309">
        <v>34</v>
      </c>
      <c r="AU309">
        <v>37</v>
      </c>
      <c r="AV309">
        <v>42</v>
      </c>
      <c r="AW309">
        <v>39</v>
      </c>
      <c r="AX309">
        <v>41</v>
      </c>
      <c r="AY309">
        <v>42</v>
      </c>
      <c r="AZ309">
        <v>40</v>
      </c>
      <c r="BA309">
        <v>35</v>
      </c>
      <c r="BB309">
        <v>37</v>
      </c>
      <c r="BC309">
        <v>-2</v>
      </c>
      <c r="BD309">
        <v>13</v>
      </c>
      <c r="BE309">
        <v>24</v>
      </c>
      <c r="BF309">
        <v>27</v>
      </c>
      <c r="BG309">
        <v>37</v>
      </c>
      <c r="BH309">
        <v>35</v>
      </c>
      <c r="BI309">
        <v>30</v>
      </c>
      <c r="BJ309">
        <v>18</v>
      </c>
      <c r="BK309">
        <v>27</v>
      </c>
      <c r="BL309">
        <v>29</v>
      </c>
      <c r="BM309">
        <v>15</v>
      </c>
      <c r="BN309">
        <v>20</v>
      </c>
      <c r="BO309">
        <v>19</v>
      </c>
      <c r="BP309">
        <v>10</v>
      </c>
      <c r="BQ309">
        <v>14</v>
      </c>
      <c r="BR309">
        <v>10</v>
      </c>
      <c r="BS309">
        <v>3</v>
      </c>
      <c r="BT309">
        <v>3</v>
      </c>
      <c r="BU309">
        <v>3</v>
      </c>
      <c r="BV309">
        <v>-1</v>
      </c>
    </row>
    <row r="310" spans="1:74" x14ac:dyDescent="0.25">
      <c r="A310" t="s">
        <v>644</v>
      </c>
      <c r="B310" t="s">
        <v>149</v>
      </c>
      <c r="C310" t="s">
        <v>103</v>
      </c>
      <c r="D310">
        <v>19.629000000000001</v>
      </c>
      <c r="E310">
        <v>25</v>
      </c>
      <c r="F310">
        <v>14</v>
      </c>
      <c r="G310">
        <v>7</v>
      </c>
      <c r="H310">
        <v>14</v>
      </c>
      <c r="I310">
        <v>19</v>
      </c>
      <c r="J310">
        <v>31</v>
      </c>
      <c r="K310">
        <v>22</v>
      </c>
      <c r="L310">
        <v>14</v>
      </c>
      <c r="M310">
        <v>15</v>
      </c>
      <c r="N310">
        <v>8</v>
      </c>
      <c r="O310">
        <v>27</v>
      </c>
      <c r="P310">
        <v>39</v>
      </c>
      <c r="Q310">
        <v>17</v>
      </c>
      <c r="R310">
        <v>30</v>
      </c>
      <c r="S310">
        <v>27</v>
      </c>
      <c r="T310">
        <v>16</v>
      </c>
      <c r="U310">
        <v>7</v>
      </c>
      <c r="V310">
        <v>17</v>
      </c>
      <c r="W310">
        <v>5</v>
      </c>
      <c r="X310">
        <v>22</v>
      </c>
      <c r="Y310">
        <v>21</v>
      </c>
      <c r="Z310">
        <v>26</v>
      </c>
      <c r="AA310">
        <v>34</v>
      </c>
      <c r="AB310">
        <v>29</v>
      </c>
      <c r="AC310">
        <v>29</v>
      </c>
      <c r="AD310">
        <v>40</v>
      </c>
      <c r="AE310">
        <v>34</v>
      </c>
      <c r="AF310">
        <v>19</v>
      </c>
      <c r="AG310">
        <v>28</v>
      </c>
      <c r="AH310">
        <v>22</v>
      </c>
      <c r="AI310">
        <v>29</v>
      </c>
      <c r="AJ310">
        <v>21</v>
      </c>
      <c r="AK310">
        <v>27</v>
      </c>
      <c r="AL310">
        <v>26</v>
      </c>
      <c r="AM310">
        <v>28</v>
      </c>
      <c r="AN310">
        <v>20</v>
      </c>
      <c r="AO310">
        <v>23</v>
      </c>
      <c r="AP310">
        <v>22</v>
      </c>
      <c r="AQ310">
        <v>19</v>
      </c>
      <c r="AR310">
        <v>31</v>
      </c>
      <c r="AS310">
        <v>24</v>
      </c>
      <c r="AT310">
        <v>28</v>
      </c>
      <c r="AU310">
        <v>36</v>
      </c>
      <c r="AV310">
        <v>54</v>
      </c>
      <c r="AW310">
        <v>38</v>
      </c>
      <c r="AX310">
        <v>42</v>
      </c>
      <c r="AY310">
        <v>42</v>
      </c>
      <c r="AZ310">
        <v>16</v>
      </c>
      <c r="BA310">
        <v>9</v>
      </c>
      <c r="BB310">
        <v>11</v>
      </c>
      <c r="BC310">
        <v>-22</v>
      </c>
      <c r="BD310">
        <v>14</v>
      </c>
      <c r="BE310">
        <v>22</v>
      </c>
      <c r="BF310">
        <v>29</v>
      </c>
      <c r="BG310">
        <v>21</v>
      </c>
      <c r="BH310">
        <v>19</v>
      </c>
      <c r="BI310">
        <v>17</v>
      </c>
      <c r="BJ310">
        <v>2</v>
      </c>
      <c r="BK310">
        <v>17</v>
      </c>
      <c r="BL310">
        <v>21</v>
      </c>
      <c r="BM310">
        <v>10</v>
      </c>
      <c r="BN310">
        <v>11</v>
      </c>
      <c r="BO310">
        <v>4</v>
      </c>
      <c r="BP310">
        <v>5</v>
      </c>
      <c r="BQ310">
        <v>14</v>
      </c>
      <c r="BR310">
        <v>-2</v>
      </c>
      <c r="BS310">
        <v>0</v>
      </c>
      <c r="BT310">
        <v>5</v>
      </c>
      <c r="BU310">
        <v>-4</v>
      </c>
      <c r="BV310">
        <v>-13</v>
      </c>
    </row>
    <row r="311" spans="1:74" x14ac:dyDescent="0.25">
      <c r="A311" t="s">
        <v>645</v>
      </c>
      <c r="B311" t="s">
        <v>150</v>
      </c>
      <c r="C311" t="s">
        <v>103</v>
      </c>
      <c r="D311">
        <v>-13.670999999999999</v>
      </c>
      <c r="E311">
        <v>-32</v>
      </c>
      <c r="F311">
        <v>-30</v>
      </c>
      <c r="G311">
        <v>-26</v>
      </c>
      <c r="H311">
        <v>-24</v>
      </c>
      <c r="I311">
        <v>-25</v>
      </c>
      <c r="J311">
        <v>-24</v>
      </c>
      <c r="K311">
        <v>-25</v>
      </c>
      <c r="L311">
        <v>-20</v>
      </c>
      <c r="M311">
        <v>-14</v>
      </c>
      <c r="N311">
        <v>-18</v>
      </c>
      <c r="O311">
        <v>-12</v>
      </c>
      <c r="P311">
        <v>-11</v>
      </c>
      <c r="Q311">
        <v>-11</v>
      </c>
      <c r="R311">
        <v>-11</v>
      </c>
      <c r="S311">
        <v>-8</v>
      </c>
      <c r="T311">
        <v>-14</v>
      </c>
      <c r="U311">
        <v>-16</v>
      </c>
      <c r="V311">
        <v>-19</v>
      </c>
      <c r="W311">
        <v>-12</v>
      </c>
      <c r="X311">
        <v>-9</v>
      </c>
      <c r="Y311">
        <v>-7</v>
      </c>
      <c r="Z311">
        <v>-4</v>
      </c>
      <c r="AA311">
        <v>-1</v>
      </c>
      <c r="AB311">
        <v>1</v>
      </c>
      <c r="AC311">
        <v>-1</v>
      </c>
      <c r="AD311">
        <v>-2</v>
      </c>
      <c r="AE311">
        <v>-4</v>
      </c>
      <c r="AF311">
        <v>-8</v>
      </c>
      <c r="AG311">
        <v>-11</v>
      </c>
      <c r="AH311">
        <v>-10</v>
      </c>
      <c r="AI311">
        <v>-8</v>
      </c>
      <c r="AJ311">
        <v>-5</v>
      </c>
      <c r="AK311">
        <v>-6</v>
      </c>
      <c r="AL311">
        <v>-10</v>
      </c>
      <c r="AM311">
        <v>-14</v>
      </c>
      <c r="AN311">
        <v>-15</v>
      </c>
      <c r="AO311">
        <v>-17</v>
      </c>
      <c r="AP311">
        <v>-23</v>
      </c>
      <c r="AQ311">
        <v>-27</v>
      </c>
      <c r="AR311">
        <v>-29</v>
      </c>
      <c r="AS311">
        <v>-34</v>
      </c>
      <c r="AT311">
        <v>-33</v>
      </c>
      <c r="AU311">
        <v>-31</v>
      </c>
      <c r="AV311">
        <v>-28</v>
      </c>
      <c r="AW311">
        <v>-24</v>
      </c>
      <c r="AX311">
        <v>-24</v>
      </c>
      <c r="AY311">
        <v>-21</v>
      </c>
      <c r="AZ311">
        <v>-20</v>
      </c>
      <c r="BA311">
        <v>-21</v>
      </c>
      <c r="BB311">
        <v>-23</v>
      </c>
      <c r="BC311">
        <v>-25</v>
      </c>
      <c r="BD311">
        <v>-24</v>
      </c>
      <c r="BE311">
        <v>-20</v>
      </c>
      <c r="BF311">
        <v>-21</v>
      </c>
      <c r="BG311">
        <v>-13</v>
      </c>
      <c r="BH311">
        <v>-12</v>
      </c>
      <c r="BI311">
        <v>-12</v>
      </c>
      <c r="BJ311">
        <v>-16</v>
      </c>
      <c r="BK311">
        <v>-4</v>
      </c>
      <c r="BL311">
        <v>-3</v>
      </c>
      <c r="BM311">
        <v>-4</v>
      </c>
      <c r="BN311">
        <v>0</v>
      </c>
      <c r="BO311">
        <v>3</v>
      </c>
      <c r="BP311">
        <v>5</v>
      </c>
      <c r="BQ311">
        <v>6</v>
      </c>
      <c r="BR311">
        <v>6</v>
      </c>
      <c r="BS311">
        <v>1</v>
      </c>
      <c r="BT311">
        <v>2</v>
      </c>
      <c r="BU311">
        <v>-2</v>
      </c>
      <c r="BV311">
        <v>-3</v>
      </c>
    </row>
    <row r="312" spans="1:74" x14ac:dyDescent="0.25">
      <c r="A312" t="s">
        <v>646</v>
      </c>
      <c r="B312" t="s">
        <v>151</v>
      </c>
      <c r="C312" t="s">
        <v>103</v>
      </c>
      <c r="D312">
        <v>-26.242999999999999</v>
      </c>
      <c r="E312">
        <v>-46</v>
      </c>
      <c r="F312">
        <v>-40</v>
      </c>
      <c r="G312">
        <v>-37</v>
      </c>
      <c r="H312">
        <v>-36</v>
      </c>
      <c r="I312">
        <v>-35</v>
      </c>
      <c r="J312">
        <v>-34</v>
      </c>
      <c r="K312">
        <v>-37</v>
      </c>
      <c r="L312">
        <v>-26</v>
      </c>
      <c r="M312">
        <v>-22</v>
      </c>
      <c r="N312">
        <v>-24</v>
      </c>
      <c r="O312">
        <v>-19</v>
      </c>
      <c r="P312">
        <v>-15</v>
      </c>
      <c r="Q312">
        <v>-18</v>
      </c>
      <c r="R312">
        <v>-19</v>
      </c>
      <c r="S312">
        <v>-14</v>
      </c>
      <c r="T312">
        <v>-21</v>
      </c>
      <c r="U312">
        <v>-23</v>
      </c>
      <c r="V312">
        <v>-25</v>
      </c>
      <c r="W312">
        <v>-18</v>
      </c>
      <c r="X312">
        <v>-16</v>
      </c>
      <c r="Y312">
        <v>-13</v>
      </c>
      <c r="Z312">
        <v>-12</v>
      </c>
      <c r="AA312">
        <v>-7</v>
      </c>
      <c r="AB312">
        <v>-6</v>
      </c>
      <c r="AC312">
        <v>-6</v>
      </c>
      <c r="AD312">
        <v>-11</v>
      </c>
      <c r="AE312">
        <v>-11</v>
      </c>
      <c r="AF312">
        <v>-15</v>
      </c>
      <c r="AG312">
        <v>-21</v>
      </c>
      <c r="AH312">
        <v>-20</v>
      </c>
      <c r="AI312">
        <v>-18</v>
      </c>
      <c r="AJ312">
        <v>-16</v>
      </c>
      <c r="AK312">
        <v>-15</v>
      </c>
      <c r="AL312">
        <v>-19</v>
      </c>
      <c r="AM312">
        <v>-24</v>
      </c>
      <c r="AN312">
        <v>-27</v>
      </c>
      <c r="AO312">
        <v>-30</v>
      </c>
      <c r="AP312">
        <v>-41</v>
      </c>
      <c r="AQ312">
        <v>-46</v>
      </c>
      <c r="AR312">
        <v>-49</v>
      </c>
      <c r="AS312">
        <v>-58</v>
      </c>
      <c r="AT312">
        <v>-56</v>
      </c>
      <c r="AU312">
        <v>-55</v>
      </c>
      <c r="AV312">
        <v>-53</v>
      </c>
      <c r="AW312">
        <v>-48</v>
      </c>
      <c r="AX312">
        <v>-49</v>
      </c>
      <c r="AY312">
        <v>-46</v>
      </c>
      <c r="AZ312">
        <v>-44</v>
      </c>
      <c r="BA312">
        <v>-44</v>
      </c>
      <c r="BB312">
        <v>-48</v>
      </c>
      <c r="BC312">
        <v>-46</v>
      </c>
      <c r="BD312">
        <v>-51</v>
      </c>
      <c r="BE312">
        <v>-46</v>
      </c>
      <c r="BF312">
        <v>-48</v>
      </c>
      <c r="BG312">
        <v>-42</v>
      </c>
      <c r="BH312">
        <v>-37</v>
      </c>
      <c r="BI312">
        <v>-36</v>
      </c>
      <c r="BJ312">
        <v>-31</v>
      </c>
      <c r="BK312">
        <v>-20</v>
      </c>
      <c r="BL312">
        <v>-13</v>
      </c>
      <c r="BM312">
        <v>-15</v>
      </c>
      <c r="BN312">
        <v>-8</v>
      </c>
      <c r="BO312">
        <v>-3</v>
      </c>
      <c r="BP312">
        <v>0</v>
      </c>
      <c r="BQ312">
        <v>0</v>
      </c>
      <c r="BR312">
        <v>2</v>
      </c>
      <c r="BS312">
        <v>-2</v>
      </c>
      <c r="BT312">
        <v>0</v>
      </c>
      <c r="BU312">
        <v>-3</v>
      </c>
      <c r="BV312">
        <v>-5</v>
      </c>
    </row>
    <row r="313" spans="1:74" x14ac:dyDescent="0.25">
      <c r="A313" t="s">
        <v>647</v>
      </c>
      <c r="B313" t="s">
        <v>152</v>
      </c>
      <c r="C313" t="s">
        <v>103</v>
      </c>
      <c r="D313">
        <v>0.75700000000000001</v>
      </c>
      <c r="E313">
        <v>-17</v>
      </c>
      <c r="F313">
        <v>-27</v>
      </c>
      <c r="G313">
        <v>-19</v>
      </c>
      <c r="H313">
        <v>-11</v>
      </c>
      <c r="I313">
        <v>-27</v>
      </c>
      <c r="J313">
        <v>-27</v>
      </c>
      <c r="K313">
        <v>-15</v>
      </c>
      <c r="L313">
        <v>-17</v>
      </c>
      <c r="M313">
        <v>-17</v>
      </c>
      <c r="N313">
        <v>-24</v>
      </c>
      <c r="O313">
        <v>-11</v>
      </c>
      <c r="P313">
        <v>-31</v>
      </c>
      <c r="Q313">
        <v>-4</v>
      </c>
      <c r="R313">
        <v>-1</v>
      </c>
      <c r="S313">
        <v>1</v>
      </c>
      <c r="T313">
        <v>-6</v>
      </c>
      <c r="U313">
        <v>-9</v>
      </c>
      <c r="V313">
        <v>-7</v>
      </c>
      <c r="W313">
        <v>1</v>
      </c>
      <c r="X313">
        <v>7</v>
      </c>
      <c r="Y313">
        <v>4</v>
      </c>
      <c r="Z313">
        <v>12</v>
      </c>
      <c r="AA313">
        <v>8</v>
      </c>
      <c r="AB313">
        <v>13</v>
      </c>
      <c r="AC313">
        <v>9</v>
      </c>
      <c r="AD313">
        <v>20</v>
      </c>
      <c r="AE313">
        <v>16</v>
      </c>
      <c r="AF313">
        <v>6</v>
      </c>
      <c r="AG313">
        <v>7</v>
      </c>
      <c r="AH313">
        <v>1</v>
      </c>
      <c r="AI313">
        <v>3</v>
      </c>
      <c r="AJ313">
        <v>7</v>
      </c>
      <c r="AK313">
        <v>0</v>
      </c>
      <c r="AL313">
        <v>-2</v>
      </c>
      <c r="AM313">
        <v>-6</v>
      </c>
      <c r="AN313">
        <v>-9</v>
      </c>
      <c r="AO313">
        <v>-12</v>
      </c>
      <c r="AP313">
        <v>-8</v>
      </c>
      <c r="AQ313">
        <v>-5</v>
      </c>
      <c r="AR313">
        <v>-12</v>
      </c>
      <c r="AS313">
        <v>-20</v>
      </c>
      <c r="AT313">
        <v>-14</v>
      </c>
      <c r="AU313">
        <v>-18</v>
      </c>
      <c r="AV313">
        <v>-10</v>
      </c>
      <c r="AW313">
        <v>-3</v>
      </c>
      <c r="AX313">
        <v>-1</v>
      </c>
      <c r="AY313">
        <v>-1</v>
      </c>
      <c r="AZ313">
        <v>3</v>
      </c>
      <c r="BA313">
        <v>-1</v>
      </c>
      <c r="BB313">
        <v>8</v>
      </c>
      <c r="BC313">
        <v>-4</v>
      </c>
      <c r="BD313">
        <v>18</v>
      </c>
      <c r="BE313">
        <v>11</v>
      </c>
      <c r="BF313">
        <v>4</v>
      </c>
      <c r="BG313">
        <v>23</v>
      </c>
      <c r="BH313">
        <v>19</v>
      </c>
      <c r="BI313">
        <v>25</v>
      </c>
      <c r="BJ313">
        <v>9</v>
      </c>
      <c r="BK313">
        <v>21</v>
      </c>
      <c r="BL313">
        <v>30</v>
      </c>
      <c r="BM313">
        <v>23</v>
      </c>
      <c r="BN313">
        <v>13</v>
      </c>
      <c r="BO313">
        <v>17</v>
      </c>
      <c r="BP313">
        <v>21</v>
      </c>
      <c r="BQ313">
        <v>34</v>
      </c>
      <c r="BR313">
        <v>14</v>
      </c>
      <c r="BS313">
        <v>21</v>
      </c>
      <c r="BT313">
        <v>5</v>
      </c>
      <c r="BU313">
        <v>6</v>
      </c>
      <c r="BV313">
        <v>9</v>
      </c>
    </row>
    <row r="314" spans="1:74" x14ac:dyDescent="0.25">
      <c r="A314" t="s">
        <v>648</v>
      </c>
      <c r="B314" t="s">
        <v>153</v>
      </c>
      <c r="C314" t="s">
        <v>103</v>
      </c>
      <c r="D314">
        <v>0.55700000000000005</v>
      </c>
      <c r="E314">
        <v>-17</v>
      </c>
      <c r="F314">
        <v>-14</v>
      </c>
      <c r="G314">
        <v>-14</v>
      </c>
      <c r="H314">
        <v>-17</v>
      </c>
      <c r="I314">
        <v>-9</v>
      </c>
      <c r="J314">
        <v>-7</v>
      </c>
      <c r="K314">
        <v>-9</v>
      </c>
      <c r="L314">
        <v>-9</v>
      </c>
      <c r="M314">
        <v>-2</v>
      </c>
      <c r="N314">
        <v>-7</v>
      </c>
      <c r="O314">
        <v>-2</v>
      </c>
      <c r="P314">
        <v>0</v>
      </c>
      <c r="Q314">
        <v>1</v>
      </c>
      <c r="R314">
        <v>0</v>
      </c>
      <c r="S314">
        <v>-2</v>
      </c>
      <c r="T314">
        <v>-5</v>
      </c>
      <c r="U314">
        <v>-9</v>
      </c>
      <c r="V314">
        <v>-9</v>
      </c>
      <c r="W314">
        <v>-5</v>
      </c>
      <c r="X314">
        <v>-5</v>
      </c>
      <c r="Y314">
        <v>-2</v>
      </c>
      <c r="Z314">
        <v>1</v>
      </c>
      <c r="AA314">
        <v>4</v>
      </c>
      <c r="AB314">
        <v>4</v>
      </c>
      <c r="AC314">
        <v>5</v>
      </c>
      <c r="AD314">
        <v>4</v>
      </c>
      <c r="AE314">
        <v>6</v>
      </c>
      <c r="AF314">
        <v>2</v>
      </c>
      <c r="AG314">
        <v>8</v>
      </c>
      <c r="AH314">
        <v>2</v>
      </c>
      <c r="AI314">
        <v>5</v>
      </c>
      <c r="AJ314">
        <v>7</v>
      </c>
      <c r="AK314">
        <v>5</v>
      </c>
      <c r="AL314">
        <v>5</v>
      </c>
      <c r="AM314">
        <v>2</v>
      </c>
      <c r="AN314">
        <v>5</v>
      </c>
      <c r="AO314">
        <v>8</v>
      </c>
      <c r="AP314">
        <v>7</v>
      </c>
      <c r="AQ314">
        <v>11</v>
      </c>
      <c r="AR314">
        <v>7</v>
      </c>
      <c r="AS314">
        <v>9</v>
      </c>
      <c r="AT314">
        <v>11</v>
      </c>
      <c r="AU314">
        <v>13</v>
      </c>
      <c r="AV314">
        <v>14</v>
      </c>
      <c r="AW314">
        <v>13</v>
      </c>
      <c r="AX314">
        <v>12</v>
      </c>
      <c r="AY314">
        <v>12</v>
      </c>
      <c r="AZ314">
        <v>11</v>
      </c>
      <c r="BA314">
        <v>6</v>
      </c>
      <c r="BB314">
        <v>8</v>
      </c>
      <c r="BC314">
        <v>-9</v>
      </c>
      <c r="BD314">
        <v>1</v>
      </c>
      <c r="BE314">
        <v>2</v>
      </c>
      <c r="BF314">
        <v>5</v>
      </c>
      <c r="BG314">
        <v>10</v>
      </c>
      <c r="BH314">
        <v>8</v>
      </c>
      <c r="BI314">
        <v>5</v>
      </c>
      <c r="BJ314">
        <v>-5</v>
      </c>
      <c r="BK314">
        <v>-4</v>
      </c>
      <c r="BL314">
        <v>0</v>
      </c>
      <c r="BM314">
        <v>-8</v>
      </c>
      <c r="BN314">
        <v>-5</v>
      </c>
      <c r="BO314">
        <v>-1</v>
      </c>
      <c r="BP314">
        <v>-3</v>
      </c>
      <c r="BQ314">
        <v>-3</v>
      </c>
      <c r="BR314">
        <v>1</v>
      </c>
      <c r="BS314">
        <v>-4</v>
      </c>
      <c r="BT314">
        <v>-3</v>
      </c>
      <c r="BU314">
        <v>-6</v>
      </c>
      <c r="BV314">
        <v>-6</v>
      </c>
    </row>
    <row r="315" spans="1:74" x14ac:dyDescent="0.25">
      <c r="A315" t="s">
        <v>649</v>
      </c>
      <c r="B315" t="s">
        <v>154</v>
      </c>
      <c r="C315" t="s">
        <v>103</v>
      </c>
      <c r="D315">
        <v>20.443000000000001</v>
      </c>
      <c r="E315">
        <v>24</v>
      </c>
      <c r="F315">
        <v>7</v>
      </c>
      <c r="G315">
        <v>3</v>
      </c>
      <c r="H315">
        <v>6</v>
      </c>
      <c r="I315">
        <v>8</v>
      </c>
      <c r="J315">
        <v>-9</v>
      </c>
      <c r="K315">
        <v>7</v>
      </c>
      <c r="L315">
        <v>15</v>
      </c>
      <c r="M315">
        <v>11</v>
      </c>
      <c r="N315">
        <v>19</v>
      </c>
      <c r="O315">
        <v>29</v>
      </c>
      <c r="P315">
        <v>32</v>
      </c>
      <c r="Q315">
        <v>36</v>
      </c>
      <c r="R315">
        <v>25</v>
      </c>
      <c r="S315">
        <v>26</v>
      </c>
      <c r="T315">
        <v>25</v>
      </c>
      <c r="U315">
        <v>12</v>
      </c>
      <c r="V315">
        <v>7</v>
      </c>
      <c r="W315">
        <v>-1</v>
      </c>
      <c r="X315">
        <v>16</v>
      </c>
      <c r="Y315">
        <v>23</v>
      </c>
      <c r="Z315">
        <v>32</v>
      </c>
      <c r="AA315">
        <v>29</v>
      </c>
      <c r="AB315">
        <v>40</v>
      </c>
      <c r="AC315">
        <v>35</v>
      </c>
      <c r="AD315">
        <v>18</v>
      </c>
      <c r="AE315">
        <v>36</v>
      </c>
      <c r="AF315">
        <v>24</v>
      </c>
      <c r="AG315">
        <v>34</v>
      </c>
      <c r="AH315">
        <v>25</v>
      </c>
      <c r="AI315">
        <v>28</v>
      </c>
      <c r="AJ315">
        <v>28</v>
      </c>
      <c r="AK315">
        <v>30</v>
      </c>
      <c r="AL315">
        <v>19</v>
      </c>
      <c r="AM315">
        <v>29</v>
      </c>
      <c r="AN315">
        <v>20</v>
      </c>
      <c r="AO315">
        <v>29</v>
      </c>
      <c r="AP315">
        <v>20</v>
      </c>
      <c r="AQ315">
        <v>32</v>
      </c>
      <c r="AR315">
        <v>27</v>
      </c>
      <c r="AS315">
        <v>24</v>
      </c>
      <c r="AT315">
        <v>36</v>
      </c>
      <c r="AU315">
        <v>28</v>
      </c>
      <c r="AV315">
        <v>41</v>
      </c>
      <c r="AW315">
        <v>39</v>
      </c>
      <c r="AX315">
        <v>32</v>
      </c>
      <c r="AY315">
        <v>35</v>
      </c>
      <c r="AZ315">
        <v>31</v>
      </c>
      <c r="BA315">
        <v>23</v>
      </c>
      <c r="BB315">
        <v>21</v>
      </c>
      <c r="BC315">
        <v>-1</v>
      </c>
      <c r="BD315">
        <v>14</v>
      </c>
      <c r="BE315">
        <v>24</v>
      </c>
      <c r="BF315">
        <v>17</v>
      </c>
      <c r="BG315">
        <v>23</v>
      </c>
      <c r="BH315">
        <v>32</v>
      </c>
      <c r="BI315">
        <v>26</v>
      </c>
      <c r="BJ315">
        <v>2</v>
      </c>
      <c r="BK315">
        <v>12</v>
      </c>
      <c r="BL315">
        <v>23</v>
      </c>
      <c r="BM315">
        <v>9</v>
      </c>
      <c r="BN315">
        <v>12</v>
      </c>
      <c r="BO315">
        <v>10</v>
      </c>
      <c r="BP315">
        <v>-2</v>
      </c>
      <c r="BQ315">
        <v>16</v>
      </c>
      <c r="BR315">
        <v>22</v>
      </c>
      <c r="BS315">
        <v>4</v>
      </c>
      <c r="BT315">
        <v>10</v>
      </c>
      <c r="BU315">
        <v>0</v>
      </c>
      <c r="BV315">
        <v>12</v>
      </c>
    </row>
    <row r="316" spans="1:74" x14ac:dyDescent="0.25">
      <c r="A316" t="s">
        <v>650</v>
      </c>
      <c r="B316" t="s">
        <v>155</v>
      </c>
      <c r="C316" t="s">
        <v>103</v>
      </c>
      <c r="D316">
        <v>3.714</v>
      </c>
      <c r="E316">
        <v>-3</v>
      </c>
      <c r="F316">
        <v>0</v>
      </c>
      <c r="G316">
        <v>-6</v>
      </c>
      <c r="H316">
        <v>-2</v>
      </c>
      <c r="I316">
        <v>-1</v>
      </c>
      <c r="J316">
        <v>-2</v>
      </c>
      <c r="K316">
        <v>3</v>
      </c>
      <c r="L316">
        <v>13</v>
      </c>
      <c r="M316">
        <v>15</v>
      </c>
      <c r="N316">
        <v>10</v>
      </c>
      <c r="O316">
        <v>23</v>
      </c>
      <c r="P316">
        <v>14</v>
      </c>
      <c r="Q316">
        <v>16</v>
      </c>
      <c r="R316">
        <v>18</v>
      </c>
      <c r="S316">
        <v>16</v>
      </c>
      <c r="T316">
        <v>1</v>
      </c>
      <c r="U316">
        <v>-11</v>
      </c>
      <c r="V316">
        <v>-14</v>
      </c>
      <c r="W316">
        <v>-11</v>
      </c>
      <c r="X316">
        <v>0</v>
      </c>
      <c r="Y316">
        <v>4</v>
      </c>
      <c r="Z316">
        <v>15</v>
      </c>
      <c r="AA316">
        <v>17</v>
      </c>
      <c r="AB316">
        <v>11</v>
      </c>
      <c r="AC316">
        <v>14</v>
      </c>
      <c r="AD316">
        <v>19</v>
      </c>
      <c r="AE316">
        <v>10</v>
      </c>
      <c r="AF316">
        <v>13</v>
      </c>
      <c r="AG316">
        <v>13</v>
      </c>
      <c r="AH316">
        <v>1</v>
      </c>
      <c r="AI316">
        <v>5</v>
      </c>
      <c r="AJ316">
        <v>10</v>
      </c>
      <c r="AK316">
        <v>7</v>
      </c>
      <c r="AL316">
        <v>7</v>
      </c>
      <c r="AM316">
        <v>6</v>
      </c>
      <c r="AN316">
        <v>10</v>
      </c>
      <c r="AO316">
        <v>15</v>
      </c>
      <c r="AP316">
        <v>10</v>
      </c>
      <c r="AQ316">
        <v>10</v>
      </c>
      <c r="AR316">
        <v>9</v>
      </c>
      <c r="AS316">
        <v>11</v>
      </c>
      <c r="AT316">
        <v>18</v>
      </c>
      <c r="AU316">
        <v>12</v>
      </c>
      <c r="AV316">
        <v>16</v>
      </c>
      <c r="AW316">
        <v>18</v>
      </c>
      <c r="AX316">
        <v>16</v>
      </c>
      <c r="AY316">
        <v>13</v>
      </c>
      <c r="AZ316">
        <v>11</v>
      </c>
      <c r="BA316">
        <v>8</v>
      </c>
      <c r="BB316">
        <v>9</v>
      </c>
      <c r="BC316">
        <v>-35</v>
      </c>
      <c r="BD316">
        <v>-14</v>
      </c>
      <c r="BE316">
        <v>-13</v>
      </c>
      <c r="BF316">
        <v>-6</v>
      </c>
      <c r="BG316">
        <v>8</v>
      </c>
      <c r="BH316">
        <v>4</v>
      </c>
      <c r="BI316">
        <v>7</v>
      </c>
      <c r="BJ316">
        <v>-6</v>
      </c>
      <c r="BK316">
        <v>5</v>
      </c>
      <c r="BL316">
        <v>2</v>
      </c>
      <c r="BM316">
        <v>-3</v>
      </c>
      <c r="BN316">
        <v>-2</v>
      </c>
      <c r="BO316">
        <v>0</v>
      </c>
      <c r="BP316">
        <v>-10</v>
      </c>
      <c r="BQ316">
        <v>-8</v>
      </c>
      <c r="BR316">
        <v>-10</v>
      </c>
      <c r="BS316">
        <v>-13</v>
      </c>
      <c r="BT316">
        <v>-15</v>
      </c>
      <c r="BU316">
        <v>-22</v>
      </c>
      <c r="BV316">
        <v>-26</v>
      </c>
    </row>
    <row r="317" spans="1:74" x14ac:dyDescent="0.25">
      <c r="A317" t="s">
        <v>651</v>
      </c>
      <c r="B317" t="s">
        <v>156</v>
      </c>
      <c r="C317" t="s">
        <v>103</v>
      </c>
      <c r="D317">
        <v>-1.843</v>
      </c>
      <c r="E317">
        <v>-14</v>
      </c>
      <c r="F317">
        <v>-21</v>
      </c>
      <c r="G317">
        <v>-18</v>
      </c>
      <c r="H317">
        <v>-16</v>
      </c>
      <c r="I317">
        <v>-8</v>
      </c>
      <c r="J317">
        <v>-11</v>
      </c>
      <c r="K317">
        <v>-15</v>
      </c>
      <c r="L317">
        <v>-1</v>
      </c>
      <c r="M317">
        <v>-1</v>
      </c>
      <c r="N317">
        <v>3</v>
      </c>
      <c r="O317">
        <v>7</v>
      </c>
      <c r="P317">
        <v>17</v>
      </c>
      <c r="Q317">
        <v>8</v>
      </c>
      <c r="R317">
        <v>15</v>
      </c>
      <c r="S317">
        <v>10</v>
      </c>
      <c r="T317">
        <v>5</v>
      </c>
      <c r="U317">
        <v>-8</v>
      </c>
      <c r="V317">
        <v>-12</v>
      </c>
      <c r="W317">
        <v>-21</v>
      </c>
      <c r="X317">
        <v>-20</v>
      </c>
      <c r="Y317">
        <v>4</v>
      </c>
      <c r="Z317">
        <v>-10</v>
      </c>
      <c r="AA317">
        <v>10</v>
      </c>
      <c r="AB317">
        <v>11</v>
      </c>
      <c r="AC317">
        <v>7</v>
      </c>
      <c r="AD317">
        <v>9</v>
      </c>
      <c r="AE317">
        <v>1</v>
      </c>
      <c r="AF317">
        <v>4</v>
      </c>
      <c r="AG317">
        <v>3</v>
      </c>
      <c r="AH317">
        <v>-1</v>
      </c>
      <c r="AI317">
        <v>6</v>
      </c>
      <c r="AJ317">
        <v>7</v>
      </c>
      <c r="AK317">
        <v>2</v>
      </c>
      <c r="AL317">
        <v>4</v>
      </c>
      <c r="AM317">
        <v>-3</v>
      </c>
      <c r="AN317">
        <v>2</v>
      </c>
      <c r="AO317">
        <v>0</v>
      </c>
      <c r="AP317">
        <v>4</v>
      </c>
      <c r="AQ317">
        <v>4</v>
      </c>
      <c r="AR317">
        <v>5</v>
      </c>
      <c r="AS317">
        <v>6</v>
      </c>
      <c r="AT317">
        <v>7</v>
      </c>
      <c r="AU317">
        <v>6</v>
      </c>
      <c r="AV317">
        <v>11</v>
      </c>
      <c r="AW317">
        <v>8</v>
      </c>
      <c r="AX317">
        <v>10</v>
      </c>
      <c r="AY317">
        <v>6</v>
      </c>
      <c r="AZ317">
        <v>9</v>
      </c>
      <c r="BA317">
        <v>-2</v>
      </c>
      <c r="BB317">
        <v>-2</v>
      </c>
      <c r="BC317">
        <v>-27</v>
      </c>
      <c r="BD317">
        <v>-22</v>
      </c>
      <c r="BE317">
        <v>-22</v>
      </c>
      <c r="BF317">
        <v>-9</v>
      </c>
      <c r="BG317">
        <v>4</v>
      </c>
      <c r="BH317">
        <v>7</v>
      </c>
      <c r="BI317">
        <v>-1</v>
      </c>
      <c r="BJ317">
        <v>-2</v>
      </c>
      <c r="BK317">
        <v>2</v>
      </c>
      <c r="BL317">
        <v>-2</v>
      </c>
      <c r="BM317">
        <v>-8</v>
      </c>
      <c r="BN317">
        <v>-17</v>
      </c>
      <c r="BO317">
        <v>-4</v>
      </c>
      <c r="BP317">
        <v>-17</v>
      </c>
      <c r="BQ317">
        <v>-9</v>
      </c>
      <c r="BR317">
        <v>-5</v>
      </c>
      <c r="BS317">
        <v>0</v>
      </c>
      <c r="BT317">
        <v>-10</v>
      </c>
      <c r="BU317">
        <v>-3</v>
      </c>
      <c r="BV317">
        <v>-11</v>
      </c>
    </row>
    <row r="318" spans="1:74" x14ac:dyDescent="0.25">
      <c r="A318" t="s">
        <v>652</v>
      </c>
      <c r="B318" t="s">
        <v>157</v>
      </c>
      <c r="C318" t="s">
        <v>103</v>
      </c>
      <c r="D318">
        <v>18.071000000000002</v>
      </c>
      <c r="E318">
        <v>13</v>
      </c>
      <c r="F318">
        <v>39</v>
      </c>
      <c r="G318">
        <v>25</v>
      </c>
      <c r="H318">
        <v>24</v>
      </c>
      <c r="I318">
        <v>31</v>
      </c>
      <c r="J318">
        <v>34</v>
      </c>
      <c r="K318">
        <v>22</v>
      </c>
      <c r="L318">
        <v>51</v>
      </c>
      <c r="M318">
        <v>58</v>
      </c>
      <c r="N318">
        <v>41</v>
      </c>
      <c r="O318">
        <v>59</v>
      </c>
      <c r="P318">
        <v>63</v>
      </c>
      <c r="Q318">
        <v>35</v>
      </c>
      <c r="R318">
        <v>36</v>
      </c>
      <c r="S318">
        <v>42</v>
      </c>
      <c r="T318">
        <v>13</v>
      </c>
      <c r="U318">
        <v>-26</v>
      </c>
      <c r="V318">
        <v>-20</v>
      </c>
      <c r="W318">
        <v>16</v>
      </c>
      <c r="X318">
        <v>35</v>
      </c>
      <c r="Y318">
        <v>48</v>
      </c>
      <c r="Z318">
        <v>51</v>
      </c>
      <c r="AA318">
        <v>59</v>
      </c>
      <c r="AB318">
        <v>59</v>
      </c>
      <c r="AC318">
        <v>27</v>
      </c>
      <c r="AD318">
        <v>22</v>
      </c>
      <c r="AE318">
        <v>31</v>
      </c>
      <c r="AF318">
        <v>-11</v>
      </c>
      <c r="AG318">
        <v>8</v>
      </c>
      <c r="AH318">
        <v>24</v>
      </c>
      <c r="AI318">
        <v>15</v>
      </c>
      <c r="AJ318">
        <v>25</v>
      </c>
      <c r="AK318">
        <v>31</v>
      </c>
      <c r="AL318">
        <v>11</v>
      </c>
      <c r="AM318">
        <v>10</v>
      </c>
      <c r="AN318">
        <v>28</v>
      </c>
      <c r="AO318">
        <v>19</v>
      </c>
      <c r="AP318">
        <v>27</v>
      </c>
      <c r="AQ318">
        <v>32</v>
      </c>
      <c r="AR318">
        <v>16</v>
      </c>
      <c r="AS318">
        <v>23</v>
      </c>
      <c r="AT318">
        <v>23</v>
      </c>
      <c r="AU318">
        <v>12</v>
      </c>
      <c r="AV318">
        <v>14</v>
      </c>
      <c r="AW318">
        <v>21</v>
      </c>
      <c r="AX318">
        <v>5</v>
      </c>
      <c r="AY318">
        <v>13</v>
      </c>
      <c r="AZ318">
        <v>0</v>
      </c>
      <c r="BA318">
        <v>-8</v>
      </c>
      <c r="BB318">
        <v>6</v>
      </c>
      <c r="BC318">
        <v>-30</v>
      </c>
      <c r="BD318">
        <v>2</v>
      </c>
      <c r="BE318">
        <v>10</v>
      </c>
      <c r="BF318">
        <v>19</v>
      </c>
      <c r="BG318">
        <v>21</v>
      </c>
      <c r="BH318">
        <v>27</v>
      </c>
      <c r="BI318">
        <v>19</v>
      </c>
      <c r="BJ318">
        <v>-20</v>
      </c>
      <c r="BK318">
        <v>13</v>
      </c>
      <c r="BL318">
        <v>6</v>
      </c>
      <c r="BM318">
        <v>-8</v>
      </c>
      <c r="BN318">
        <v>-5</v>
      </c>
      <c r="BO318">
        <v>1</v>
      </c>
      <c r="BP318">
        <v>-7</v>
      </c>
      <c r="BQ318">
        <v>3</v>
      </c>
      <c r="BR318">
        <v>-5</v>
      </c>
      <c r="BS318">
        <v>-5</v>
      </c>
      <c r="BT318">
        <v>-4</v>
      </c>
      <c r="BU318">
        <v>-5</v>
      </c>
      <c r="BV318">
        <v>1</v>
      </c>
    </row>
    <row r="319" spans="1:74" x14ac:dyDescent="0.25">
      <c r="A319" t="s">
        <v>653</v>
      </c>
      <c r="B319" t="s">
        <v>158</v>
      </c>
      <c r="C319" t="s">
        <v>103</v>
      </c>
      <c r="D319">
        <v>-6.0570000000000004</v>
      </c>
      <c r="E319">
        <v>-20</v>
      </c>
      <c r="F319">
        <v>-19</v>
      </c>
      <c r="G319">
        <v>-7</v>
      </c>
      <c r="H319">
        <v>-14</v>
      </c>
      <c r="I319">
        <v>-9</v>
      </c>
      <c r="J319">
        <v>-13</v>
      </c>
      <c r="K319">
        <v>-14</v>
      </c>
      <c r="L319">
        <v>-9</v>
      </c>
      <c r="M319">
        <v>0</v>
      </c>
      <c r="N319">
        <v>-4</v>
      </c>
      <c r="O319">
        <v>-5</v>
      </c>
      <c r="P319">
        <v>-3</v>
      </c>
      <c r="Q319">
        <v>0</v>
      </c>
      <c r="R319">
        <v>7</v>
      </c>
      <c r="S319">
        <v>3</v>
      </c>
      <c r="T319">
        <v>-7</v>
      </c>
      <c r="U319">
        <v>-16</v>
      </c>
      <c r="V319">
        <v>-16</v>
      </c>
      <c r="W319">
        <v>-11</v>
      </c>
      <c r="X319">
        <v>-11</v>
      </c>
      <c r="Y319">
        <v>-2</v>
      </c>
      <c r="Z319">
        <v>0</v>
      </c>
      <c r="AA319">
        <v>6</v>
      </c>
      <c r="AB319">
        <v>2</v>
      </c>
      <c r="AC319">
        <v>4</v>
      </c>
      <c r="AD319">
        <v>-3</v>
      </c>
      <c r="AE319">
        <v>3</v>
      </c>
      <c r="AF319">
        <v>4</v>
      </c>
      <c r="AG319">
        <v>-2</v>
      </c>
      <c r="AH319">
        <v>1</v>
      </c>
      <c r="AI319">
        <v>-4</v>
      </c>
      <c r="AJ319">
        <v>0</v>
      </c>
      <c r="AK319">
        <v>5</v>
      </c>
      <c r="AL319">
        <v>-2</v>
      </c>
      <c r="AM319">
        <v>2</v>
      </c>
      <c r="AN319">
        <v>-2</v>
      </c>
      <c r="AO319">
        <v>4</v>
      </c>
      <c r="AP319">
        <v>-3</v>
      </c>
      <c r="AQ319">
        <v>-5</v>
      </c>
      <c r="AR319">
        <v>-4</v>
      </c>
      <c r="AS319">
        <v>3</v>
      </c>
      <c r="AT319">
        <v>2</v>
      </c>
      <c r="AU319">
        <v>3</v>
      </c>
      <c r="AV319">
        <v>5</v>
      </c>
      <c r="AW319">
        <v>9</v>
      </c>
      <c r="AX319">
        <v>1</v>
      </c>
      <c r="AY319">
        <v>0</v>
      </c>
      <c r="AZ319">
        <v>-2</v>
      </c>
      <c r="BA319">
        <v>-4</v>
      </c>
      <c r="BB319">
        <v>-5</v>
      </c>
      <c r="BC319">
        <v>-62</v>
      </c>
      <c r="BD319">
        <v>-53</v>
      </c>
      <c r="BE319">
        <v>-43</v>
      </c>
      <c r="BF319">
        <v>-39</v>
      </c>
      <c r="BG319">
        <v>-16</v>
      </c>
      <c r="BH319">
        <v>-16</v>
      </c>
      <c r="BI319">
        <v>-2</v>
      </c>
      <c r="BJ319">
        <v>-9</v>
      </c>
      <c r="BK319">
        <v>6</v>
      </c>
      <c r="BL319">
        <v>2</v>
      </c>
      <c r="BM319">
        <v>3</v>
      </c>
      <c r="BN319">
        <v>1</v>
      </c>
      <c r="BO319">
        <v>2</v>
      </c>
      <c r="BP319">
        <v>1</v>
      </c>
      <c r="BQ319">
        <v>-3</v>
      </c>
      <c r="BR319">
        <v>-5</v>
      </c>
      <c r="BS319">
        <v>-6</v>
      </c>
      <c r="BT319">
        <v>-5</v>
      </c>
      <c r="BU319">
        <v>-15</v>
      </c>
      <c r="BV319">
        <v>-13</v>
      </c>
    </row>
    <row r="320" spans="1:74" x14ac:dyDescent="0.25">
      <c r="A320" t="s">
        <v>654</v>
      </c>
      <c r="B320" t="s">
        <v>159</v>
      </c>
      <c r="C320" t="s">
        <v>103</v>
      </c>
      <c r="D320">
        <v>12.871</v>
      </c>
      <c r="E320">
        <v>-18</v>
      </c>
      <c r="F320">
        <v>-17</v>
      </c>
      <c r="G320">
        <v>-20</v>
      </c>
      <c r="H320">
        <v>-10</v>
      </c>
      <c r="I320">
        <v>-9</v>
      </c>
      <c r="J320">
        <v>-12</v>
      </c>
      <c r="K320">
        <v>-3</v>
      </c>
      <c r="L320">
        <v>0</v>
      </c>
      <c r="M320">
        <v>6</v>
      </c>
      <c r="N320">
        <v>3</v>
      </c>
      <c r="O320">
        <v>12</v>
      </c>
      <c r="P320">
        <v>19</v>
      </c>
      <c r="Q320">
        <v>23</v>
      </c>
      <c r="R320">
        <v>17</v>
      </c>
      <c r="S320">
        <v>12</v>
      </c>
      <c r="T320">
        <v>10</v>
      </c>
      <c r="U320">
        <v>2</v>
      </c>
      <c r="V320">
        <v>-1</v>
      </c>
      <c r="W320">
        <v>2</v>
      </c>
      <c r="X320">
        <v>-2</v>
      </c>
      <c r="Y320">
        <v>14</v>
      </c>
      <c r="Z320">
        <v>11</v>
      </c>
      <c r="AA320">
        <v>14</v>
      </c>
      <c r="AB320">
        <v>25</v>
      </c>
      <c r="AC320">
        <v>18</v>
      </c>
      <c r="AD320">
        <v>19</v>
      </c>
      <c r="AE320">
        <v>20</v>
      </c>
      <c r="AF320">
        <v>16</v>
      </c>
      <c r="AG320">
        <v>25</v>
      </c>
      <c r="AH320">
        <v>14</v>
      </c>
      <c r="AI320">
        <v>10</v>
      </c>
      <c r="AJ320">
        <v>18</v>
      </c>
      <c r="AK320">
        <v>23</v>
      </c>
      <c r="AL320">
        <v>13</v>
      </c>
      <c r="AM320">
        <v>17</v>
      </c>
      <c r="AN320">
        <v>23</v>
      </c>
      <c r="AO320">
        <v>12</v>
      </c>
      <c r="AP320">
        <v>21</v>
      </c>
      <c r="AQ320">
        <v>22</v>
      </c>
      <c r="AR320">
        <v>19</v>
      </c>
      <c r="AS320">
        <v>20</v>
      </c>
      <c r="AT320">
        <v>19</v>
      </c>
      <c r="AU320">
        <v>25</v>
      </c>
      <c r="AV320">
        <v>25</v>
      </c>
      <c r="AW320">
        <v>19</v>
      </c>
      <c r="AX320">
        <v>16</v>
      </c>
      <c r="AY320">
        <v>22</v>
      </c>
      <c r="AZ320">
        <v>22</v>
      </c>
      <c r="BA320">
        <v>22</v>
      </c>
      <c r="BB320">
        <v>17</v>
      </c>
      <c r="BC320">
        <v>-2</v>
      </c>
      <c r="BD320">
        <v>7</v>
      </c>
      <c r="BE320">
        <v>14</v>
      </c>
      <c r="BF320">
        <v>12</v>
      </c>
      <c r="BG320">
        <v>25</v>
      </c>
      <c r="BH320">
        <v>29</v>
      </c>
      <c r="BI320">
        <v>25</v>
      </c>
      <c r="BJ320">
        <v>14</v>
      </c>
      <c r="BK320">
        <v>22</v>
      </c>
      <c r="BL320">
        <v>28</v>
      </c>
      <c r="BM320">
        <v>17</v>
      </c>
      <c r="BN320">
        <v>22</v>
      </c>
      <c r="BO320">
        <v>18</v>
      </c>
      <c r="BP320">
        <v>17</v>
      </c>
      <c r="BQ320">
        <v>20</v>
      </c>
      <c r="BR320">
        <v>18</v>
      </c>
      <c r="BS320">
        <v>9</v>
      </c>
      <c r="BT320">
        <v>15</v>
      </c>
      <c r="BU320">
        <v>9</v>
      </c>
      <c r="BV320">
        <v>7</v>
      </c>
    </row>
    <row r="321" spans="1:74" x14ac:dyDescent="0.25">
      <c r="A321" t="s">
        <v>655</v>
      </c>
      <c r="B321" t="s">
        <v>160</v>
      </c>
      <c r="C321" t="s">
        <v>103</v>
      </c>
      <c r="D321">
        <v>10.757</v>
      </c>
      <c r="E321">
        <v>0</v>
      </c>
      <c r="F321">
        <v>5</v>
      </c>
      <c r="G321">
        <v>-4</v>
      </c>
      <c r="H321">
        <v>7</v>
      </c>
      <c r="I321">
        <v>6</v>
      </c>
      <c r="J321">
        <v>-2</v>
      </c>
      <c r="K321">
        <v>7</v>
      </c>
      <c r="L321">
        <v>21</v>
      </c>
      <c r="M321">
        <v>19</v>
      </c>
      <c r="N321">
        <v>15</v>
      </c>
      <c r="O321">
        <v>21</v>
      </c>
      <c r="P321">
        <v>29</v>
      </c>
      <c r="Q321">
        <v>24</v>
      </c>
      <c r="R321">
        <v>23</v>
      </c>
      <c r="S321">
        <v>20</v>
      </c>
      <c r="T321">
        <v>15</v>
      </c>
      <c r="U321">
        <v>3</v>
      </c>
      <c r="V321">
        <v>-14</v>
      </c>
      <c r="W321">
        <v>-1</v>
      </c>
      <c r="X321">
        <v>9</v>
      </c>
      <c r="Y321">
        <v>10</v>
      </c>
      <c r="Z321">
        <v>19</v>
      </c>
      <c r="AA321">
        <v>25</v>
      </c>
      <c r="AB321">
        <v>27</v>
      </c>
      <c r="AC321">
        <v>17</v>
      </c>
      <c r="AD321">
        <v>16</v>
      </c>
      <c r="AE321">
        <v>18</v>
      </c>
      <c r="AF321">
        <v>16</v>
      </c>
      <c r="AG321">
        <v>16</v>
      </c>
      <c r="AH321">
        <v>10</v>
      </c>
      <c r="AI321">
        <v>12</v>
      </c>
      <c r="AJ321">
        <v>17</v>
      </c>
      <c r="AK321">
        <v>18</v>
      </c>
      <c r="AL321">
        <v>13</v>
      </c>
      <c r="AM321">
        <v>14</v>
      </c>
      <c r="AN321">
        <v>15</v>
      </c>
      <c r="AO321">
        <v>15</v>
      </c>
      <c r="AP321">
        <v>18</v>
      </c>
      <c r="AQ321">
        <v>15</v>
      </c>
      <c r="AR321">
        <v>16</v>
      </c>
      <c r="AS321">
        <v>18</v>
      </c>
      <c r="AT321">
        <v>20</v>
      </c>
      <c r="AU321">
        <v>17</v>
      </c>
      <c r="AV321">
        <v>23</v>
      </c>
      <c r="AW321">
        <v>19</v>
      </c>
      <c r="AX321">
        <v>19</v>
      </c>
      <c r="AY321">
        <v>16</v>
      </c>
      <c r="AZ321">
        <v>18</v>
      </c>
      <c r="BA321">
        <v>10</v>
      </c>
      <c r="BB321">
        <v>16</v>
      </c>
      <c r="BC321">
        <v>-15</v>
      </c>
      <c r="BD321">
        <v>-2</v>
      </c>
      <c r="BE321">
        <v>2</v>
      </c>
      <c r="BF321">
        <v>6</v>
      </c>
      <c r="BG321">
        <v>13</v>
      </c>
      <c r="BH321">
        <v>14</v>
      </c>
      <c r="BI321">
        <v>12</v>
      </c>
      <c r="BJ321">
        <v>4</v>
      </c>
      <c r="BK321">
        <v>13</v>
      </c>
      <c r="BL321">
        <v>10</v>
      </c>
      <c r="BM321">
        <v>5</v>
      </c>
      <c r="BN321">
        <v>5</v>
      </c>
      <c r="BO321">
        <v>1</v>
      </c>
      <c r="BP321">
        <v>-2</v>
      </c>
      <c r="BQ321">
        <v>-5</v>
      </c>
      <c r="BR321">
        <v>-2</v>
      </c>
      <c r="BS321">
        <v>1</v>
      </c>
      <c r="BT321">
        <v>-1</v>
      </c>
      <c r="BU321">
        <v>-6</v>
      </c>
      <c r="BV321">
        <v>-6</v>
      </c>
    </row>
    <row r="322" spans="1:74" x14ac:dyDescent="0.25">
      <c r="A322" t="s">
        <v>656</v>
      </c>
      <c r="B322" t="s">
        <v>244</v>
      </c>
      <c r="C322" t="s">
        <v>103</v>
      </c>
      <c r="D322">
        <v>11.586</v>
      </c>
      <c r="E322">
        <v>-15</v>
      </c>
      <c r="F322">
        <v>-9</v>
      </c>
      <c r="G322">
        <v>-12</v>
      </c>
      <c r="H322">
        <v>-13</v>
      </c>
      <c r="I322">
        <v>-3</v>
      </c>
      <c r="J322">
        <v>-6</v>
      </c>
      <c r="K322">
        <v>-2</v>
      </c>
      <c r="L322">
        <v>4</v>
      </c>
      <c r="M322">
        <v>6</v>
      </c>
      <c r="N322">
        <v>19</v>
      </c>
      <c r="O322">
        <v>23</v>
      </c>
      <c r="P322">
        <v>31</v>
      </c>
      <c r="Q322">
        <v>27</v>
      </c>
      <c r="R322">
        <v>25</v>
      </c>
      <c r="S322">
        <v>27</v>
      </c>
      <c r="T322">
        <v>19</v>
      </c>
      <c r="U322">
        <v>-1</v>
      </c>
      <c r="V322">
        <v>-9</v>
      </c>
      <c r="W322">
        <v>-1</v>
      </c>
      <c r="X322">
        <v>6</v>
      </c>
      <c r="Y322">
        <v>10</v>
      </c>
      <c r="Z322">
        <v>16</v>
      </c>
      <c r="AA322">
        <v>20</v>
      </c>
      <c r="AB322">
        <v>28</v>
      </c>
      <c r="AC322">
        <v>19</v>
      </c>
      <c r="AD322">
        <v>20</v>
      </c>
      <c r="AE322">
        <v>24</v>
      </c>
      <c r="AF322">
        <v>14</v>
      </c>
      <c r="AG322">
        <v>17</v>
      </c>
      <c r="AH322">
        <v>15</v>
      </c>
      <c r="AI322">
        <v>16</v>
      </c>
      <c r="AJ322">
        <v>18</v>
      </c>
      <c r="AK322">
        <v>22</v>
      </c>
      <c r="AL322">
        <v>14</v>
      </c>
      <c r="AM322">
        <v>14</v>
      </c>
      <c r="AN322">
        <v>17</v>
      </c>
      <c r="AO322">
        <v>17</v>
      </c>
      <c r="AP322">
        <v>22</v>
      </c>
      <c r="AQ322">
        <v>19</v>
      </c>
      <c r="AR322">
        <v>23</v>
      </c>
      <c r="AS322">
        <v>27</v>
      </c>
      <c r="AT322">
        <v>23</v>
      </c>
      <c r="AU322">
        <v>27</v>
      </c>
      <c r="AV322">
        <v>28</v>
      </c>
      <c r="AW322">
        <v>27</v>
      </c>
      <c r="AX322">
        <v>30</v>
      </c>
      <c r="AY322">
        <v>25</v>
      </c>
      <c r="AZ322">
        <v>21</v>
      </c>
      <c r="BA322">
        <v>15</v>
      </c>
      <c r="BB322">
        <v>17</v>
      </c>
      <c r="BC322">
        <v>-15</v>
      </c>
      <c r="BD322">
        <v>2</v>
      </c>
      <c r="BE322">
        <v>9</v>
      </c>
      <c r="BF322">
        <v>11</v>
      </c>
      <c r="BG322">
        <v>20</v>
      </c>
      <c r="BH322">
        <v>17</v>
      </c>
      <c r="BI322">
        <v>15</v>
      </c>
      <c r="BJ322">
        <v>3</v>
      </c>
      <c r="BK322">
        <v>12</v>
      </c>
      <c r="BL322">
        <v>10</v>
      </c>
      <c r="BM322">
        <v>2</v>
      </c>
      <c r="BN322">
        <v>5</v>
      </c>
      <c r="BO322">
        <v>4</v>
      </c>
      <c r="BP322">
        <v>1</v>
      </c>
      <c r="BQ322">
        <v>0</v>
      </c>
      <c r="BR322">
        <v>1</v>
      </c>
      <c r="BS322">
        <v>-2</v>
      </c>
      <c r="BT322">
        <v>1</v>
      </c>
      <c r="BU322">
        <v>-1</v>
      </c>
      <c r="BV322">
        <v>-5</v>
      </c>
    </row>
    <row r="323" spans="1:74" x14ac:dyDescent="0.25">
      <c r="A323" t="s">
        <v>657</v>
      </c>
      <c r="B323" t="s">
        <v>245</v>
      </c>
      <c r="C323" t="s">
        <v>103</v>
      </c>
      <c r="D323">
        <v>6.6289999999999996</v>
      </c>
      <c r="E323">
        <v>3</v>
      </c>
      <c r="F323">
        <v>0</v>
      </c>
      <c r="G323">
        <v>-13</v>
      </c>
      <c r="H323">
        <v>-11</v>
      </c>
      <c r="I323">
        <v>0</v>
      </c>
      <c r="J323">
        <v>8</v>
      </c>
      <c r="K323">
        <v>-3</v>
      </c>
      <c r="L323">
        <v>4</v>
      </c>
      <c r="M323">
        <v>8</v>
      </c>
      <c r="N323">
        <v>1</v>
      </c>
      <c r="O323">
        <v>20</v>
      </c>
      <c r="P323">
        <v>29</v>
      </c>
      <c r="Q323">
        <v>13</v>
      </c>
      <c r="R323">
        <v>9</v>
      </c>
      <c r="S323">
        <v>16</v>
      </c>
      <c r="T323">
        <v>11</v>
      </c>
      <c r="U323">
        <v>-4</v>
      </c>
      <c r="V323">
        <v>-7</v>
      </c>
      <c r="W323">
        <v>-5</v>
      </c>
      <c r="X323">
        <v>4</v>
      </c>
      <c r="Y323">
        <v>2</v>
      </c>
      <c r="Z323">
        <v>13</v>
      </c>
      <c r="AA323">
        <v>1</v>
      </c>
      <c r="AB323">
        <v>19</v>
      </c>
      <c r="AC323">
        <v>12</v>
      </c>
      <c r="AD323">
        <v>25</v>
      </c>
      <c r="AE323">
        <v>20</v>
      </c>
      <c r="AF323">
        <v>21</v>
      </c>
      <c r="AG323">
        <v>7</v>
      </c>
      <c r="AH323">
        <v>15</v>
      </c>
      <c r="AI323">
        <v>13</v>
      </c>
      <c r="AJ323">
        <v>14</v>
      </c>
      <c r="AK323">
        <v>5</v>
      </c>
      <c r="AL323">
        <v>10</v>
      </c>
      <c r="AM323">
        <v>17</v>
      </c>
      <c r="AN323">
        <v>17</v>
      </c>
      <c r="AO323">
        <v>8</v>
      </c>
      <c r="AP323">
        <v>10</v>
      </c>
      <c r="AQ323">
        <v>12</v>
      </c>
      <c r="AR323">
        <v>9</v>
      </c>
      <c r="AS323">
        <v>13</v>
      </c>
      <c r="AT323">
        <v>10</v>
      </c>
      <c r="AU323">
        <v>19</v>
      </c>
      <c r="AV323">
        <v>23</v>
      </c>
      <c r="AW323">
        <v>16</v>
      </c>
      <c r="AX323">
        <v>13</v>
      </c>
      <c r="AY323">
        <v>18</v>
      </c>
      <c r="AZ323">
        <v>17</v>
      </c>
      <c r="BA323">
        <v>3</v>
      </c>
      <c r="BB323">
        <v>7</v>
      </c>
      <c r="BC323">
        <v>-19</v>
      </c>
      <c r="BD323">
        <v>-12</v>
      </c>
      <c r="BE323">
        <v>-1</v>
      </c>
      <c r="BF323">
        <v>-3</v>
      </c>
      <c r="BG323">
        <v>16</v>
      </c>
      <c r="BH323">
        <v>11</v>
      </c>
      <c r="BI323">
        <v>11</v>
      </c>
      <c r="BJ323">
        <v>4</v>
      </c>
      <c r="BK323">
        <v>4</v>
      </c>
      <c r="BL323">
        <v>6</v>
      </c>
      <c r="BM323">
        <v>4</v>
      </c>
      <c r="BN323">
        <v>2</v>
      </c>
      <c r="BO323">
        <v>4</v>
      </c>
      <c r="BP323">
        <v>-1</v>
      </c>
      <c r="BQ323">
        <v>-6</v>
      </c>
      <c r="BR323">
        <v>-5</v>
      </c>
      <c r="BS323">
        <v>-9</v>
      </c>
      <c r="BT323">
        <v>-5</v>
      </c>
      <c r="BU323">
        <v>-3</v>
      </c>
      <c r="BV323">
        <v>-6</v>
      </c>
    </row>
    <row r="324" spans="1:74" x14ac:dyDescent="0.25">
      <c r="A324" t="s">
        <v>658</v>
      </c>
      <c r="B324" t="s">
        <v>246</v>
      </c>
      <c r="C324" t="s">
        <v>103</v>
      </c>
      <c r="D324">
        <v>6</v>
      </c>
      <c r="E324">
        <v>-14</v>
      </c>
      <c r="F324">
        <v>0</v>
      </c>
      <c r="G324">
        <v>-13</v>
      </c>
      <c r="H324">
        <v>4</v>
      </c>
      <c r="I324">
        <v>-5</v>
      </c>
      <c r="J324">
        <v>-1</v>
      </c>
      <c r="K324">
        <v>2</v>
      </c>
      <c r="L324">
        <v>16</v>
      </c>
      <c r="M324">
        <v>17</v>
      </c>
      <c r="N324">
        <v>13</v>
      </c>
      <c r="O324">
        <v>15</v>
      </c>
      <c r="P324">
        <v>10</v>
      </c>
      <c r="Q324">
        <v>21</v>
      </c>
      <c r="R324">
        <v>20</v>
      </c>
      <c r="S324">
        <v>21</v>
      </c>
      <c r="T324">
        <v>14</v>
      </c>
      <c r="U324">
        <v>4</v>
      </c>
      <c r="V324">
        <v>-13</v>
      </c>
      <c r="W324">
        <v>-1</v>
      </c>
      <c r="X324">
        <v>5</v>
      </c>
      <c r="Y324">
        <v>5</v>
      </c>
      <c r="Z324">
        <v>11</v>
      </c>
      <c r="AA324">
        <v>17</v>
      </c>
      <c r="AB324">
        <v>11</v>
      </c>
      <c r="AC324">
        <v>10</v>
      </c>
      <c r="AD324">
        <v>9</v>
      </c>
      <c r="AE324">
        <v>12</v>
      </c>
      <c r="AF324">
        <v>6</v>
      </c>
      <c r="AG324">
        <v>6</v>
      </c>
      <c r="AH324">
        <v>6</v>
      </c>
      <c r="AI324">
        <v>10</v>
      </c>
      <c r="AJ324">
        <v>9</v>
      </c>
      <c r="AK324">
        <v>8</v>
      </c>
      <c r="AL324">
        <v>5</v>
      </c>
      <c r="AM324">
        <v>5</v>
      </c>
      <c r="AN324">
        <v>8</v>
      </c>
      <c r="AO324">
        <v>12</v>
      </c>
      <c r="AP324">
        <v>10</v>
      </c>
      <c r="AQ324">
        <v>16</v>
      </c>
      <c r="AR324">
        <v>18</v>
      </c>
      <c r="AS324">
        <v>14</v>
      </c>
      <c r="AT324">
        <v>13</v>
      </c>
      <c r="AU324">
        <v>16</v>
      </c>
      <c r="AV324">
        <v>18</v>
      </c>
      <c r="AW324">
        <v>15</v>
      </c>
      <c r="AX324">
        <v>13</v>
      </c>
      <c r="AY324">
        <v>14</v>
      </c>
      <c r="AZ324">
        <v>12</v>
      </c>
      <c r="BA324">
        <v>7</v>
      </c>
      <c r="BB324">
        <v>6</v>
      </c>
      <c r="BC324">
        <v>-20</v>
      </c>
      <c r="BD324">
        <v>-12</v>
      </c>
      <c r="BE324">
        <v>-11</v>
      </c>
      <c r="BF324">
        <v>-5</v>
      </c>
      <c r="BG324">
        <v>14</v>
      </c>
      <c r="BH324">
        <v>11</v>
      </c>
      <c r="BI324">
        <v>14</v>
      </c>
      <c r="BJ324">
        <v>-1</v>
      </c>
      <c r="BK324">
        <v>11</v>
      </c>
      <c r="BL324">
        <v>14</v>
      </c>
      <c r="BM324">
        <v>0</v>
      </c>
      <c r="BN324">
        <v>5</v>
      </c>
      <c r="BO324">
        <v>4</v>
      </c>
      <c r="BP324">
        <v>-1</v>
      </c>
      <c r="BQ324">
        <v>-3</v>
      </c>
      <c r="BR324">
        <v>2</v>
      </c>
      <c r="BS324">
        <v>-7</v>
      </c>
      <c r="BT324">
        <v>-8</v>
      </c>
      <c r="BU324">
        <v>-10</v>
      </c>
      <c r="BV324">
        <v>-14</v>
      </c>
    </row>
    <row r="325" spans="1:74" x14ac:dyDescent="0.25">
      <c r="A325" t="s">
        <v>659</v>
      </c>
      <c r="B325" t="s">
        <v>164</v>
      </c>
      <c r="C325" t="s">
        <v>103</v>
      </c>
      <c r="D325">
        <v>10.829000000000001</v>
      </c>
      <c r="E325">
        <v>2</v>
      </c>
      <c r="F325">
        <v>1</v>
      </c>
      <c r="G325">
        <v>-27</v>
      </c>
      <c r="H325">
        <v>0</v>
      </c>
      <c r="I325">
        <v>-17</v>
      </c>
      <c r="J325">
        <v>-15</v>
      </c>
      <c r="K325">
        <v>-15</v>
      </c>
      <c r="L325">
        <v>0</v>
      </c>
      <c r="M325">
        <v>22</v>
      </c>
      <c r="N325">
        <v>-9</v>
      </c>
      <c r="O325">
        <v>12</v>
      </c>
      <c r="P325">
        <v>24</v>
      </c>
      <c r="Q325">
        <v>12</v>
      </c>
      <c r="R325">
        <v>20</v>
      </c>
      <c r="S325">
        <v>11</v>
      </c>
      <c r="T325">
        <v>17</v>
      </c>
      <c r="U325">
        <v>-11</v>
      </c>
      <c r="V325">
        <v>-9</v>
      </c>
      <c r="W325">
        <v>-4</v>
      </c>
      <c r="X325">
        <v>10</v>
      </c>
      <c r="Y325">
        <v>8</v>
      </c>
      <c r="Z325">
        <v>13</v>
      </c>
      <c r="AA325">
        <v>27</v>
      </c>
      <c r="AB325">
        <v>25</v>
      </c>
      <c r="AC325">
        <v>23</v>
      </c>
      <c r="AD325">
        <v>36</v>
      </c>
      <c r="AE325">
        <v>29</v>
      </c>
      <c r="AF325">
        <v>24</v>
      </c>
      <c r="AG325">
        <v>4</v>
      </c>
      <c r="AH325">
        <v>6</v>
      </c>
      <c r="AI325">
        <v>18</v>
      </c>
      <c r="AJ325">
        <v>17</v>
      </c>
      <c r="AK325">
        <v>18</v>
      </c>
      <c r="AL325">
        <v>19</v>
      </c>
      <c r="AM325">
        <v>26</v>
      </c>
      <c r="AN325">
        <v>26</v>
      </c>
      <c r="AO325">
        <v>37</v>
      </c>
      <c r="AP325">
        <v>40</v>
      </c>
      <c r="AQ325">
        <v>27</v>
      </c>
      <c r="AR325">
        <v>19</v>
      </c>
      <c r="AS325">
        <v>11</v>
      </c>
      <c r="AT325">
        <v>24</v>
      </c>
      <c r="AU325">
        <v>27</v>
      </c>
      <c r="AV325">
        <v>29</v>
      </c>
      <c r="AW325">
        <v>14</v>
      </c>
      <c r="AX325">
        <v>9</v>
      </c>
      <c r="AY325">
        <v>30</v>
      </c>
      <c r="AZ325">
        <v>15</v>
      </c>
      <c r="BA325">
        <v>20</v>
      </c>
      <c r="BB325">
        <v>20</v>
      </c>
      <c r="BC325">
        <v>-14</v>
      </c>
      <c r="BD325">
        <v>11</v>
      </c>
      <c r="BE325">
        <v>-1</v>
      </c>
      <c r="BF325">
        <v>-10</v>
      </c>
      <c r="BG325">
        <v>21</v>
      </c>
      <c r="BH325">
        <v>26</v>
      </c>
      <c r="BI325">
        <v>19</v>
      </c>
      <c r="BJ325">
        <v>-5</v>
      </c>
      <c r="BK325">
        <v>15</v>
      </c>
      <c r="BL325">
        <v>17</v>
      </c>
      <c r="BM325">
        <v>23</v>
      </c>
      <c r="BN325">
        <v>18</v>
      </c>
      <c r="BO325">
        <v>18</v>
      </c>
      <c r="BP325">
        <v>-3</v>
      </c>
      <c r="BQ325">
        <v>-11</v>
      </c>
      <c r="BR325">
        <v>-1</v>
      </c>
      <c r="BS325">
        <v>10</v>
      </c>
      <c r="BT325">
        <v>-8</v>
      </c>
      <c r="BU325">
        <v>-13</v>
      </c>
      <c r="BV325">
        <v>-19</v>
      </c>
    </row>
    <row r="326" spans="1:74" x14ac:dyDescent="0.25">
      <c r="A326" t="s">
        <v>660</v>
      </c>
      <c r="B326" t="s">
        <v>165</v>
      </c>
      <c r="C326" t="s">
        <v>103</v>
      </c>
      <c r="D326">
        <v>-0.94299999999999995</v>
      </c>
      <c r="E326">
        <v>-20</v>
      </c>
      <c r="F326">
        <v>-3</v>
      </c>
      <c r="G326">
        <v>-14</v>
      </c>
      <c r="H326">
        <v>-17</v>
      </c>
      <c r="I326">
        <v>-24</v>
      </c>
      <c r="J326">
        <v>-31</v>
      </c>
      <c r="K326">
        <v>-16</v>
      </c>
      <c r="L326">
        <v>2</v>
      </c>
      <c r="M326">
        <v>-15</v>
      </c>
      <c r="N326">
        <v>-4</v>
      </c>
      <c r="O326">
        <v>-1</v>
      </c>
      <c r="P326">
        <v>30</v>
      </c>
      <c r="Q326">
        <v>18</v>
      </c>
      <c r="R326">
        <v>5</v>
      </c>
      <c r="S326">
        <v>4</v>
      </c>
      <c r="T326">
        <v>-1</v>
      </c>
      <c r="U326">
        <v>-28</v>
      </c>
      <c r="V326">
        <v>-24</v>
      </c>
      <c r="W326">
        <v>-4</v>
      </c>
      <c r="X326">
        <v>-3</v>
      </c>
      <c r="Y326">
        <v>-2</v>
      </c>
      <c r="Z326">
        <v>1</v>
      </c>
      <c r="AA326">
        <v>3</v>
      </c>
      <c r="AB326">
        <v>10</v>
      </c>
      <c r="AC326">
        <v>7</v>
      </c>
      <c r="AD326">
        <v>2</v>
      </c>
      <c r="AE326">
        <v>17</v>
      </c>
      <c r="AF326">
        <v>7</v>
      </c>
      <c r="AG326">
        <v>-1</v>
      </c>
      <c r="AH326">
        <v>-1</v>
      </c>
      <c r="AI326">
        <v>16</v>
      </c>
      <c r="AJ326">
        <v>5</v>
      </c>
      <c r="AK326">
        <v>-2</v>
      </c>
      <c r="AL326">
        <v>7</v>
      </c>
      <c r="AM326">
        <v>10</v>
      </c>
      <c r="AN326">
        <v>12</v>
      </c>
      <c r="AO326">
        <v>6</v>
      </c>
      <c r="AP326">
        <v>12</v>
      </c>
      <c r="AQ326">
        <v>17</v>
      </c>
      <c r="AR326">
        <v>7</v>
      </c>
      <c r="AS326">
        <v>10</v>
      </c>
      <c r="AT326">
        <v>12</v>
      </c>
      <c r="AU326">
        <v>12</v>
      </c>
      <c r="AV326">
        <v>8</v>
      </c>
      <c r="AW326">
        <v>17</v>
      </c>
      <c r="AX326">
        <v>7</v>
      </c>
      <c r="AY326">
        <v>14</v>
      </c>
      <c r="AZ326">
        <v>23</v>
      </c>
      <c r="BA326">
        <v>11</v>
      </c>
      <c r="BB326">
        <v>7</v>
      </c>
      <c r="BC326">
        <v>-24</v>
      </c>
      <c r="BD326">
        <v>-1</v>
      </c>
      <c r="BE326">
        <v>-7</v>
      </c>
      <c r="BF326">
        <v>-5</v>
      </c>
      <c r="BG326">
        <v>9</v>
      </c>
      <c r="BH326">
        <v>8</v>
      </c>
      <c r="BI326">
        <v>9</v>
      </c>
      <c r="BJ326">
        <v>-15</v>
      </c>
      <c r="BK326">
        <v>-8</v>
      </c>
      <c r="BL326">
        <v>-11</v>
      </c>
      <c r="BM326">
        <v>-9</v>
      </c>
      <c r="BN326">
        <v>-10</v>
      </c>
      <c r="BO326">
        <v>-19</v>
      </c>
      <c r="BP326">
        <v>-16</v>
      </c>
      <c r="BQ326">
        <v>-15</v>
      </c>
      <c r="BR326">
        <v>-6</v>
      </c>
      <c r="BS326">
        <v>-11</v>
      </c>
      <c r="BT326">
        <v>-14</v>
      </c>
      <c r="BU326">
        <v>-15</v>
      </c>
      <c r="BV326">
        <v>-14</v>
      </c>
    </row>
    <row r="327" spans="1:74" x14ac:dyDescent="0.25">
      <c r="A327" t="s">
        <v>661</v>
      </c>
      <c r="B327" t="s">
        <v>166</v>
      </c>
      <c r="C327" t="s">
        <v>103</v>
      </c>
      <c r="D327">
        <v>-3.0289999999999999</v>
      </c>
      <c r="E327">
        <v>-31</v>
      </c>
      <c r="F327">
        <v>-26</v>
      </c>
      <c r="G327">
        <v>-37</v>
      </c>
      <c r="H327">
        <v>-45</v>
      </c>
      <c r="I327">
        <v>-19</v>
      </c>
      <c r="J327">
        <v>-47</v>
      </c>
      <c r="K327">
        <v>2</v>
      </c>
      <c r="L327">
        <v>-5</v>
      </c>
      <c r="M327">
        <v>8</v>
      </c>
      <c r="N327">
        <v>7</v>
      </c>
      <c r="O327">
        <v>24</v>
      </c>
      <c r="P327">
        <v>16</v>
      </c>
      <c r="Q327">
        <v>15</v>
      </c>
      <c r="R327">
        <v>16</v>
      </c>
      <c r="S327">
        <v>12</v>
      </c>
      <c r="T327">
        <v>5</v>
      </c>
      <c r="U327">
        <v>-3</v>
      </c>
      <c r="V327">
        <v>1</v>
      </c>
      <c r="W327">
        <v>-2</v>
      </c>
      <c r="X327">
        <v>-7</v>
      </c>
      <c r="Y327">
        <v>-12</v>
      </c>
      <c r="Z327">
        <v>-12</v>
      </c>
      <c r="AA327">
        <v>-23</v>
      </c>
      <c r="AB327">
        <v>-21</v>
      </c>
      <c r="AC327">
        <v>-32</v>
      </c>
      <c r="AD327">
        <v>-4</v>
      </c>
      <c r="AE327">
        <v>0</v>
      </c>
      <c r="AF327">
        <v>-10</v>
      </c>
      <c r="AG327">
        <v>-10</v>
      </c>
      <c r="AH327">
        <v>-1</v>
      </c>
      <c r="AI327">
        <v>-6</v>
      </c>
      <c r="AJ327">
        <v>-7</v>
      </c>
      <c r="AK327">
        <v>8</v>
      </c>
      <c r="AL327">
        <v>-2</v>
      </c>
      <c r="AM327">
        <v>-1</v>
      </c>
      <c r="AN327">
        <v>1</v>
      </c>
      <c r="AO327">
        <v>2</v>
      </c>
      <c r="AP327">
        <v>6</v>
      </c>
      <c r="AQ327">
        <v>11</v>
      </c>
      <c r="AR327">
        <v>3</v>
      </c>
      <c r="AS327">
        <v>17</v>
      </c>
      <c r="AT327">
        <v>15</v>
      </c>
      <c r="AU327">
        <v>7</v>
      </c>
      <c r="AV327">
        <v>14</v>
      </c>
      <c r="AW327">
        <v>18</v>
      </c>
      <c r="AX327">
        <v>10</v>
      </c>
      <c r="AY327">
        <v>14</v>
      </c>
      <c r="AZ327">
        <v>-1</v>
      </c>
      <c r="BA327">
        <v>7</v>
      </c>
      <c r="BB327">
        <v>8</v>
      </c>
      <c r="BC327">
        <v>-25</v>
      </c>
      <c r="BD327">
        <v>-6</v>
      </c>
      <c r="BE327">
        <v>-5</v>
      </c>
      <c r="BF327">
        <v>-2</v>
      </c>
      <c r="BG327">
        <v>4</v>
      </c>
      <c r="BH327">
        <v>1</v>
      </c>
      <c r="BI327">
        <v>3</v>
      </c>
      <c r="BJ327">
        <v>-6</v>
      </c>
      <c r="BK327">
        <v>-2</v>
      </c>
      <c r="BL327">
        <v>2</v>
      </c>
      <c r="BM327">
        <v>-12</v>
      </c>
      <c r="BN327">
        <v>3</v>
      </c>
      <c r="BO327">
        <v>0</v>
      </c>
      <c r="BP327">
        <v>1</v>
      </c>
      <c r="BQ327">
        <v>-6</v>
      </c>
      <c r="BR327">
        <v>-2</v>
      </c>
      <c r="BS327">
        <v>-8</v>
      </c>
      <c r="BT327">
        <v>-11</v>
      </c>
      <c r="BU327">
        <v>-14</v>
      </c>
      <c r="BV327">
        <v>-10</v>
      </c>
    </row>
    <row r="328" spans="1:74" x14ac:dyDescent="0.25">
      <c r="A328" t="s">
        <v>662</v>
      </c>
      <c r="B328" t="s">
        <v>167</v>
      </c>
      <c r="C328" t="s">
        <v>103</v>
      </c>
      <c r="D328">
        <v>13.371</v>
      </c>
      <c r="E328">
        <v>-22</v>
      </c>
      <c r="F328">
        <v>-40</v>
      </c>
      <c r="G328">
        <v>-29</v>
      </c>
      <c r="H328">
        <v>-16</v>
      </c>
      <c r="I328">
        <v>-11</v>
      </c>
      <c r="J328">
        <v>-6</v>
      </c>
      <c r="K328">
        <v>-15</v>
      </c>
      <c r="L328">
        <v>-6</v>
      </c>
      <c r="M328">
        <v>16</v>
      </c>
      <c r="N328">
        <v>-4</v>
      </c>
      <c r="O328">
        <v>11</v>
      </c>
      <c r="P328">
        <v>9</v>
      </c>
      <c r="Q328">
        <v>11</v>
      </c>
      <c r="R328">
        <v>23</v>
      </c>
      <c r="S328">
        <v>13</v>
      </c>
      <c r="T328">
        <v>18</v>
      </c>
      <c r="U328">
        <v>12</v>
      </c>
      <c r="V328">
        <v>18</v>
      </c>
      <c r="W328">
        <v>11</v>
      </c>
      <c r="X328">
        <v>27</v>
      </c>
      <c r="Y328">
        <v>22</v>
      </c>
      <c r="Z328">
        <v>17</v>
      </c>
      <c r="AA328">
        <v>19</v>
      </c>
      <c r="AB328">
        <v>13</v>
      </c>
      <c r="AC328">
        <v>25</v>
      </c>
      <c r="AD328">
        <v>16</v>
      </c>
      <c r="AE328">
        <v>28</v>
      </c>
      <c r="AF328">
        <v>21</v>
      </c>
      <c r="AG328">
        <v>19</v>
      </c>
      <c r="AH328">
        <v>15</v>
      </c>
      <c r="AI328">
        <v>21</v>
      </c>
      <c r="AJ328">
        <v>16</v>
      </c>
      <c r="AK328">
        <v>24</v>
      </c>
      <c r="AL328">
        <v>17</v>
      </c>
      <c r="AM328">
        <v>15</v>
      </c>
      <c r="AN328">
        <v>29</v>
      </c>
      <c r="AO328">
        <v>28</v>
      </c>
      <c r="AP328">
        <v>26</v>
      </c>
      <c r="AQ328">
        <v>25</v>
      </c>
      <c r="AR328">
        <v>37</v>
      </c>
      <c r="AS328">
        <v>30</v>
      </c>
      <c r="AT328">
        <v>28</v>
      </c>
      <c r="AU328">
        <v>28</v>
      </c>
      <c r="AV328">
        <v>31</v>
      </c>
      <c r="AW328">
        <v>24</v>
      </c>
      <c r="AX328">
        <v>25</v>
      </c>
      <c r="AY328">
        <v>32</v>
      </c>
      <c r="AZ328">
        <v>30</v>
      </c>
      <c r="BA328">
        <v>30</v>
      </c>
      <c r="BB328">
        <v>31</v>
      </c>
      <c r="BC328">
        <v>5</v>
      </c>
      <c r="BD328">
        <v>17</v>
      </c>
      <c r="BE328">
        <v>17</v>
      </c>
      <c r="BF328">
        <v>11</v>
      </c>
      <c r="BG328">
        <v>16</v>
      </c>
      <c r="BH328">
        <v>13</v>
      </c>
      <c r="BI328">
        <v>19</v>
      </c>
      <c r="BJ328">
        <v>2</v>
      </c>
      <c r="BK328">
        <v>2</v>
      </c>
      <c r="BL328">
        <v>10</v>
      </c>
      <c r="BM328">
        <v>3</v>
      </c>
      <c r="BN328">
        <v>3</v>
      </c>
      <c r="BO328">
        <v>13</v>
      </c>
      <c r="BP328">
        <v>15</v>
      </c>
      <c r="BQ328">
        <v>15</v>
      </c>
      <c r="BR328">
        <v>17</v>
      </c>
      <c r="BS328">
        <v>8</v>
      </c>
      <c r="BT328">
        <v>10</v>
      </c>
      <c r="BU328">
        <v>6</v>
      </c>
      <c r="BV328">
        <v>-8</v>
      </c>
    </row>
    <row r="329" spans="1:74" x14ac:dyDescent="0.25">
      <c r="A329" t="s">
        <v>663</v>
      </c>
      <c r="B329" t="s">
        <v>247</v>
      </c>
      <c r="C329" t="s">
        <v>103</v>
      </c>
      <c r="D329">
        <v>-0.24299999999999999</v>
      </c>
      <c r="E329">
        <v>-17</v>
      </c>
      <c r="F329">
        <v>-6</v>
      </c>
      <c r="G329">
        <v>-15</v>
      </c>
      <c r="H329">
        <v>-9</v>
      </c>
      <c r="I329">
        <v>-10</v>
      </c>
      <c r="J329">
        <v>-5</v>
      </c>
      <c r="K329">
        <v>-4</v>
      </c>
      <c r="L329">
        <v>-2</v>
      </c>
      <c r="M329">
        <v>8</v>
      </c>
      <c r="N329">
        <v>-2</v>
      </c>
      <c r="O329">
        <v>5</v>
      </c>
      <c r="P329">
        <v>14</v>
      </c>
      <c r="Q329">
        <v>0</v>
      </c>
      <c r="R329">
        <v>11</v>
      </c>
      <c r="S329">
        <v>9</v>
      </c>
      <c r="T329">
        <v>-2</v>
      </c>
      <c r="U329">
        <v>-6</v>
      </c>
      <c r="V329">
        <v>-1</v>
      </c>
      <c r="W329">
        <v>-6</v>
      </c>
      <c r="X329">
        <v>-10</v>
      </c>
      <c r="Y329">
        <v>4</v>
      </c>
      <c r="Z329">
        <v>9</v>
      </c>
      <c r="AA329">
        <v>7</v>
      </c>
      <c r="AB329">
        <v>9</v>
      </c>
      <c r="AC329">
        <v>3</v>
      </c>
      <c r="AD329">
        <v>12</v>
      </c>
      <c r="AE329">
        <v>6</v>
      </c>
      <c r="AF329">
        <v>4</v>
      </c>
      <c r="AG329">
        <v>7</v>
      </c>
      <c r="AH329">
        <v>7</v>
      </c>
      <c r="AI329">
        <v>3</v>
      </c>
      <c r="AJ329">
        <v>10</v>
      </c>
      <c r="AK329">
        <v>5</v>
      </c>
      <c r="AL329">
        <v>4</v>
      </c>
      <c r="AM329">
        <v>6</v>
      </c>
      <c r="AN329">
        <v>8</v>
      </c>
      <c r="AO329">
        <v>9</v>
      </c>
      <c r="AP329">
        <v>9</v>
      </c>
      <c r="AQ329">
        <v>12</v>
      </c>
      <c r="AR329">
        <v>-7</v>
      </c>
      <c r="AS329">
        <v>2</v>
      </c>
      <c r="AT329">
        <v>15</v>
      </c>
      <c r="AU329">
        <v>10</v>
      </c>
      <c r="AV329">
        <v>15</v>
      </c>
      <c r="AW329">
        <v>11</v>
      </c>
      <c r="AX329">
        <v>1</v>
      </c>
      <c r="AY329">
        <v>7</v>
      </c>
      <c r="AZ329">
        <v>12</v>
      </c>
      <c r="BA329">
        <v>8</v>
      </c>
      <c r="BB329">
        <v>14</v>
      </c>
      <c r="BC329">
        <v>-55</v>
      </c>
      <c r="BD329">
        <v>-34</v>
      </c>
      <c r="BE329">
        <v>-31</v>
      </c>
      <c r="BF329">
        <v>-29</v>
      </c>
      <c r="BG329">
        <v>5</v>
      </c>
      <c r="BH329">
        <v>-3</v>
      </c>
      <c r="BI329">
        <v>10</v>
      </c>
      <c r="BJ329">
        <v>-5</v>
      </c>
      <c r="BK329">
        <v>4</v>
      </c>
      <c r="BL329">
        <v>1</v>
      </c>
      <c r="BM329">
        <v>4</v>
      </c>
      <c r="BN329">
        <v>-2</v>
      </c>
      <c r="BO329">
        <v>4</v>
      </c>
      <c r="BP329">
        <v>2</v>
      </c>
      <c r="BQ329">
        <v>-8</v>
      </c>
      <c r="BR329">
        <v>-4</v>
      </c>
      <c r="BS329">
        <v>-7</v>
      </c>
      <c r="BT329">
        <v>-12</v>
      </c>
      <c r="BU329">
        <v>-13</v>
      </c>
      <c r="BV329">
        <v>-18</v>
      </c>
    </row>
    <row r="330" spans="1:74" x14ac:dyDescent="0.25">
      <c r="A330" t="s">
        <v>664</v>
      </c>
      <c r="B330" t="s">
        <v>169</v>
      </c>
      <c r="C330" t="s">
        <v>103</v>
      </c>
      <c r="D330">
        <v>0.114</v>
      </c>
      <c r="E330">
        <v>-5</v>
      </c>
      <c r="F330">
        <v>-14</v>
      </c>
      <c r="G330">
        <v>-7</v>
      </c>
      <c r="H330">
        <v>-14</v>
      </c>
      <c r="I330">
        <v>-4</v>
      </c>
      <c r="J330">
        <v>-4</v>
      </c>
      <c r="K330">
        <v>-12</v>
      </c>
      <c r="L330">
        <v>-1</v>
      </c>
      <c r="M330">
        <v>11</v>
      </c>
      <c r="N330">
        <v>-15</v>
      </c>
      <c r="O330">
        <v>0</v>
      </c>
      <c r="P330">
        <v>-1</v>
      </c>
      <c r="Q330">
        <v>6</v>
      </c>
      <c r="R330">
        <v>-3</v>
      </c>
      <c r="S330">
        <v>1</v>
      </c>
      <c r="T330">
        <v>-3</v>
      </c>
      <c r="U330">
        <v>-11</v>
      </c>
      <c r="V330">
        <v>-16</v>
      </c>
      <c r="W330">
        <v>-5</v>
      </c>
      <c r="X330">
        <v>-8</v>
      </c>
      <c r="Y330">
        <v>5</v>
      </c>
      <c r="Z330">
        <v>12</v>
      </c>
      <c r="AA330">
        <v>8</v>
      </c>
      <c r="AB330">
        <v>7</v>
      </c>
      <c r="AC330">
        <v>7</v>
      </c>
      <c r="AD330">
        <v>7</v>
      </c>
      <c r="AE330">
        <v>5</v>
      </c>
      <c r="AF330">
        <v>1</v>
      </c>
      <c r="AG330">
        <v>5</v>
      </c>
      <c r="AH330">
        <v>1</v>
      </c>
      <c r="AI330">
        <v>6</v>
      </c>
      <c r="AJ330">
        <v>1</v>
      </c>
      <c r="AK330">
        <v>8</v>
      </c>
      <c r="AL330">
        <v>10</v>
      </c>
      <c r="AM330">
        <v>6</v>
      </c>
      <c r="AN330">
        <v>10</v>
      </c>
      <c r="AO330">
        <v>10</v>
      </c>
      <c r="AP330">
        <v>12</v>
      </c>
      <c r="AQ330">
        <v>15</v>
      </c>
      <c r="AR330">
        <v>3</v>
      </c>
      <c r="AS330">
        <v>8</v>
      </c>
      <c r="AT330">
        <v>14</v>
      </c>
      <c r="AU330">
        <v>6</v>
      </c>
      <c r="AV330">
        <v>13</v>
      </c>
      <c r="AW330">
        <v>14</v>
      </c>
      <c r="AX330">
        <v>18</v>
      </c>
      <c r="AY330">
        <v>15</v>
      </c>
      <c r="AZ330">
        <v>2</v>
      </c>
      <c r="BA330">
        <v>12</v>
      </c>
      <c r="BB330">
        <v>4</v>
      </c>
      <c r="BC330">
        <v>-20</v>
      </c>
      <c r="BD330">
        <v>-18</v>
      </c>
      <c r="BE330">
        <v>-10</v>
      </c>
      <c r="BF330">
        <v>-13</v>
      </c>
      <c r="BG330">
        <v>14</v>
      </c>
      <c r="BH330">
        <v>5</v>
      </c>
      <c r="BI330">
        <v>2</v>
      </c>
      <c r="BJ330">
        <v>-3</v>
      </c>
      <c r="BK330">
        <v>-5</v>
      </c>
      <c r="BL330">
        <v>0</v>
      </c>
      <c r="BM330">
        <v>6</v>
      </c>
      <c r="BN330">
        <v>0</v>
      </c>
      <c r="BO330">
        <v>3</v>
      </c>
      <c r="BP330">
        <v>-10</v>
      </c>
      <c r="BQ330">
        <v>-7</v>
      </c>
      <c r="BR330">
        <v>-15</v>
      </c>
      <c r="BS330">
        <v>-14</v>
      </c>
      <c r="BT330">
        <v>-11</v>
      </c>
      <c r="BU330">
        <v>-19</v>
      </c>
      <c r="BV330">
        <v>-17</v>
      </c>
    </row>
    <row r="331" spans="1:74" x14ac:dyDescent="0.25">
      <c r="A331" t="s">
        <v>665</v>
      </c>
      <c r="B331" t="s">
        <v>170</v>
      </c>
      <c r="C331" t="s">
        <v>103</v>
      </c>
      <c r="D331">
        <v>15.457000000000001</v>
      </c>
      <c r="E331">
        <v>-13</v>
      </c>
      <c r="F331">
        <v>-6</v>
      </c>
      <c r="G331">
        <v>-6</v>
      </c>
      <c r="H331">
        <v>2</v>
      </c>
      <c r="I331">
        <v>10</v>
      </c>
      <c r="J331">
        <v>6</v>
      </c>
      <c r="K331">
        <v>8</v>
      </c>
      <c r="L331">
        <v>15</v>
      </c>
      <c r="M331">
        <v>18</v>
      </c>
      <c r="N331">
        <v>16</v>
      </c>
      <c r="O331">
        <v>26</v>
      </c>
      <c r="P331">
        <v>29</v>
      </c>
      <c r="Q331">
        <v>28</v>
      </c>
      <c r="R331">
        <v>25</v>
      </c>
      <c r="S331">
        <v>27</v>
      </c>
      <c r="T331">
        <v>19</v>
      </c>
      <c r="U331">
        <v>5</v>
      </c>
      <c r="V331">
        <v>-2</v>
      </c>
      <c r="W331">
        <v>0</v>
      </c>
      <c r="X331">
        <v>7</v>
      </c>
      <c r="Y331">
        <v>14</v>
      </c>
      <c r="Z331">
        <v>16</v>
      </c>
      <c r="AA331">
        <v>24</v>
      </c>
      <c r="AB331">
        <v>25</v>
      </c>
      <c r="AC331">
        <v>24</v>
      </c>
      <c r="AD331">
        <v>27</v>
      </c>
      <c r="AE331">
        <v>21</v>
      </c>
      <c r="AF331">
        <v>17</v>
      </c>
      <c r="AG331">
        <v>19</v>
      </c>
      <c r="AH331">
        <v>13</v>
      </c>
      <c r="AI331">
        <v>18</v>
      </c>
      <c r="AJ331">
        <v>19</v>
      </c>
      <c r="AK331">
        <v>19</v>
      </c>
      <c r="AL331">
        <v>21</v>
      </c>
      <c r="AM331">
        <v>23</v>
      </c>
      <c r="AN331">
        <v>18</v>
      </c>
      <c r="AO331">
        <v>20</v>
      </c>
      <c r="AP331">
        <v>22</v>
      </c>
      <c r="AQ331">
        <v>25</v>
      </c>
      <c r="AR331">
        <v>24</v>
      </c>
      <c r="AS331">
        <v>24</v>
      </c>
      <c r="AT331">
        <v>27</v>
      </c>
      <c r="AU331">
        <v>27</v>
      </c>
      <c r="AV331">
        <v>33</v>
      </c>
      <c r="AW331">
        <v>29</v>
      </c>
      <c r="AX331">
        <v>32</v>
      </c>
      <c r="AY331">
        <v>34</v>
      </c>
      <c r="AZ331">
        <v>28</v>
      </c>
      <c r="BA331">
        <v>24</v>
      </c>
      <c r="BB331">
        <v>26</v>
      </c>
      <c r="BC331">
        <v>-12</v>
      </c>
      <c r="BD331">
        <v>6</v>
      </c>
      <c r="BE331">
        <v>14</v>
      </c>
      <c r="BF331">
        <v>18</v>
      </c>
      <c r="BG331">
        <v>29</v>
      </c>
      <c r="BH331">
        <v>26</v>
      </c>
      <c r="BI331">
        <v>22</v>
      </c>
      <c r="BJ331">
        <v>10</v>
      </c>
      <c r="BK331">
        <v>18</v>
      </c>
      <c r="BL331">
        <v>18</v>
      </c>
      <c r="BM331">
        <v>9</v>
      </c>
      <c r="BN331">
        <v>13</v>
      </c>
      <c r="BO331">
        <v>10</v>
      </c>
      <c r="BP331">
        <v>3</v>
      </c>
      <c r="BQ331">
        <v>6</v>
      </c>
      <c r="BR331">
        <v>3</v>
      </c>
      <c r="BS331">
        <v>-3</v>
      </c>
      <c r="BT331">
        <v>-3</v>
      </c>
      <c r="BU331">
        <v>-5</v>
      </c>
      <c r="BV331">
        <v>-7</v>
      </c>
    </row>
  </sheetData>
  <autoFilter ref="A1:BV331" xr:uid="{00000000-0009-0000-0000-00000F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1B3B4"/>
  </sheetPr>
  <dimension ref="A1:H2971"/>
  <sheetViews>
    <sheetView workbookViewId="0">
      <pane xSplit="3" ySplit="1" topLeftCell="D2" activePane="bottomRight" state="frozen"/>
      <selection pane="topRight"/>
      <selection pane="bottomLeft"/>
      <selection pane="bottomRight" activeCell="B2" sqref="B2"/>
    </sheetView>
  </sheetViews>
  <sheetFormatPr baseColWidth="10" defaultColWidth="9.140625" defaultRowHeight="15" x14ac:dyDescent="0.25"/>
  <cols>
    <col min="1" max="1" width="10" hidden="1" customWidth="1"/>
    <col min="2" max="2" width="40" customWidth="1"/>
    <col min="3" max="3" width="14" customWidth="1"/>
    <col min="4" max="4" width="16" customWidth="1"/>
    <col min="5" max="5" width="10" customWidth="1"/>
    <col min="6" max="8" width="9" customWidth="1"/>
  </cols>
  <sheetData>
    <row r="1" spans="1:8" ht="30" customHeight="1" x14ac:dyDescent="0.25">
      <c r="A1" s="53" t="s">
        <v>171</v>
      </c>
      <c r="B1" s="53" t="s">
        <v>69</v>
      </c>
      <c r="C1" s="53" t="s">
        <v>172</v>
      </c>
      <c r="D1" s="53" t="s">
        <v>70</v>
      </c>
      <c r="E1" s="53" t="s">
        <v>248</v>
      </c>
      <c r="F1" s="53" t="s">
        <v>249</v>
      </c>
      <c r="G1" s="53" t="s">
        <v>250</v>
      </c>
      <c r="H1" s="53" t="s">
        <v>251</v>
      </c>
    </row>
    <row r="2" spans="1:8" x14ac:dyDescent="0.25">
      <c r="A2" t="s">
        <v>666</v>
      </c>
      <c r="B2" t="s">
        <v>243</v>
      </c>
      <c r="C2" t="s">
        <v>103</v>
      </c>
      <c r="D2" t="s">
        <v>232</v>
      </c>
      <c r="E2">
        <v>228</v>
      </c>
      <c r="F2">
        <v>16</v>
      </c>
      <c r="G2">
        <v>70</v>
      </c>
      <c r="H2">
        <v>14</v>
      </c>
    </row>
    <row r="3" spans="1:8" x14ac:dyDescent="0.25">
      <c r="A3" t="s">
        <v>667</v>
      </c>
      <c r="B3" t="s">
        <v>243</v>
      </c>
      <c r="C3" t="s">
        <v>103</v>
      </c>
      <c r="D3" t="s">
        <v>233</v>
      </c>
      <c r="E3">
        <v>204</v>
      </c>
      <c r="F3">
        <v>15</v>
      </c>
      <c r="G3">
        <v>78</v>
      </c>
      <c r="H3">
        <v>7</v>
      </c>
    </row>
    <row r="4" spans="1:8" x14ac:dyDescent="0.25">
      <c r="A4" t="s">
        <v>668</v>
      </c>
      <c r="B4" t="s">
        <v>243</v>
      </c>
      <c r="C4" t="s">
        <v>103</v>
      </c>
      <c r="D4" t="s">
        <v>234</v>
      </c>
      <c r="E4">
        <v>204</v>
      </c>
      <c r="F4">
        <v>14</v>
      </c>
      <c r="G4">
        <v>74</v>
      </c>
      <c r="H4">
        <v>12</v>
      </c>
    </row>
    <row r="5" spans="1:8" x14ac:dyDescent="0.25">
      <c r="A5" t="s">
        <v>669</v>
      </c>
      <c r="B5" t="s">
        <v>243</v>
      </c>
      <c r="C5" t="s">
        <v>103</v>
      </c>
      <c r="D5" t="s">
        <v>235</v>
      </c>
      <c r="E5">
        <v>179</v>
      </c>
      <c r="F5">
        <v>14</v>
      </c>
      <c r="G5">
        <v>75</v>
      </c>
      <c r="H5">
        <v>11</v>
      </c>
    </row>
    <row r="6" spans="1:8" x14ac:dyDescent="0.25">
      <c r="A6" t="s">
        <v>670</v>
      </c>
      <c r="B6" t="s">
        <v>243</v>
      </c>
      <c r="C6" t="s">
        <v>103</v>
      </c>
      <c r="D6" t="s">
        <v>236</v>
      </c>
      <c r="E6">
        <v>190</v>
      </c>
      <c r="F6">
        <v>8</v>
      </c>
      <c r="G6">
        <v>79</v>
      </c>
      <c r="H6">
        <v>13</v>
      </c>
    </row>
    <row r="7" spans="1:8" x14ac:dyDescent="0.25">
      <c r="A7" t="s">
        <v>671</v>
      </c>
      <c r="B7" t="s">
        <v>243</v>
      </c>
      <c r="C7" t="s">
        <v>103</v>
      </c>
      <c r="D7" t="s">
        <v>237</v>
      </c>
      <c r="E7">
        <v>189</v>
      </c>
      <c r="F7">
        <v>10</v>
      </c>
      <c r="G7">
        <v>76</v>
      </c>
      <c r="H7">
        <v>14</v>
      </c>
    </row>
    <row r="8" spans="1:8" x14ac:dyDescent="0.25">
      <c r="A8" t="s">
        <v>672</v>
      </c>
      <c r="B8" t="s">
        <v>243</v>
      </c>
      <c r="C8" t="s">
        <v>103</v>
      </c>
      <c r="D8" t="s">
        <v>238</v>
      </c>
      <c r="E8">
        <v>211</v>
      </c>
      <c r="F8">
        <v>9</v>
      </c>
      <c r="G8">
        <v>77</v>
      </c>
      <c r="H8">
        <v>14</v>
      </c>
    </row>
    <row r="9" spans="1:8" x14ac:dyDescent="0.25">
      <c r="A9" t="s">
        <v>673</v>
      </c>
      <c r="B9" t="s">
        <v>243</v>
      </c>
      <c r="C9" t="s">
        <v>103</v>
      </c>
      <c r="D9" t="s">
        <v>239</v>
      </c>
      <c r="E9">
        <v>192</v>
      </c>
      <c r="F9">
        <v>8</v>
      </c>
      <c r="G9">
        <v>79</v>
      </c>
      <c r="H9">
        <v>13</v>
      </c>
    </row>
    <row r="10" spans="1:8" x14ac:dyDescent="0.25">
      <c r="A10" t="s">
        <v>674</v>
      </c>
      <c r="B10" t="s">
        <v>243</v>
      </c>
      <c r="C10" t="s">
        <v>103</v>
      </c>
      <c r="D10" t="s">
        <v>47</v>
      </c>
      <c r="E10">
        <v>208</v>
      </c>
      <c r="F10">
        <v>11</v>
      </c>
      <c r="G10">
        <v>69</v>
      </c>
      <c r="H10">
        <v>20</v>
      </c>
    </row>
    <row r="11" spans="1:8" x14ac:dyDescent="0.25">
      <c r="A11" t="s">
        <v>675</v>
      </c>
      <c r="B11" t="s">
        <v>243</v>
      </c>
      <c r="C11" t="s">
        <v>100</v>
      </c>
      <c r="D11" t="s">
        <v>232</v>
      </c>
      <c r="E11">
        <v>230</v>
      </c>
      <c r="F11">
        <v>7</v>
      </c>
      <c r="G11">
        <v>53</v>
      </c>
      <c r="H11">
        <v>40</v>
      </c>
    </row>
    <row r="12" spans="1:8" x14ac:dyDescent="0.25">
      <c r="A12" t="s">
        <v>676</v>
      </c>
      <c r="B12" t="s">
        <v>243</v>
      </c>
      <c r="C12" t="s">
        <v>100</v>
      </c>
      <c r="D12" t="s">
        <v>233</v>
      </c>
      <c r="E12">
        <v>204</v>
      </c>
      <c r="F12">
        <v>9</v>
      </c>
      <c r="G12">
        <v>70</v>
      </c>
      <c r="H12">
        <v>21</v>
      </c>
    </row>
    <row r="13" spans="1:8" x14ac:dyDescent="0.25">
      <c r="A13" t="s">
        <v>677</v>
      </c>
      <c r="B13" t="s">
        <v>243</v>
      </c>
      <c r="C13" t="s">
        <v>100</v>
      </c>
      <c r="D13" t="s">
        <v>234</v>
      </c>
      <c r="E13">
        <v>206</v>
      </c>
      <c r="F13">
        <v>6</v>
      </c>
      <c r="G13">
        <v>68</v>
      </c>
      <c r="H13">
        <v>26</v>
      </c>
    </row>
    <row r="14" spans="1:8" x14ac:dyDescent="0.25">
      <c r="A14" t="s">
        <v>678</v>
      </c>
      <c r="B14" t="s">
        <v>243</v>
      </c>
      <c r="C14" t="s">
        <v>100</v>
      </c>
      <c r="D14" t="s">
        <v>235</v>
      </c>
      <c r="E14">
        <v>180</v>
      </c>
      <c r="F14">
        <v>8</v>
      </c>
      <c r="G14">
        <v>60</v>
      </c>
      <c r="H14">
        <v>32</v>
      </c>
    </row>
    <row r="15" spans="1:8" x14ac:dyDescent="0.25">
      <c r="A15" t="s">
        <v>679</v>
      </c>
      <c r="B15" t="s">
        <v>243</v>
      </c>
      <c r="C15" t="s">
        <v>100</v>
      </c>
      <c r="D15" t="s">
        <v>236</v>
      </c>
      <c r="E15">
        <v>201</v>
      </c>
      <c r="F15">
        <v>12</v>
      </c>
      <c r="G15">
        <v>69</v>
      </c>
      <c r="H15">
        <v>19</v>
      </c>
    </row>
    <row r="16" spans="1:8" x14ac:dyDescent="0.25">
      <c r="A16" t="s">
        <v>680</v>
      </c>
      <c r="B16" t="s">
        <v>243</v>
      </c>
      <c r="C16" t="s">
        <v>100</v>
      </c>
      <c r="D16" t="s">
        <v>237</v>
      </c>
      <c r="E16">
        <v>192</v>
      </c>
      <c r="F16">
        <v>8</v>
      </c>
      <c r="G16">
        <v>72</v>
      </c>
      <c r="H16">
        <v>20</v>
      </c>
    </row>
    <row r="17" spans="1:8" x14ac:dyDescent="0.25">
      <c r="A17" t="s">
        <v>681</v>
      </c>
      <c r="B17" t="s">
        <v>243</v>
      </c>
      <c r="C17" t="s">
        <v>100</v>
      </c>
      <c r="D17" t="s">
        <v>238</v>
      </c>
      <c r="E17">
        <v>213</v>
      </c>
      <c r="F17">
        <v>10</v>
      </c>
      <c r="G17">
        <v>63</v>
      </c>
      <c r="H17">
        <v>27</v>
      </c>
    </row>
    <row r="18" spans="1:8" x14ac:dyDescent="0.25">
      <c r="A18" t="s">
        <v>682</v>
      </c>
      <c r="B18" t="s">
        <v>243</v>
      </c>
      <c r="C18" t="s">
        <v>100</v>
      </c>
      <c r="D18" t="s">
        <v>239</v>
      </c>
      <c r="E18">
        <v>197</v>
      </c>
      <c r="F18">
        <v>11</v>
      </c>
      <c r="G18">
        <v>49</v>
      </c>
      <c r="H18">
        <v>40</v>
      </c>
    </row>
    <row r="19" spans="1:8" x14ac:dyDescent="0.25">
      <c r="A19" t="s">
        <v>683</v>
      </c>
      <c r="B19" t="s">
        <v>243</v>
      </c>
      <c r="C19" t="s">
        <v>100</v>
      </c>
      <c r="D19" t="s">
        <v>47</v>
      </c>
      <c r="E19">
        <v>206</v>
      </c>
      <c r="F19">
        <v>9</v>
      </c>
      <c r="G19">
        <v>62</v>
      </c>
      <c r="H19">
        <v>29</v>
      </c>
    </row>
    <row r="20" spans="1:8" x14ac:dyDescent="0.25">
      <c r="A20" t="s">
        <v>684</v>
      </c>
      <c r="B20" t="s">
        <v>243</v>
      </c>
      <c r="C20" t="s">
        <v>101</v>
      </c>
      <c r="D20" t="s">
        <v>232</v>
      </c>
      <c r="E20">
        <v>61</v>
      </c>
      <c r="F20">
        <v>9</v>
      </c>
      <c r="G20">
        <v>66</v>
      </c>
      <c r="H20">
        <v>25</v>
      </c>
    </row>
    <row r="21" spans="1:8" x14ac:dyDescent="0.25">
      <c r="A21" t="s">
        <v>685</v>
      </c>
      <c r="B21" t="s">
        <v>243</v>
      </c>
      <c r="C21" t="s">
        <v>101</v>
      </c>
      <c r="D21" t="s">
        <v>233</v>
      </c>
      <c r="E21">
        <v>58</v>
      </c>
      <c r="F21">
        <v>11</v>
      </c>
      <c r="G21">
        <v>80</v>
      </c>
      <c r="H21">
        <v>9</v>
      </c>
    </row>
    <row r="22" spans="1:8" x14ac:dyDescent="0.25">
      <c r="A22" t="s">
        <v>686</v>
      </c>
      <c r="B22" t="s">
        <v>243</v>
      </c>
      <c r="C22" t="s">
        <v>101</v>
      </c>
      <c r="D22" t="s">
        <v>234</v>
      </c>
      <c r="E22">
        <v>53</v>
      </c>
      <c r="F22">
        <v>6</v>
      </c>
      <c r="G22">
        <v>68</v>
      </c>
      <c r="H22">
        <v>26</v>
      </c>
    </row>
    <row r="23" spans="1:8" x14ac:dyDescent="0.25">
      <c r="A23" t="s">
        <v>687</v>
      </c>
      <c r="B23" t="s">
        <v>243</v>
      </c>
      <c r="C23" t="s">
        <v>101</v>
      </c>
      <c r="D23" t="s">
        <v>235</v>
      </c>
      <c r="E23">
        <v>53</v>
      </c>
      <c r="F23">
        <v>7</v>
      </c>
      <c r="G23">
        <v>72</v>
      </c>
      <c r="H23">
        <v>21</v>
      </c>
    </row>
    <row r="24" spans="1:8" x14ac:dyDescent="0.25">
      <c r="A24" t="s">
        <v>688</v>
      </c>
      <c r="B24" t="s">
        <v>243</v>
      </c>
      <c r="C24" t="s">
        <v>101</v>
      </c>
      <c r="D24" t="s">
        <v>236</v>
      </c>
      <c r="E24">
        <v>55</v>
      </c>
      <c r="F24">
        <v>17</v>
      </c>
      <c r="G24">
        <v>72</v>
      </c>
      <c r="H24">
        <v>11</v>
      </c>
    </row>
    <row r="25" spans="1:8" x14ac:dyDescent="0.25">
      <c r="A25" t="s">
        <v>689</v>
      </c>
      <c r="B25" t="s">
        <v>243</v>
      </c>
      <c r="C25" t="s">
        <v>101</v>
      </c>
      <c r="D25" t="s">
        <v>237</v>
      </c>
      <c r="E25">
        <v>38</v>
      </c>
      <c r="F25">
        <v>7</v>
      </c>
      <c r="G25">
        <v>66</v>
      </c>
      <c r="H25">
        <v>27</v>
      </c>
    </row>
    <row r="26" spans="1:8" x14ac:dyDescent="0.25">
      <c r="A26" t="s">
        <v>690</v>
      </c>
      <c r="B26" t="s">
        <v>243</v>
      </c>
      <c r="C26" t="s">
        <v>101</v>
      </c>
      <c r="D26" t="s">
        <v>238</v>
      </c>
      <c r="E26">
        <v>61</v>
      </c>
      <c r="F26">
        <v>12</v>
      </c>
      <c r="G26">
        <v>64</v>
      </c>
      <c r="H26">
        <v>24</v>
      </c>
    </row>
    <row r="27" spans="1:8" x14ac:dyDescent="0.25">
      <c r="A27" t="s">
        <v>691</v>
      </c>
      <c r="B27" t="s">
        <v>243</v>
      </c>
      <c r="C27" t="s">
        <v>101</v>
      </c>
      <c r="D27" t="s">
        <v>239</v>
      </c>
      <c r="E27">
        <v>35</v>
      </c>
      <c r="F27">
        <v>8</v>
      </c>
      <c r="G27">
        <v>59</v>
      </c>
      <c r="H27">
        <v>33</v>
      </c>
    </row>
    <row r="28" spans="1:8" x14ac:dyDescent="0.25">
      <c r="A28" t="s">
        <v>692</v>
      </c>
      <c r="B28" t="s">
        <v>243</v>
      </c>
      <c r="C28" t="s">
        <v>101</v>
      </c>
      <c r="D28" t="s">
        <v>47</v>
      </c>
      <c r="E28">
        <v>53</v>
      </c>
      <c r="F28">
        <v>20</v>
      </c>
      <c r="G28">
        <v>57</v>
      </c>
      <c r="H28">
        <v>23</v>
      </c>
    </row>
    <row r="29" spans="1:8" x14ac:dyDescent="0.25">
      <c r="A29" t="s">
        <v>693</v>
      </c>
      <c r="B29" t="s">
        <v>243</v>
      </c>
      <c r="C29" t="s">
        <v>102</v>
      </c>
      <c r="D29" t="s">
        <v>232</v>
      </c>
      <c r="E29">
        <v>205</v>
      </c>
      <c r="F29">
        <v>39</v>
      </c>
      <c r="G29">
        <v>39</v>
      </c>
      <c r="H29">
        <v>22</v>
      </c>
    </row>
    <row r="30" spans="1:8" x14ac:dyDescent="0.25">
      <c r="A30" t="s">
        <v>694</v>
      </c>
      <c r="B30" t="s">
        <v>243</v>
      </c>
      <c r="C30" t="s">
        <v>102</v>
      </c>
      <c r="D30" t="s">
        <v>233</v>
      </c>
      <c r="E30">
        <v>181</v>
      </c>
      <c r="F30">
        <v>28</v>
      </c>
      <c r="G30">
        <v>49</v>
      </c>
      <c r="H30">
        <v>23</v>
      </c>
    </row>
    <row r="31" spans="1:8" x14ac:dyDescent="0.25">
      <c r="A31" t="s">
        <v>695</v>
      </c>
      <c r="B31" t="s">
        <v>243</v>
      </c>
      <c r="C31" t="s">
        <v>102</v>
      </c>
      <c r="D31" t="s">
        <v>234</v>
      </c>
      <c r="E31">
        <v>190</v>
      </c>
      <c r="F31">
        <v>29</v>
      </c>
      <c r="G31">
        <v>44</v>
      </c>
      <c r="H31">
        <v>27</v>
      </c>
    </row>
    <row r="32" spans="1:8" x14ac:dyDescent="0.25">
      <c r="A32" t="s">
        <v>696</v>
      </c>
      <c r="B32" t="s">
        <v>243</v>
      </c>
      <c r="C32" t="s">
        <v>102</v>
      </c>
      <c r="D32" t="s">
        <v>235</v>
      </c>
      <c r="E32">
        <v>163</v>
      </c>
      <c r="F32">
        <v>27</v>
      </c>
      <c r="G32">
        <v>41</v>
      </c>
      <c r="H32">
        <v>32</v>
      </c>
    </row>
    <row r="33" spans="1:8" x14ac:dyDescent="0.25">
      <c r="A33" t="s">
        <v>697</v>
      </c>
      <c r="B33" t="s">
        <v>243</v>
      </c>
      <c r="C33" t="s">
        <v>102</v>
      </c>
      <c r="D33" t="s">
        <v>236</v>
      </c>
      <c r="E33">
        <v>168</v>
      </c>
      <c r="F33">
        <v>28</v>
      </c>
      <c r="G33">
        <v>47</v>
      </c>
      <c r="H33">
        <v>25</v>
      </c>
    </row>
    <row r="34" spans="1:8" x14ac:dyDescent="0.25">
      <c r="A34" t="s">
        <v>698</v>
      </c>
      <c r="B34" t="s">
        <v>243</v>
      </c>
      <c r="C34" t="s">
        <v>102</v>
      </c>
      <c r="D34" t="s">
        <v>237</v>
      </c>
      <c r="E34">
        <v>175</v>
      </c>
      <c r="F34">
        <v>25</v>
      </c>
      <c r="G34">
        <v>53</v>
      </c>
      <c r="H34">
        <v>22</v>
      </c>
    </row>
    <row r="35" spans="1:8" x14ac:dyDescent="0.25">
      <c r="A35" t="s">
        <v>699</v>
      </c>
      <c r="B35" t="s">
        <v>243</v>
      </c>
      <c r="C35" t="s">
        <v>102</v>
      </c>
      <c r="D35" t="s">
        <v>238</v>
      </c>
      <c r="E35">
        <v>190</v>
      </c>
      <c r="F35">
        <v>26</v>
      </c>
      <c r="G35">
        <v>50</v>
      </c>
      <c r="H35">
        <v>24</v>
      </c>
    </row>
    <row r="36" spans="1:8" x14ac:dyDescent="0.25">
      <c r="A36" t="s">
        <v>700</v>
      </c>
      <c r="B36" t="s">
        <v>243</v>
      </c>
      <c r="C36" t="s">
        <v>102</v>
      </c>
      <c r="D36" t="s">
        <v>239</v>
      </c>
      <c r="E36">
        <v>173</v>
      </c>
      <c r="F36">
        <v>18</v>
      </c>
      <c r="G36">
        <v>48</v>
      </c>
      <c r="H36">
        <v>34</v>
      </c>
    </row>
    <row r="37" spans="1:8" x14ac:dyDescent="0.25">
      <c r="A37" t="s">
        <v>701</v>
      </c>
      <c r="B37" t="s">
        <v>243</v>
      </c>
      <c r="C37" t="s">
        <v>102</v>
      </c>
      <c r="D37" t="s">
        <v>47</v>
      </c>
      <c r="E37">
        <v>186</v>
      </c>
      <c r="F37">
        <v>30</v>
      </c>
      <c r="G37">
        <v>43</v>
      </c>
      <c r="H37">
        <v>27</v>
      </c>
    </row>
    <row r="38" spans="1:8" x14ac:dyDescent="0.25">
      <c r="A38" t="s">
        <v>702</v>
      </c>
      <c r="B38" t="s">
        <v>243</v>
      </c>
      <c r="C38" t="s">
        <v>31</v>
      </c>
      <c r="D38" t="s">
        <v>232</v>
      </c>
      <c r="E38">
        <v>232</v>
      </c>
      <c r="F38">
        <v>30</v>
      </c>
      <c r="G38">
        <v>59</v>
      </c>
      <c r="H38">
        <v>11</v>
      </c>
    </row>
    <row r="39" spans="1:8" x14ac:dyDescent="0.25">
      <c r="A39" t="s">
        <v>703</v>
      </c>
      <c r="B39" t="s">
        <v>243</v>
      </c>
      <c r="C39" t="s">
        <v>31</v>
      </c>
      <c r="D39" t="s">
        <v>233</v>
      </c>
      <c r="E39">
        <v>204</v>
      </c>
      <c r="F39">
        <v>37</v>
      </c>
      <c r="G39">
        <v>54</v>
      </c>
      <c r="H39">
        <v>9</v>
      </c>
    </row>
    <row r="40" spans="1:8" x14ac:dyDescent="0.25">
      <c r="A40" t="s">
        <v>704</v>
      </c>
      <c r="B40" t="s">
        <v>243</v>
      </c>
      <c r="C40" t="s">
        <v>31</v>
      </c>
      <c r="D40" t="s">
        <v>234</v>
      </c>
      <c r="E40">
        <v>207</v>
      </c>
      <c r="F40">
        <v>33</v>
      </c>
      <c r="G40">
        <v>55</v>
      </c>
      <c r="H40">
        <v>12</v>
      </c>
    </row>
    <row r="41" spans="1:8" x14ac:dyDescent="0.25">
      <c r="A41" t="s">
        <v>705</v>
      </c>
      <c r="B41" t="s">
        <v>243</v>
      </c>
      <c r="C41" t="s">
        <v>31</v>
      </c>
      <c r="D41" t="s">
        <v>235</v>
      </c>
      <c r="E41">
        <v>184</v>
      </c>
      <c r="F41">
        <v>31</v>
      </c>
      <c r="G41">
        <v>58</v>
      </c>
      <c r="H41">
        <v>11</v>
      </c>
    </row>
    <row r="42" spans="1:8" x14ac:dyDescent="0.25">
      <c r="A42" t="s">
        <v>706</v>
      </c>
      <c r="B42" t="s">
        <v>243</v>
      </c>
      <c r="C42" t="s">
        <v>31</v>
      </c>
      <c r="D42" t="s">
        <v>236</v>
      </c>
      <c r="E42">
        <v>203</v>
      </c>
      <c r="F42">
        <v>32</v>
      </c>
      <c r="G42">
        <v>57</v>
      </c>
      <c r="H42">
        <v>11</v>
      </c>
    </row>
    <row r="43" spans="1:8" x14ac:dyDescent="0.25">
      <c r="A43" t="s">
        <v>707</v>
      </c>
      <c r="B43" t="s">
        <v>243</v>
      </c>
      <c r="C43" t="s">
        <v>31</v>
      </c>
      <c r="D43" t="s">
        <v>237</v>
      </c>
      <c r="E43">
        <v>193</v>
      </c>
      <c r="F43">
        <v>28</v>
      </c>
      <c r="G43">
        <v>60</v>
      </c>
      <c r="H43">
        <v>12</v>
      </c>
    </row>
    <row r="44" spans="1:8" x14ac:dyDescent="0.25">
      <c r="A44" t="s">
        <v>708</v>
      </c>
      <c r="B44" t="s">
        <v>243</v>
      </c>
      <c r="C44" t="s">
        <v>31</v>
      </c>
      <c r="D44" t="s">
        <v>238</v>
      </c>
      <c r="E44">
        <v>217</v>
      </c>
      <c r="F44">
        <v>27</v>
      </c>
      <c r="G44">
        <v>58</v>
      </c>
      <c r="H44">
        <v>15</v>
      </c>
    </row>
    <row r="45" spans="1:8" x14ac:dyDescent="0.25">
      <c r="A45" t="s">
        <v>709</v>
      </c>
      <c r="B45" t="s">
        <v>243</v>
      </c>
      <c r="C45" t="s">
        <v>31</v>
      </c>
      <c r="D45" t="s">
        <v>239</v>
      </c>
      <c r="E45">
        <v>197</v>
      </c>
      <c r="F45">
        <v>24</v>
      </c>
      <c r="G45">
        <v>62</v>
      </c>
      <c r="H45">
        <v>14</v>
      </c>
    </row>
    <row r="46" spans="1:8" x14ac:dyDescent="0.25">
      <c r="A46" t="s">
        <v>710</v>
      </c>
      <c r="B46" t="s">
        <v>243</v>
      </c>
      <c r="C46" t="s">
        <v>31</v>
      </c>
      <c r="D46" t="s">
        <v>47</v>
      </c>
      <c r="E46">
        <v>211</v>
      </c>
      <c r="F46">
        <v>29</v>
      </c>
      <c r="G46">
        <v>54</v>
      </c>
      <c r="H46">
        <v>17</v>
      </c>
    </row>
    <row r="47" spans="1:8" x14ac:dyDescent="0.25">
      <c r="A47" t="s">
        <v>711</v>
      </c>
      <c r="B47" t="s">
        <v>45</v>
      </c>
      <c r="C47" t="s">
        <v>103</v>
      </c>
      <c r="D47" t="s">
        <v>232</v>
      </c>
      <c r="E47">
        <v>26736</v>
      </c>
      <c r="F47">
        <v>14</v>
      </c>
      <c r="G47">
        <v>64</v>
      </c>
      <c r="H47">
        <v>22</v>
      </c>
    </row>
    <row r="48" spans="1:8" x14ac:dyDescent="0.25">
      <c r="A48" t="s">
        <v>712</v>
      </c>
      <c r="B48" t="s">
        <v>45</v>
      </c>
      <c r="C48" t="s">
        <v>103</v>
      </c>
      <c r="D48" t="s">
        <v>233</v>
      </c>
      <c r="E48">
        <v>23638</v>
      </c>
      <c r="F48">
        <v>13</v>
      </c>
      <c r="G48">
        <v>67</v>
      </c>
      <c r="H48">
        <v>20</v>
      </c>
    </row>
    <row r="49" spans="1:8" x14ac:dyDescent="0.25">
      <c r="A49" t="s">
        <v>713</v>
      </c>
      <c r="B49" t="s">
        <v>45</v>
      </c>
      <c r="C49" t="s">
        <v>103</v>
      </c>
      <c r="D49" t="s">
        <v>234</v>
      </c>
      <c r="E49">
        <v>23984</v>
      </c>
      <c r="F49">
        <v>12</v>
      </c>
      <c r="G49">
        <v>64</v>
      </c>
      <c r="H49">
        <v>24</v>
      </c>
    </row>
    <row r="50" spans="1:8" x14ac:dyDescent="0.25">
      <c r="A50" t="s">
        <v>714</v>
      </c>
      <c r="B50" t="s">
        <v>45</v>
      </c>
      <c r="C50" t="s">
        <v>103</v>
      </c>
      <c r="D50" t="s">
        <v>235</v>
      </c>
      <c r="E50">
        <v>22330</v>
      </c>
      <c r="F50">
        <v>12</v>
      </c>
      <c r="G50">
        <v>66</v>
      </c>
      <c r="H50">
        <v>22</v>
      </c>
    </row>
    <row r="51" spans="1:8" x14ac:dyDescent="0.25">
      <c r="A51" t="s">
        <v>715</v>
      </c>
      <c r="B51" t="s">
        <v>45</v>
      </c>
      <c r="C51" t="s">
        <v>103</v>
      </c>
      <c r="D51" t="s">
        <v>236</v>
      </c>
      <c r="E51">
        <v>22534</v>
      </c>
      <c r="F51">
        <v>13</v>
      </c>
      <c r="G51">
        <v>65</v>
      </c>
      <c r="H51">
        <v>22</v>
      </c>
    </row>
    <row r="52" spans="1:8" x14ac:dyDescent="0.25">
      <c r="A52" t="s">
        <v>716</v>
      </c>
      <c r="B52" t="s">
        <v>45</v>
      </c>
      <c r="C52" t="s">
        <v>103</v>
      </c>
      <c r="D52" t="s">
        <v>237</v>
      </c>
      <c r="E52">
        <v>22210</v>
      </c>
      <c r="F52">
        <v>11</v>
      </c>
      <c r="G52">
        <v>65</v>
      </c>
      <c r="H52">
        <v>24</v>
      </c>
    </row>
    <row r="53" spans="1:8" x14ac:dyDescent="0.25">
      <c r="A53" t="s">
        <v>717</v>
      </c>
      <c r="B53" t="s">
        <v>45</v>
      </c>
      <c r="C53" t="s">
        <v>103</v>
      </c>
      <c r="D53" t="s">
        <v>238</v>
      </c>
      <c r="E53">
        <v>25394</v>
      </c>
      <c r="F53">
        <v>12</v>
      </c>
      <c r="G53">
        <v>65</v>
      </c>
      <c r="H53">
        <v>23</v>
      </c>
    </row>
    <row r="54" spans="1:8" x14ac:dyDescent="0.25">
      <c r="A54" t="s">
        <v>718</v>
      </c>
      <c r="B54" t="s">
        <v>45</v>
      </c>
      <c r="C54" t="s">
        <v>103</v>
      </c>
      <c r="D54" t="s">
        <v>239</v>
      </c>
      <c r="E54">
        <v>22617</v>
      </c>
      <c r="F54">
        <v>10</v>
      </c>
      <c r="G54">
        <v>66</v>
      </c>
      <c r="H54">
        <v>24</v>
      </c>
    </row>
    <row r="55" spans="1:8" x14ac:dyDescent="0.25">
      <c r="A55" t="s">
        <v>719</v>
      </c>
      <c r="B55" t="s">
        <v>45</v>
      </c>
      <c r="C55" t="s">
        <v>103</v>
      </c>
      <c r="D55" t="s">
        <v>47</v>
      </c>
      <c r="E55">
        <v>22785</v>
      </c>
      <c r="F55">
        <v>11</v>
      </c>
      <c r="G55">
        <v>65</v>
      </c>
      <c r="H55">
        <v>24</v>
      </c>
    </row>
    <row r="56" spans="1:8" x14ac:dyDescent="0.25">
      <c r="A56" t="s">
        <v>720</v>
      </c>
      <c r="B56" t="s">
        <v>45</v>
      </c>
      <c r="C56" t="s">
        <v>100</v>
      </c>
      <c r="D56" t="s">
        <v>232</v>
      </c>
      <c r="E56">
        <v>27212</v>
      </c>
      <c r="F56">
        <v>14</v>
      </c>
      <c r="G56">
        <v>51</v>
      </c>
      <c r="H56">
        <v>35</v>
      </c>
    </row>
    <row r="57" spans="1:8" x14ac:dyDescent="0.25">
      <c r="A57" t="s">
        <v>721</v>
      </c>
      <c r="B57" t="s">
        <v>45</v>
      </c>
      <c r="C57" t="s">
        <v>100</v>
      </c>
      <c r="D57" t="s">
        <v>233</v>
      </c>
      <c r="E57">
        <v>24167</v>
      </c>
      <c r="F57">
        <v>16</v>
      </c>
      <c r="G57">
        <v>58</v>
      </c>
      <c r="H57">
        <v>26</v>
      </c>
    </row>
    <row r="58" spans="1:8" x14ac:dyDescent="0.25">
      <c r="A58" t="s">
        <v>722</v>
      </c>
      <c r="B58" t="s">
        <v>45</v>
      </c>
      <c r="C58" t="s">
        <v>100</v>
      </c>
      <c r="D58" t="s">
        <v>234</v>
      </c>
      <c r="E58">
        <v>24499</v>
      </c>
      <c r="F58">
        <v>13</v>
      </c>
      <c r="G58">
        <v>56</v>
      </c>
      <c r="H58">
        <v>31</v>
      </c>
    </row>
    <row r="59" spans="1:8" x14ac:dyDescent="0.25">
      <c r="A59" t="s">
        <v>723</v>
      </c>
      <c r="B59" t="s">
        <v>45</v>
      </c>
      <c r="C59" t="s">
        <v>100</v>
      </c>
      <c r="D59" t="s">
        <v>235</v>
      </c>
      <c r="E59">
        <v>22778</v>
      </c>
      <c r="F59">
        <v>14</v>
      </c>
      <c r="G59">
        <v>55</v>
      </c>
      <c r="H59">
        <v>31</v>
      </c>
    </row>
    <row r="60" spans="1:8" x14ac:dyDescent="0.25">
      <c r="A60" t="s">
        <v>724</v>
      </c>
      <c r="B60" t="s">
        <v>45</v>
      </c>
      <c r="C60" t="s">
        <v>100</v>
      </c>
      <c r="D60" t="s">
        <v>236</v>
      </c>
      <c r="E60">
        <v>23190</v>
      </c>
      <c r="F60">
        <v>16</v>
      </c>
      <c r="G60">
        <v>58</v>
      </c>
      <c r="H60">
        <v>26</v>
      </c>
    </row>
    <row r="61" spans="1:8" x14ac:dyDescent="0.25">
      <c r="A61" t="s">
        <v>725</v>
      </c>
      <c r="B61" t="s">
        <v>45</v>
      </c>
      <c r="C61" t="s">
        <v>100</v>
      </c>
      <c r="D61" t="s">
        <v>237</v>
      </c>
      <c r="E61">
        <v>22763</v>
      </c>
      <c r="F61">
        <v>15</v>
      </c>
      <c r="G61">
        <v>58</v>
      </c>
      <c r="H61">
        <v>27</v>
      </c>
    </row>
    <row r="62" spans="1:8" x14ac:dyDescent="0.25">
      <c r="A62" t="s">
        <v>726</v>
      </c>
      <c r="B62" t="s">
        <v>45</v>
      </c>
      <c r="C62" t="s">
        <v>100</v>
      </c>
      <c r="D62" t="s">
        <v>238</v>
      </c>
      <c r="E62">
        <v>26013</v>
      </c>
      <c r="F62">
        <v>16</v>
      </c>
      <c r="G62">
        <v>59</v>
      </c>
      <c r="H62">
        <v>25</v>
      </c>
    </row>
    <row r="63" spans="1:8" x14ac:dyDescent="0.25">
      <c r="A63" t="s">
        <v>727</v>
      </c>
      <c r="B63" t="s">
        <v>45</v>
      </c>
      <c r="C63" t="s">
        <v>100</v>
      </c>
      <c r="D63" t="s">
        <v>239</v>
      </c>
      <c r="E63">
        <v>23204</v>
      </c>
      <c r="F63">
        <v>13</v>
      </c>
      <c r="G63">
        <v>54</v>
      </c>
      <c r="H63">
        <v>33</v>
      </c>
    </row>
    <row r="64" spans="1:8" x14ac:dyDescent="0.25">
      <c r="A64" t="s">
        <v>728</v>
      </c>
      <c r="B64" t="s">
        <v>45</v>
      </c>
      <c r="C64" t="s">
        <v>100</v>
      </c>
      <c r="D64" t="s">
        <v>47</v>
      </c>
      <c r="E64">
        <v>23343</v>
      </c>
      <c r="F64">
        <v>15</v>
      </c>
      <c r="G64">
        <v>57</v>
      </c>
      <c r="H64">
        <v>28</v>
      </c>
    </row>
    <row r="65" spans="1:8" x14ac:dyDescent="0.25">
      <c r="A65" t="s">
        <v>729</v>
      </c>
      <c r="B65" t="s">
        <v>45</v>
      </c>
      <c r="C65" t="s">
        <v>101</v>
      </c>
      <c r="D65" t="s">
        <v>232</v>
      </c>
    </row>
    <row r="66" spans="1:8" x14ac:dyDescent="0.25">
      <c r="A66" t="s">
        <v>730</v>
      </c>
      <c r="B66" t="s">
        <v>45</v>
      </c>
      <c r="C66" t="s">
        <v>101</v>
      </c>
      <c r="D66" t="s">
        <v>233</v>
      </c>
    </row>
    <row r="67" spans="1:8" x14ac:dyDescent="0.25">
      <c r="A67" t="s">
        <v>731</v>
      </c>
      <c r="B67" t="s">
        <v>45</v>
      </c>
      <c r="C67" t="s">
        <v>101</v>
      </c>
      <c r="D67" t="s">
        <v>234</v>
      </c>
    </row>
    <row r="68" spans="1:8" x14ac:dyDescent="0.25">
      <c r="A68" t="s">
        <v>732</v>
      </c>
      <c r="B68" t="s">
        <v>45</v>
      </c>
      <c r="C68" t="s">
        <v>101</v>
      </c>
      <c r="D68" t="s">
        <v>235</v>
      </c>
    </row>
    <row r="69" spans="1:8" x14ac:dyDescent="0.25">
      <c r="A69" t="s">
        <v>733</v>
      </c>
      <c r="B69" t="s">
        <v>45</v>
      </c>
      <c r="C69" t="s">
        <v>101</v>
      </c>
      <c r="D69" t="s">
        <v>236</v>
      </c>
    </row>
    <row r="70" spans="1:8" x14ac:dyDescent="0.25">
      <c r="A70" t="s">
        <v>734</v>
      </c>
      <c r="B70" t="s">
        <v>45</v>
      </c>
      <c r="C70" t="s">
        <v>101</v>
      </c>
      <c r="D70" t="s">
        <v>237</v>
      </c>
    </row>
    <row r="71" spans="1:8" x14ac:dyDescent="0.25">
      <c r="A71" t="s">
        <v>735</v>
      </c>
      <c r="B71" t="s">
        <v>45</v>
      </c>
      <c r="C71" t="s">
        <v>101</v>
      </c>
      <c r="D71" t="s">
        <v>238</v>
      </c>
    </row>
    <row r="72" spans="1:8" x14ac:dyDescent="0.25">
      <c r="A72" t="s">
        <v>736</v>
      </c>
      <c r="B72" t="s">
        <v>45</v>
      </c>
      <c r="C72" t="s">
        <v>101</v>
      </c>
      <c r="D72" t="s">
        <v>239</v>
      </c>
    </row>
    <row r="73" spans="1:8" x14ac:dyDescent="0.25">
      <c r="A73" t="s">
        <v>737</v>
      </c>
      <c r="B73" t="s">
        <v>45</v>
      </c>
      <c r="C73" t="s">
        <v>101</v>
      </c>
      <c r="D73" t="s">
        <v>47</v>
      </c>
    </row>
    <row r="74" spans="1:8" x14ac:dyDescent="0.25">
      <c r="A74" t="s">
        <v>738</v>
      </c>
      <c r="B74" t="s">
        <v>45</v>
      </c>
      <c r="C74" t="s">
        <v>102</v>
      </c>
      <c r="D74" t="s">
        <v>232</v>
      </c>
      <c r="E74">
        <v>23087</v>
      </c>
      <c r="F74">
        <v>24</v>
      </c>
      <c r="G74">
        <v>43</v>
      </c>
      <c r="H74">
        <v>33</v>
      </c>
    </row>
    <row r="75" spans="1:8" x14ac:dyDescent="0.25">
      <c r="A75" t="s">
        <v>739</v>
      </c>
      <c r="B75" t="s">
        <v>45</v>
      </c>
      <c r="C75" t="s">
        <v>102</v>
      </c>
      <c r="D75" t="s">
        <v>233</v>
      </c>
      <c r="E75">
        <v>20108</v>
      </c>
      <c r="F75">
        <v>24</v>
      </c>
      <c r="G75">
        <v>45</v>
      </c>
      <c r="H75">
        <v>31</v>
      </c>
    </row>
    <row r="76" spans="1:8" x14ac:dyDescent="0.25">
      <c r="A76" t="s">
        <v>740</v>
      </c>
      <c r="B76" t="s">
        <v>45</v>
      </c>
      <c r="C76" t="s">
        <v>102</v>
      </c>
      <c r="D76" t="s">
        <v>234</v>
      </c>
      <c r="E76">
        <v>20479</v>
      </c>
      <c r="F76">
        <v>23</v>
      </c>
      <c r="G76">
        <v>44</v>
      </c>
      <c r="H76">
        <v>33</v>
      </c>
    </row>
    <row r="77" spans="1:8" x14ac:dyDescent="0.25">
      <c r="A77" t="s">
        <v>741</v>
      </c>
      <c r="B77" t="s">
        <v>45</v>
      </c>
      <c r="C77" t="s">
        <v>102</v>
      </c>
      <c r="D77" t="s">
        <v>235</v>
      </c>
      <c r="E77">
        <v>19149</v>
      </c>
      <c r="F77">
        <v>23</v>
      </c>
      <c r="G77">
        <v>44</v>
      </c>
      <c r="H77">
        <v>33</v>
      </c>
    </row>
    <row r="78" spans="1:8" x14ac:dyDescent="0.25">
      <c r="A78" t="s">
        <v>742</v>
      </c>
      <c r="B78" t="s">
        <v>45</v>
      </c>
      <c r="C78" t="s">
        <v>102</v>
      </c>
      <c r="D78" t="s">
        <v>236</v>
      </c>
      <c r="E78">
        <v>18772</v>
      </c>
      <c r="F78">
        <v>24</v>
      </c>
      <c r="G78">
        <v>45</v>
      </c>
      <c r="H78">
        <v>31</v>
      </c>
    </row>
    <row r="79" spans="1:8" x14ac:dyDescent="0.25">
      <c r="A79" t="s">
        <v>743</v>
      </c>
      <c r="B79" t="s">
        <v>45</v>
      </c>
      <c r="C79" t="s">
        <v>102</v>
      </c>
      <c r="D79" t="s">
        <v>237</v>
      </c>
      <c r="E79">
        <v>19111</v>
      </c>
      <c r="F79">
        <v>22</v>
      </c>
      <c r="G79">
        <v>47</v>
      </c>
      <c r="H79">
        <v>31</v>
      </c>
    </row>
    <row r="80" spans="1:8" x14ac:dyDescent="0.25">
      <c r="A80" t="s">
        <v>744</v>
      </c>
      <c r="B80" t="s">
        <v>45</v>
      </c>
      <c r="C80" t="s">
        <v>102</v>
      </c>
      <c r="D80" t="s">
        <v>238</v>
      </c>
      <c r="E80">
        <v>21555</v>
      </c>
      <c r="F80">
        <v>23</v>
      </c>
      <c r="G80">
        <v>46</v>
      </c>
      <c r="H80">
        <v>31</v>
      </c>
    </row>
    <row r="81" spans="1:8" x14ac:dyDescent="0.25">
      <c r="A81" t="s">
        <v>745</v>
      </c>
      <c r="B81" t="s">
        <v>45</v>
      </c>
      <c r="C81" t="s">
        <v>102</v>
      </c>
      <c r="D81" t="s">
        <v>239</v>
      </c>
      <c r="E81">
        <v>18893</v>
      </c>
      <c r="F81">
        <v>23</v>
      </c>
      <c r="G81">
        <v>43</v>
      </c>
      <c r="H81">
        <v>34</v>
      </c>
    </row>
    <row r="82" spans="1:8" x14ac:dyDescent="0.25">
      <c r="A82" t="s">
        <v>746</v>
      </c>
      <c r="B82" t="s">
        <v>45</v>
      </c>
      <c r="C82" t="s">
        <v>102</v>
      </c>
      <c r="D82" t="s">
        <v>47</v>
      </c>
      <c r="E82">
        <v>19255</v>
      </c>
      <c r="F82">
        <v>24</v>
      </c>
      <c r="G82">
        <v>46</v>
      </c>
      <c r="H82">
        <v>30</v>
      </c>
    </row>
    <row r="83" spans="1:8" x14ac:dyDescent="0.25">
      <c r="A83" t="s">
        <v>747</v>
      </c>
      <c r="B83" t="s">
        <v>45</v>
      </c>
      <c r="C83" t="s">
        <v>31</v>
      </c>
      <c r="D83" t="s">
        <v>232</v>
      </c>
      <c r="E83">
        <v>27468</v>
      </c>
      <c r="F83">
        <v>29</v>
      </c>
      <c r="G83">
        <v>49</v>
      </c>
      <c r="H83">
        <v>22</v>
      </c>
    </row>
    <row r="84" spans="1:8" x14ac:dyDescent="0.25">
      <c r="A84" t="s">
        <v>748</v>
      </c>
      <c r="B84" t="s">
        <v>45</v>
      </c>
      <c r="C84" t="s">
        <v>31</v>
      </c>
      <c r="D84" t="s">
        <v>233</v>
      </c>
      <c r="E84">
        <v>24412</v>
      </c>
      <c r="F84">
        <v>28</v>
      </c>
      <c r="G84">
        <v>49</v>
      </c>
      <c r="H84">
        <v>23</v>
      </c>
    </row>
    <row r="85" spans="1:8" x14ac:dyDescent="0.25">
      <c r="A85" t="s">
        <v>749</v>
      </c>
      <c r="B85" t="s">
        <v>45</v>
      </c>
      <c r="C85" t="s">
        <v>31</v>
      </c>
      <c r="D85" t="s">
        <v>234</v>
      </c>
      <c r="E85">
        <v>24737</v>
      </c>
      <c r="F85">
        <v>26</v>
      </c>
      <c r="G85">
        <v>49</v>
      </c>
      <c r="H85">
        <v>25</v>
      </c>
    </row>
    <row r="86" spans="1:8" x14ac:dyDescent="0.25">
      <c r="A86" t="s">
        <v>750</v>
      </c>
      <c r="B86" t="s">
        <v>45</v>
      </c>
      <c r="C86" t="s">
        <v>31</v>
      </c>
      <c r="D86" t="s">
        <v>235</v>
      </c>
      <c r="E86">
        <v>22989</v>
      </c>
      <c r="F86">
        <v>26</v>
      </c>
      <c r="G86">
        <v>49</v>
      </c>
      <c r="H86">
        <v>25</v>
      </c>
    </row>
    <row r="87" spans="1:8" x14ac:dyDescent="0.25">
      <c r="A87" t="s">
        <v>751</v>
      </c>
      <c r="B87" t="s">
        <v>45</v>
      </c>
      <c r="C87" t="s">
        <v>31</v>
      </c>
      <c r="D87" t="s">
        <v>236</v>
      </c>
      <c r="E87">
        <v>23444</v>
      </c>
      <c r="F87">
        <v>25</v>
      </c>
      <c r="G87">
        <v>50</v>
      </c>
      <c r="H87">
        <v>25</v>
      </c>
    </row>
    <row r="88" spans="1:8" x14ac:dyDescent="0.25">
      <c r="A88" t="s">
        <v>752</v>
      </c>
      <c r="B88" t="s">
        <v>45</v>
      </c>
      <c r="C88" t="s">
        <v>31</v>
      </c>
      <c r="D88" t="s">
        <v>237</v>
      </c>
      <c r="E88">
        <v>22989</v>
      </c>
      <c r="F88">
        <v>25</v>
      </c>
      <c r="G88">
        <v>50</v>
      </c>
      <c r="H88">
        <v>25</v>
      </c>
    </row>
    <row r="89" spans="1:8" x14ac:dyDescent="0.25">
      <c r="A89" t="s">
        <v>753</v>
      </c>
      <c r="B89" t="s">
        <v>45</v>
      </c>
      <c r="C89" t="s">
        <v>31</v>
      </c>
      <c r="D89" t="s">
        <v>238</v>
      </c>
      <c r="E89">
        <v>26248</v>
      </c>
      <c r="F89">
        <v>25</v>
      </c>
      <c r="G89">
        <v>51</v>
      </c>
      <c r="H89">
        <v>24</v>
      </c>
    </row>
    <row r="90" spans="1:8" x14ac:dyDescent="0.25">
      <c r="A90" t="s">
        <v>754</v>
      </c>
      <c r="B90" t="s">
        <v>45</v>
      </c>
      <c r="C90" t="s">
        <v>31</v>
      </c>
      <c r="D90" t="s">
        <v>239</v>
      </c>
      <c r="E90">
        <v>23416</v>
      </c>
      <c r="F90">
        <v>23</v>
      </c>
      <c r="G90">
        <v>51</v>
      </c>
      <c r="H90">
        <v>26</v>
      </c>
    </row>
    <row r="91" spans="1:8" x14ac:dyDescent="0.25">
      <c r="A91" t="s">
        <v>755</v>
      </c>
      <c r="B91" t="s">
        <v>45</v>
      </c>
      <c r="C91" t="s">
        <v>31</v>
      </c>
      <c r="D91" t="s">
        <v>47</v>
      </c>
      <c r="E91">
        <v>23549</v>
      </c>
      <c r="F91">
        <v>26</v>
      </c>
      <c r="G91">
        <v>51</v>
      </c>
      <c r="H91">
        <v>23</v>
      </c>
    </row>
    <row r="92" spans="1:8" x14ac:dyDescent="0.25">
      <c r="A92" t="s">
        <v>756</v>
      </c>
      <c r="B92" t="s">
        <v>244</v>
      </c>
      <c r="C92" t="s">
        <v>103</v>
      </c>
      <c r="D92" t="s">
        <v>232</v>
      </c>
      <c r="E92">
        <v>940</v>
      </c>
      <c r="F92">
        <v>20</v>
      </c>
      <c r="G92">
        <v>65</v>
      </c>
      <c r="H92">
        <v>15</v>
      </c>
    </row>
    <row r="93" spans="1:8" x14ac:dyDescent="0.25">
      <c r="A93" t="s">
        <v>757</v>
      </c>
      <c r="B93" t="s">
        <v>244</v>
      </c>
      <c r="C93" t="s">
        <v>103</v>
      </c>
      <c r="D93" t="s">
        <v>233</v>
      </c>
      <c r="E93">
        <v>812</v>
      </c>
      <c r="F93">
        <v>21</v>
      </c>
      <c r="G93">
        <v>62</v>
      </c>
      <c r="H93">
        <v>17</v>
      </c>
    </row>
    <row r="94" spans="1:8" x14ac:dyDescent="0.25">
      <c r="A94" t="s">
        <v>758</v>
      </c>
      <c r="B94" t="s">
        <v>244</v>
      </c>
      <c r="C94" t="s">
        <v>103</v>
      </c>
      <c r="D94" t="s">
        <v>234</v>
      </c>
      <c r="E94">
        <v>852</v>
      </c>
      <c r="F94">
        <v>18</v>
      </c>
      <c r="G94">
        <v>65</v>
      </c>
      <c r="H94">
        <v>17</v>
      </c>
    </row>
    <row r="95" spans="1:8" x14ac:dyDescent="0.25">
      <c r="A95" t="s">
        <v>759</v>
      </c>
      <c r="B95" t="s">
        <v>244</v>
      </c>
      <c r="C95" t="s">
        <v>103</v>
      </c>
      <c r="D95" t="s">
        <v>235</v>
      </c>
      <c r="E95">
        <v>814</v>
      </c>
      <c r="F95">
        <v>17</v>
      </c>
      <c r="G95">
        <v>66</v>
      </c>
      <c r="H95">
        <v>17</v>
      </c>
    </row>
    <row r="96" spans="1:8" x14ac:dyDescent="0.25">
      <c r="A96" t="s">
        <v>760</v>
      </c>
      <c r="B96" t="s">
        <v>244</v>
      </c>
      <c r="C96" t="s">
        <v>103</v>
      </c>
      <c r="D96" t="s">
        <v>236</v>
      </c>
      <c r="E96">
        <v>812</v>
      </c>
      <c r="F96">
        <v>19</v>
      </c>
      <c r="G96">
        <v>63</v>
      </c>
      <c r="H96">
        <v>18</v>
      </c>
    </row>
    <row r="97" spans="1:8" x14ac:dyDescent="0.25">
      <c r="A97" t="s">
        <v>761</v>
      </c>
      <c r="B97" t="s">
        <v>244</v>
      </c>
      <c r="C97" t="s">
        <v>103</v>
      </c>
      <c r="D97" t="s">
        <v>237</v>
      </c>
      <c r="E97">
        <v>729</v>
      </c>
      <c r="F97">
        <v>17</v>
      </c>
      <c r="G97">
        <v>64</v>
      </c>
      <c r="H97">
        <v>19</v>
      </c>
    </row>
    <row r="98" spans="1:8" x14ac:dyDescent="0.25">
      <c r="A98" t="s">
        <v>762</v>
      </c>
      <c r="B98" t="s">
        <v>244</v>
      </c>
      <c r="C98" t="s">
        <v>103</v>
      </c>
      <c r="D98" t="s">
        <v>238</v>
      </c>
      <c r="E98">
        <v>921</v>
      </c>
      <c r="F98">
        <v>19</v>
      </c>
      <c r="G98">
        <v>63</v>
      </c>
      <c r="H98">
        <v>18</v>
      </c>
    </row>
    <row r="99" spans="1:8" x14ac:dyDescent="0.25">
      <c r="A99" t="s">
        <v>763</v>
      </c>
      <c r="B99" t="s">
        <v>244</v>
      </c>
      <c r="C99" t="s">
        <v>103</v>
      </c>
      <c r="D99" t="s">
        <v>239</v>
      </c>
      <c r="E99">
        <v>843</v>
      </c>
      <c r="F99">
        <v>16</v>
      </c>
      <c r="G99">
        <v>67</v>
      </c>
      <c r="H99">
        <v>17</v>
      </c>
    </row>
    <row r="100" spans="1:8" x14ac:dyDescent="0.25">
      <c r="A100" t="s">
        <v>764</v>
      </c>
      <c r="B100" t="s">
        <v>244</v>
      </c>
      <c r="C100" t="s">
        <v>103</v>
      </c>
      <c r="D100" t="s">
        <v>47</v>
      </c>
      <c r="E100">
        <v>843</v>
      </c>
      <c r="F100">
        <v>14</v>
      </c>
      <c r="G100">
        <v>67</v>
      </c>
      <c r="H100">
        <v>19</v>
      </c>
    </row>
    <row r="101" spans="1:8" x14ac:dyDescent="0.25">
      <c r="A101" t="s">
        <v>765</v>
      </c>
      <c r="B101" t="s">
        <v>244</v>
      </c>
      <c r="C101" t="s">
        <v>100</v>
      </c>
      <c r="D101" t="s">
        <v>232</v>
      </c>
      <c r="E101">
        <v>943</v>
      </c>
      <c r="F101">
        <v>15</v>
      </c>
      <c r="G101">
        <v>58</v>
      </c>
      <c r="H101">
        <v>27</v>
      </c>
    </row>
    <row r="102" spans="1:8" x14ac:dyDescent="0.25">
      <c r="A102" t="s">
        <v>766</v>
      </c>
      <c r="B102" t="s">
        <v>244</v>
      </c>
      <c r="C102" t="s">
        <v>100</v>
      </c>
      <c r="D102" t="s">
        <v>233</v>
      </c>
      <c r="E102">
        <v>814</v>
      </c>
      <c r="F102">
        <v>17</v>
      </c>
      <c r="G102">
        <v>61</v>
      </c>
      <c r="H102">
        <v>22</v>
      </c>
    </row>
    <row r="103" spans="1:8" x14ac:dyDescent="0.25">
      <c r="A103" t="s">
        <v>767</v>
      </c>
      <c r="B103" t="s">
        <v>244</v>
      </c>
      <c r="C103" t="s">
        <v>100</v>
      </c>
      <c r="D103" t="s">
        <v>234</v>
      </c>
      <c r="E103">
        <v>854</v>
      </c>
      <c r="F103">
        <v>15</v>
      </c>
      <c r="G103">
        <v>60</v>
      </c>
      <c r="H103">
        <v>25</v>
      </c>
    </row>
    <row r="104" spans="1:8" x14ac:dyDescent="0.25">
      <c r="A104" t="s">
        <v>768</v>
      </c>
      <c r="B104" t="s">
        <v>244</v>
      </c>
      <c r="C104" t="s">
        <v>100</v>
      </c>
      <c r="D104" t="s">
        <v>235</v>
      </c>
      <c r="E104">
        <v>823</v>
      </c>
      <c r="F104">
        <v>13</v>
      </c>
      <c r="G104">
        <v>59</v>
      </c>
      <c r="H104">
        <v>28</v>
      </c>
    </row>
    <row r="105" spans="1:8" x14ac:dyDescent="0.25">
      <c r="A105" t="s">
        <v>769</v>
      </c>
      <c r="B105" t="s">
        <v>244</v>
      </c>
      <c r="C105" t="s">
        <v>100</v>
      </c>
      <c r="D105" t="s">
        <v>236</v>
      </c>
      <c r="E105">
        <v>816</v>
      </c>
      <c r="F105">
        <v>16</v>
      </c>
      <c r="G105">
        <v>60</v>
      </c>
      <c r="H105">
        <v>24</v>
      </c>
    </row>
    <row r="106" spans="1:8" x14ac:dyDescent="0.25">
      <c r="A106" t="s">
        <v>770</v>
      </c>
      <c r="B106" t="s">
        <v>244</v>
      </c>
      <c r="C106" t="s">
        <v>100</v>
      </c>
      <c r="D106" t="s">
        <v>237</v>
      </c>
      <c r="E106">
        <v>732</v>
      </c>
      <c r="F106">
        <v>15</v>
      </c>
      <c r="G106">
        <v>61</v>
      </c>
      <c r="H106">
        <v>24</v>
      </c>
    </row>
    <row r="107" spans="1:8" x14ac:dyDescent="0.25">
      <c r="A107" t="s">
        <v>771</v>
      </c>
      <c r="B107" t="s">
        <v>244</v>
      </c>
      <c r="C107" t="s">
        <v>100</v>
      </c>
      <c r="D107" t="s">
        <v>238</v>
      </c>
      <c r="E107">
        <v>926</v>
      </c>
      <c r="F107">
        <v>16</v>
      </c>
      <c r="G107">
        <v>61</v>
      </c>
      <c r="H107">
        <v>23</v>
      </c>
    </row>
    <row r="108" spans="1:8" x14ac:dyDescent="0.25">
      <c r="A108" t="s">
        <v>772</v>
      </c>
      <c r="B108" t="s">
        <v>244</v>
      </c>
      <c r="C108" t="s">
        <v>100</v>
      </c>
      <c r="D108" t="s">
        <v>239</v>
      </c>
      <c r="E108">
        <v>840</v>
      </c>
      <c r="F108">
        <v>13</v>
      </c>
      <c r="G108">
        <v>57</v>
      </c>
      <c r="H108">
        <v>30</v>
      </c>
    </row>
    <row r="109" spans="1:8" x14ac:dyDescent="0.25">
      <c r="A109" t="s">
        <v>773</v>
      </c>
      <c r="B109" t="s">
        <v>244</v>
      </c>
      <c r="C109" t="s">
        <v>100</v>
      </c>
      <c r="D109" t="s">
        <v>47</v>
      </c>
      <c r="E109">
        <v>842</v>
      </c>
      <c r="F109">
        <v>16</v>
      </c>
      <c r="G109">
        <v>60</v>
      </c>
      <c r="H109">
        <v>24</v>
      </c>
    </row>
    <row r="110" spans="1:8" x14ac:dyDescent="0.25">
      <c r="A110" t="s">
        <v>774</v>
      </c>
      <c r="B110" t="s">
        <v>244</v>
      </c>
      <c r="C110" t="s">
        <v>101</v>
      </c>
      <c r="D110" t="s">
        <v>232</v>
      </c>
    </row>
    <row r="111" spans="1:8" x14ac:dyDescent="0.25">
      <c r="A111" t="s">
        <v>775</v>
      </c>
      <c r="B111" t="s">
        <v>244</v>
      </c>
      <c r="C111" t="s">
        <v>101</v>
      </c>
      <c r="D111" t="s">
        <v>233</v>
      </c>
    </row>
    <row r="112" spans="1:8" x14ac:dyDescent="0.25">
      <c r="A112" t="s">
        <v>776</v>
      </c>
      <c r="B112" t="s">
        <v>244</v>
      </c>
      <c r="C112" t="s">
        <v>101</v>
      </c>
      <c r="D112" t="s">
        <v>234</v>
      </c>
    </row>
    <row r="113" spans="1:8" x14ac:dyDescent="0.25">
      <c r="A113" t="s">
        <v>777</v>
      </c>
      <c r="B113" t="s">
        <v>244</v>
      </c>
      <c r="C113" t="s">
        <v>101</v>
      </c>
      <c r="D113" t="s">
        <v>235</v>
      </c>
    </row>
    <row r="114" spans="1:8" x14ac:dyDescent="0.25">
      <c r="A114" t="s">
        <v>778</v>
      </c>
      <c r="B114" t="s">
        <v>244</v>
      </c>
      <c r="C114" t="s">
        <v>101</v>
      </c>
      <c r="D114" t="s">
        <v>236</v>
      </c>
    </row>
    <row r="115" spans="1:8" x14ac:dyDescent="0.25">
      <c r="A115" t="s">
        <v>779</v>
      </c>
      <c r="B115" t="s">
        <v>244</v>
      </c>
      <c r="C115" t="s">
        <v>101</v>
      </c>
      <c r="D115" t="s">
        <v>237</v>
      </c>
    </row>
    <row r="116" spans="1:8" x14ac:dyDescent="0.25">
      <c r="A116" t="s">
        <v>780</v>
      </c>
      <c r="B116" t="s">
        <v>244</v>
      </c>
      <c r="C116" t="s">
        <v>101</v>
      </c>
      <c r="D116" t="s">
        <v>238</v>
      </c>
    </row>
    <row r="117" spans="1:8" x14ac:dyDescent="0.25">
      <c r="A117" t="s">
        <v>781</v>
      </c>
      <c r="B117" t="s">
        <v>244</v>
      </c>
      <c r="C117" t="s">
        <v>101</v>
      </c>
      <c r="D117" t="s">
        <v>239</v>
      </c>
    </row>
    <row r="118" spans="1:8" x14ac:dyDescent="0.25">
      <c r="A118" t="s">
        <v>782</v>
      </c>
      <c r="B118" t="s">
        <v>244</v>
      </c>
      <c r="C118" t="s">
        <v>101</v>
      </c>
      <c r="D118" t="s">
        <v>47</v>
      </c>
    </row>
    <row r="119" spans="1:8" x14ac:dyDescent="0.25">
      <c r="A119" t="s">
        <v>783</v>
      </c>
      <c r="B119" t="s">
        <v>244</v>
      </c>
      <c r="C119" t="s">
        <v>102</v>
      </c>
      <c r="D119" t="s">
        <v>232</v>
      </c>
      <c r="E119">
        <v>820</v>
      </c>
      <c r="F119">
        <v>22</v>
      </c>
      <c r="G119">
        <v>52</v>
      </c>
      <c r="H119">
        <v>26</v>
      </c>
    </row>
    <row r="120" spans="1:8" x14ac:dyDescent="0.25">
      <c r="A120" t="s">
        <v>784</v>
      </c>
      <c r="B120" t="s">
        <v>244</v>
      </c>
      <c r="C120" t="s">
        <v>102</v>
      </c>
      <c r="D120" t="s">
        <v>233</v>
      </c>
      <c r="E120">
        <v>705</v>
      </c>
      <c r="F120">
        <v>22</v>
      </c>
      <c r="G120">
        <v>52</v>
      </c>
      <c r="H120">
        <v>26</v>
      </c>
    </row>
    <row r="121" spans="1:8" x14ac:dyDescent="0.25">
      <c r="A121" t="s">
        <v>785</v>
      </c>
      <c r="B121" t="s">
        <v>244</v>
      </c>
      <c r="C121" t="s">
        <v>102</v>
      </c>
      <c r="D121" t="s">
        <v>234</v>
      </c>
      <c r="E121">
        <v>725</v>
      </c>
      <c r="F121">
        <v>18</v>
      </c>
      <c r="G121">
        <v>53</v>
      </c>
      <c r="H121">
        <v>29</v>
      </c>
    </row>
    <row r="122" spans="1:8" x14ac:dyDescent="0.25">
      <c r="A122" t="s">
        <v>786</v>
      </c>
      <c r="B122" t="s">
        <v>244</v>
      </c>
      <c r="C122" t="s">
        <v>102</v>
      </c>
      <c r="D122" t="s">
        <v>235</v>
      </c>
      <c r="E122">
        <v>713</v>
      </c>
      <c r="F122">
        <v>21</v>
      </c>
      <c r="G122">
        <v>48</v>
      </c>
      <c r="H122">
        <v>31</v>
      </c>
    </row>
    <row r="123" spans="1:8" x14ac:dyDescent="0.25">
      <c r="A123" t="s">
        <v>787</v>
      </c>
      <c r="B123" t="s">
        <v>244</v>
      </c>
      <c r="C123" t="s">
        <v>102</v>
      </c>
      <c r="D123" t="s">
        <v>236</v>
      </c>
      <c r="E123">
        <v>683</v>
      </c>
      <c r="F123">
        <v>23</v>
      </c>
      <c r="G123">
        <v>52</v>
      </c>
      <c r="H123">
        <v>25</v>
      </c>
    </row>
    <row r="124" spans="1:8" x14ac:dyDescent="0.25">
      <c r="A124" t="s">
        <v>788</v>
      </c>
      <c r="B124" t="s">
        <v>244</v>
      </c>
      <c r="C124" t="s">
        <v>102</v>
      </c>
      <c r="D124" t="s">
        <v>237</v>
      </c>
      <c r="E124">
        <v>622</v>
      </c>
      <c r="F124">
        <v>20</v>
      </c>
      <c r="G124">
        <v>55</v>
      </c>
      <c r="H124">
        <v>25</v>
      </c>
    </row>
    <row r="125" spans="1:8" x14ac:dyDescent="0.25">
      <c r="A125" t="s">
        <v>789</v>
      </c>
      <c r="B125" t="s">
        <v>244</v>
      </c>
      <c r="C125" t="s">
        <v>102</v>
      </c>
      <c r="D125" t="s">
        <v>238</v>
      </c>
      <c r="E125">
        <v>771</v>
      </c>
      <c r="F125">
        <v>20</v>
      </c>
      <c r="G125">
        <v>55</v>
      </c>
      <c r="H125">
        <v>25</v>
      </c>
    </row>
    <row r="126" spans="1:8" x14ac:dyDescent="0.25">
      <c r="A126" t="s">
        <v>790</v>
      </c>
      <c r="B126" t="s">
        <v>244</v>
      </c>
      <c r="C126" t="s">
        <v>102</v>
      </c>
      <c r="D126" t="s">
        <v>239</v>
      </c>
      <c r="E126">
        <v>702</v>
      </c>
      <c r="F126">
        <v>20</v>
      </c>
      <c r="G126">
        <v>48</v>
      </c>
      <c r="H126">
        <v>32</v>
      </c>
    </row>
    <row r="127" spans="1:8" x14ac:dyDescent="0.25">
      <c r="A127" t="s">
        <v>791</v>
      </c>
      <c r="B127" t="s">
        <v>244</v>
      </c>
      <c r="C127" t="s">
        <v>102</v>
      </c>
      <c r="D127" t="s">
        <v>47</v>
      </c>
      <c r="E127">
        <v>709</v>
      </c>
      <c r="F127">
        <v>22</v>
      </c>
      <c r="G127">
        <v>50</v>
      </c>
      <c r="H127">
        <v>28</v>
      </c>
    </row>
    <row r="128" spans="1:8" x14ac:dyDescent="0.25">
      <c r="A128" t="s">
        <v>792</v>
      </c>
      <c r="B128" t="s">
        <v>244</v>
      </c>
      <c r="C128" t="s">
        <v>31</v>
      </c>
      <c r="D128" t="s">
        <v>232</v>
      </c>
      <c r="E128">
        <v>951</v>
      </c>
      <c r="F128">
        <v>46</v>
      </c>
      <c r="G128">
        <v>42</v>
      </c>
      <c r="H128">
        <v>12</v>
      </c>
    </row>
    <row r="129" spans="1:8" x14ac:dyDescent="0.25">
      <c r="A129" t="s">
        <v>793</v>
      </c>
      <c r="B129" t="s">
        <v>244</v>
      </c>
      <c r="C129" t="s">
        <v>31</v>
      </c>
      <c r="D129" t="s">
        <v>233</v>
      </c>
      <c r="E129">
        <v>830</v>
      </c>
      <c r="F129">
        <v>44</v>
      </c>
      <c r="G129">
        <v>40</v>
      </c>
      <c r="H129">
        <v>16</v>
      </c>
    </row>
    <row r="130" spans="1:8" x14ac:dyDescent="0.25">
      <c r="A130" t="s">
        <v>794</v>
      </c>
      <c r="B130" t="s">
        <v>244</v>
      </c>
      <c r="C130" t="s">
        <v>31</v>
      </c>
      <c r="D130" t="s">
        <v>234</v>
      </c>
      <c r="E130">
        <v>865</v>
      </c>
      <c r="F130">
        <v>40</v>
      </c>
      <c r="G130">
        <v>44</v>
      </c>
      <c r="H130">
        <v>16</v>
      </c>
    </row>
    <row r="131" spans="1:8" x14ac:dyDescent="0.25">
      <c r="A131" t="s">
        <v>795</v>
      </c>
      <c r="B131" t="s">
        <v>244</v>
      </c>
      <c r="C131" t="s">
        <v>31</v>
      </c>
      <c r="D131" t="s">
        <v>235</v>
      </c>
      <c r="E131">
        <v>823</v>
      </c>
      <c r="F131">
        <v>39</v>
      </c>
      <c r="G131">
        <v>46</v>
      </c>
      <c r="H131">
        <v>15</v>
      </c>
    </row>
    <row r="132" spans="1:8" x14ac:dyDescent="0.25">
      <c r="A132" t="s">
        <v>796</v>
      </c>
      <c r="B132" t="s">
        <v>244</v>
      </c>
      <c r="C132" t="s">
        <v>31</v>
      </c>
      <c r="D132" t="s">
        <v>236</v>
      </c>
      <c r="E132">
        <v>823</v>
      </c>
      <c r="F132">
        <v>37</v>
      </c>
      <c r="G132">
        <v>46</v>
      </c>
      <c r="H132">
        <v>17</v>
      </c>
    </row>
    <row r="133" spans="1:8" x14ac:dyDescent="0.25">
      <c r="A133" t="s">
        <v>797</v>
      </c>
      <c r="B133" t="s">
        <v>244</v>
      </c>
      <c r="C133" t="s">
        <v>31</v>
      </c>
      <c r="D133" t="s">
        <v>237</v>
      </c>
      <c r="E133">
        <v>746</v>
      </c>
      <c r="F133">
        <v>37</v>
      </c>
      <c r="G133">
        <v>45</v>
      </c>
      <c r="H133">
        <v>18</v>
      </c>
    </row>
    <row r="134" spans="1:8" x14ac:dyDescent="0.25">
      <c r="A134" t="s">
        <v>798</v>
      </c>
      <c r="B134" t="s">
        <v>244</v>
      </c>
      <c r="C134" t="s">
        <v>31</v>
      </c>
      <c r="D134" t="s">
        <v>238</v>
      </c>
      <c r="E134">
        <v>926</v>
      </c>
      <c r="F134">
        <v>42</v>
      </c>
      <c r="G134">
        <v>42</v>
      </c>
      <c r="H134">
        <v>16</v>
      </c>
    </row>
    <row r="135" spans="1:8" x14ac:dyDescent="0.25">
      <c r="A135" t="s">
        <v>799</v>
      </c>
      <c r="B135" t="s">
        <v>244</v>
      </c>
      <c r="C135" t="s">
        <v>31</v>
      </c>
      <c r="D135" t="s">
        <v>239</v>
      </c>
      <c r="E135">
        <v>859</v>
      </c>
      <c r="F135">
        <v>36</v>
      </c>
      <c r="G135">
        <v>46</v>
      </c>
      <c r="H135">
        <v>18</v>
      </c>
    </row>
    <row r="136" spans="1:8" x14ac:dyDescent="0.25">
      <c r="A136" t="s">
        <v>800</v>
      </c>
      <c r="B136" t="s">
        <v>244</v>
      </c>
      <c r="C136" t="s">
        <v>31</v>
      </c>
      <c r="D136" t="s">
        <v>47</v>
      </c>
      <c r="E136">
        <v>856</v>
      </c>
      <c r="F136">
        <v>37</v>
      </c>
      <c r="G136">
        <v>47</v>
      </c>
      <c r="H136">
        <v>16</v>
      </c>
    </row>
    <row r="137" spans="1:8" x14ac:dyDescent="0.25">
      <c r="A137" t="s">
        <v>801</v>
      </c>
      <c r="B137" t="s">
        <v>136</v>
      </c>
      <c r="C137" t="s">
        <v>103</v>
      </c>
      <c r="D137" t="s">
        <v>232</v>
      </c>
      <c r="E137">
        <v>621</v>
      </c>
      <c r="F137">
        <v>9</v>
      </c>
      <c r="G137">
        <v>66</v>
      </c>
      <c r="H137">
        <v>25</v>
      </c>
    </row>
    <row r="138" spans="1:8" x14ac:dyDescent="0.25">
      <c r="A138" t="s">
        <v>802</v>
      </c>
      <c r="B138" t="s">
        <v>136</v>
      </c>
      <c r="C138" t="s">
        <v>103</v>
      </c>
      <c r="D138" t="s">
        <v>233</v>
      </c>
      <c r="E138">
        <v>599</v>
      </c>
      <c r="F138">
        <v>11</v>
      </c>
      <c r="G138">
        <v>69</v>
      </c>
      <c r="H138">
        <v>20</v>
      </c>
    </row>
    <row r="139" spans="1:8" x14ac:dyDescent="0.25">
      <c r="A139" t="s">
        <v>803</v>
      </c>
      <c r="B139" t="s">
        <v>136</v>
      </c>
      <c r="C139" t="s">
        <v>103</v>
      </c>
      <c r="D139" t="s">
        <v>234</v>
      </c>
      <c r="E139">
        <v>621</v>
      </c>
      <c r="F139">
        <v>11</v>
      </c>
      <c r="G139">
        <v>68</v>
      </c>
      <c r="H139">
        <v>21</v>
      </c>
    </row>
    <row r="140" spans="1:8" x14ac:dyDescent="0.25">
      <c r="A140" t="s">
        <v>804</v>
      </c>
      <c r="B140" t="s">
        <v>136</v>
      </c>
      <c r="C140" t="s">
        <v>103</v>
      </c>
      <c r="D140" t="s">
        <v>235</v>
      </c>
      <c r="E140">
        <v>517</v>
      </c>
      <c r="F140">
        <v>11</v>
      </c>
      <c r="G140">
        <v>67</v>
      </c>
      <c r="H140">
        <v>22</v>
      </c>
    </row>
    <row r="141" spans="1:8" x14ac:dyDescent="0.25">
      <c r="A141" t="s">
        <v>805</v>
      </c>
      <c r="B141" t="s">
        <v>136</v>
      </c>
      <c r="C141" t="s">
        <v>103</v>
      </c>
      <c r="D141" t="s">
        <v>236</v>
      </c>
      <c r="E141">
        <v>510</v>
      </c>
      <c r="F141">
        <v>12</v>
      </c>
      <c r="G141">
        <v>70</v>
      </c>
      <c r="H141">
        <v>18</v>
      </c>
    </row>
    <row r="142" spans="1:8" x14ac:dyDescent="0.25">
      <c r="A142" t="s">
        <v>806</v>
      </c>
      <c r="B142" t="s">
        <v>136</v>
      </c>
      <c r="C142" t="s">
        <v>103</v>
      </c>
      <c r="D142" t="s">
        <v>237</v>
      </c>
      <c r="E142">
        <v>564</v>
      </c>
      <c r="F142">
        <v>10</v>
      </c>
      <c r="G142">
        <v>71</v>
      </c>
      <c r="H142">
        <v>19</v>
      </c>
    </row>
    <row r="143" spans="1:8" x14ac:dyDescent="0.25">
      <c r="A143" t="s">
        <v>807</v>
      </c>
      <c r="B143" t="s">
        <v>136</v>
      </c>
      <c r="C143" t="s">
        <v>103</v>
      </c>
      <c r="D143" t="s">
        <v>238</v>
      </c>
      <c r="E143">
        <v>592</v>
      </c>
      <c r="F143">
        <v>9</v>
      </c>
      <c r="G143">
        <v>72</v>
      </c>
      <c r="H143">
        <v>19</v>
      </c>
    </row>
    <row r="144" spans="1:8" x14ac:dyDescent="0.25">
      <c r="A144" t="s">
        <v>808</v>
      </c>
      <c r="B144" t="s">
        <v>136</v>
      </c>
      <c r="C144" t="s">
        <v>103</v>
      </c>
      <c r="D144" t="s">
        <v>239</v>
      </c>
      <c r="E144">
        <v>545</v>
      </c>
      <c r="F144">
        <v>11</v>
      </c>
      <c r="G144">
        <v>70</v>
      </c>
      <c r="H144">
        <v>19</v>
      </c>
    </row>
    <row r="145" spans="1:8" x14ac:dyDescent="0.25">
      <c r="A145" t="s">
        <v>809</v>
      </c>
      <c r="B145" t="s">
        <v>136</v>
      </c>
      <c r="C145" t="s">
        <v>103</v>
      </c>
      <c r="D145" t="s">
        <v>47</v>
      </c>
      <c r="E145">
        <v>599</v>
      </c>
      <c r="F145">
        <v>9</v>
      </c>
      <c r="G145">
        <v>68</v>
      </c>
      <c r="H145">
        <v>23</v>
      </c>
    </row>
    <row r="146" spans="1:8" x14ac:dyDescent="0.25">
      <c r="A146" t="s">
        <v>810</v>
      </c>
      <c r="B146" t="s">
        <v>136</v>
      </c>
      <c r="C146" t="s">
        <v>100</v>
      </c>
      <c r="D146" t="s">
        <v>232</v>
      </c>
      <c r="E146">
        <v>624</v>
      </c>
      <c r="F146">
        <v>7</v>
      </c>
      <c r="G146">
        <v>53</v>
      </c>
      <c r="H146">
        <v>40</v>
      </c>
    </row>
    <row r="147" spans="1:8" x14ac:dyDescent="0.25">
      <c r="A147" t="s">
        <v>811</v>
      </c>
      <c r="B147" t="s">
        <v>136</v>
      </c>
      <c r="C147" t="s">
        <v>100</v>
      </c>
      <c r="D147" t="s">
        <v>233</v>
      </c>
      <c r="E147">
        <v>598</v>
      </c>
      <c r="F147">
        <v>10</v>
      </c>
      <c r="G147">
        <v>62</v>
      </c>
      <c r="H147">
        <v>28</v>
      </c>
    </row>
    <row r="148" spans="1:8" x14ac:dyDescent="0.25">
      <c r="A148" t="s">
        <v>812</v>
      </c>
      <c r="B148" t="s">
        <v>136</v>
      </c>
      <c r="C148" t="s">
        <v>100</v>
      </c>
      <c r="D148" t="s">
        <v>234</v>
      </c>
      <c r="E148">
        <v>621</v>
      </c>
      <c r="F148">
        <v>9</v>
      </c>
      <c r="G148">
        <v>54</v>
      </c>
      <c r="H148">
        <v>37</v>
      </c>
    </row>
    <row r="149" spans="1:8" x14ac:dyDescent="0.25">
      <c r="A149" t="s">
        <v>813</v>
      </c>
      <c r="B149" t="s">
        <v>136</v>
      </c>
      <c r="C149" t="s">
        <v>100</v>
      </c>
      <c r="D149" t="s">
        <v>235</v>
      </c>
      <c r="E149">
        <v>520</v>
      </c>
      <c r="F149">
        <v>10</v>
      </c>
      <c r="G149">
        <v>57</v>
      </c>
      <c r="H149">
        <v>33</v>
      </c>
    </row>
    <row r="150" spans="1:8" x14ac:dyDescent="0.25">
      <c r="A150" t="s">
        <v>814</v>
      </c>
      <c r="B150" t="s">
        <v>136</v>
      </c>
      <c r="C150" t="s">
        <v>100</v>
      </c>
      <c r="D150" t="s">
        <v>236</v>
      </c>
      <c r="E150">
        <v>533</v>
      </c>
      <c r="F150">
        <v>14</v>
      </c>
      <c r="G150">
        <v>61</v>
      </c>
      <c r="H150">
        <v>25</v>
      </c>
    </row>
    <row r="151" spans="1:8" x14ac:dyDescent="0.25">
      <c r="A151" t="s">
        <v>815</v>
      </c>
      <c r="B151" t="s">
        <v>136</v>
      </c>
      <c r="C151" t="s">
        <v>100</v>
      </c>
      <c r="D151" t="s">
        <v>237</v>
      </c>
      <c r="E151">
        <v>572</v>
      </c>
      <c r="F151">
        <v>11</v>
      </c>
      <c r="G151">
        <v>62</v>
      </c>
      <c r="H151">
        <v>27</v>
      </c>
    </row>
    <row r="152" spans="1:8" x14ac:dyDescent="0.25">
      <c r="A152" t="s">
        <v>816</v>
      </c>
      <c r="B152" t="s">
        <v>136</v>
      </c>
      <c r="C152" t="s">
        <v>100</v>
      </c>
      <c r="D152" t="s">
        <v>238</v>
      </c>
      <c r="E152">
        <v>602</v>
      </c>
      <c r="F152">
        <v>11</v>
      </c>
      <c r="G152">
        <v>61</v>
      </c>
      <c r="H152">
        <v>28</v>
      </c>
    </row>
    <row r="153" spans="1:8" x14ac:dyDescent="0.25">
      <c r="A153" t="s">
        <v>817</v>
      </c>
      <c r="B153" t="s">
        <v>136</v>
      </c>
      <c r="C153" t="s">
        <v>100</v>
      </c>
      <c r="D153" t="s">
        <v>239</v>
      </c>
      <c r="E153">
        <v>556</v>
      </c>
      <c r="F153">
        <v>11</v>
      </c>
      <c r="G153">
        <v>59</v>
      </c>
      <c r="H153">
        <v>30</v>
      </c>
    </row>
    <row r="154" spans="1:8" x14ac:dyDescent="0.25">
      <c r="A154" t="s">
        <v>818</v>
      </c>
      <c r="B154" t="s">
        <v>136</v>
      </c>
      <c r="C154" t="s">
        <v>100</v>
      </c>
      <c r="D154" t="s">
        <v>47</v>
      </c>
      <c r="E154">
        <v>604</v>
      </c>
      <c r="F154">
        <v>10</v>
      </c>
      <c r="G154">
        <v>59</v>
      </c>
      <c r="H154">
        <v>31</v>
      </c>
    </row>
    <row r="155" spans="1:8" x14ac:dyDescent="0.25">
      <c r="A155" t="s">
        <v>819</v>
      </c>
      <c r="B155" t="s">
        <v>136</v>
      </c>
      <c r="C155" t="s">
        <v>101</v>
      </c>
      <c r="D155" t="s">
        <v>232</v>
      </c>
    </row>
    <row r="156" spans="1:8" x14ac:dyDescent="0.25">
      <c r="A156" t="s">
        <v>820</v>
      </c>
      <c r="B156" t="s">
        <v>136</v>
      </c>
      <c r="C156" t="s">
        <v>101</v>
      </c>
      <c r="D156" t="s">
        <v>233</v>
      </c>
    </row>
    <row r="157" spans="1:8" x14ac:dyDescent="0.25">
      <c r="A157" t="s">
        <v>821</v>
      </c>
      <c r="B157" t="s">
        <v>136</v>
      </c>
      <c r="C157" t="s">
        <v>101</v>
      </c>
      <c r="D157" t="s">
        <v>234</v>
      </c>
    </row>
    <row r="158" spans="1:8" x14ac:dyDescent="0.25">
      <c r="A158" t="s">
        <v>822</v>
      </c>
      <c r="B158" t="s">
        <v>136</v>
      </c>
      <c r="C158" t="s">
        <v>101</v>
      </c>
      <c r="D158" t="s">
        <v>235</v>
      </c>
    </row>
    <row r="159" spans="1:8" x14ac:dyDescent="0.25">
      <c r="A159" t="s">
        <v>823</v>
      </c>
      <c r="B159" t="s">
        <v>136</v>
      </c>
      <c r="C159" t="s">
        <v>101</v>
      </c>
      <c r="D159" t="s">
        <v>236</v>
      </c>
    </row>
    <row r="160" spans="1:8" x14ac:dyDescent="0.25">
      <c r="A160" t="s">
        <v>824</v>
      </c>
      <c r="B160" t="s">
        <v>136</v>
      </c>
      <c r="C160" t="s">
        <v>101</v>
      </c>
      <c r="D160" t="s">
        <v>237</v>
      </c>
    </row>
    <row r="161" spans="1:8" x14ac:dyDescent="0.25">
      <c r="A161" t="s">
        <v>825</v>
      </c>
      <c r="B161" t="s">
        <v>136</v>
      </c>
      <c r="C161" t="s">
        <v>101</v>
      </c>
      <c r="D161" t="s">
        <v>238</v>
      </c>
    </row>
    <row r="162" spans="1:8" x14ac:dyDescent="0.25">
      <c r="A162" t="s">
        <v>826</v>
      </c>
      <c r="B162" t="s">
        <v>136</v>
      </c>
      <c r="C162" t="s">
        <v>101</v>
      </c>
      <c r="D162" t="s">
        <v>239</v>
      </c>
    </row>
    <row r="163" spans="1:8" x14ac:dyDescent="0.25">
      <c r="A163" t="s">
        <v>827</v>
      </c>
      <c r="B163" t="s">
        <v>136</v>
      </c>
      <c r="C163" t="s">
        <v>101</v>
      </c>
      <c r="D163" t="s">
        <v>47</v>
      </c>
    </row>
    <row r="164" spans="1:8" x14ac:dyDescent="0.25">
      <c r="A164" t="s">
        <v>828</v>
      </c>
      <c r="B164" t="s">
        <v>136</v>
      </c>
      <c r="C164" t="s">
        <v>102</v>
      </c>
      <c r="D164" t="s">
        <v>232</v>
      </c>
      <c r="E164">
        <v>517</v>
      </c>
      <c r="F164">
        <v>15</v>
      </c>
      <c r="G164">
        <v>50</v>
      </c>
      <c r="H164">
        <v>35</v>
      </c>
    </row>
    <row r="165" spans="1:8" x14ac:dyDescent="0.25">
      <c r="A165" t="s">
        <v>829</v>
      </c>
      <c r="B165" t="s">
        <v>136</v>
      </c>
      <c r="C165" t="s">
        <v>102</v>
      </c>
      <c r="D165" t="s">
        <v>233</v>
      </c>
      <c r="E165">
        <v>482</v>
      </c>
      <c r="F165">
        <v>16</v>
      </c>
      <c r="G165">
        <v>53</v>
      </c>
      <c r="H165">
        <v>31</v>
      </c>
    </row>
    <row r="166" spans="1:8" x14ac:dyDescent="0.25">
      <c r="A166" t="s">
        <v>830</v>
      </c>
      <c r="B166" t="s">
        <v>136</v>
      </c>
      <c r="C166" t="s">
        <v>102</v>
      </c>
      <c r="D166" t="s">
        <v>234</v>
      </c>
      <c r="E166">
        <v>506</v>
      </c>
      <c r="F166">
        <v>18</v>
      </c>
      <c r="G166">
        <v>50</v>
      </c>
      <c r="H166">
        <v>32</v>
      </c>
    </row>
    <row r="167" spans="1:8" x14ac:dyDescent="0.25">
      <c r="A167" t="s">
        <v>831</v>
      </c>
      <c r="B167" t="s">
        <v>136</v>
      </c>
      <c r="C167" t="s">
        <v>102</v>
      </c>
      <c r="D167" t="s">
        <v>235</v>
      </c>
      <c r="E167">
        <v>412</v>
      </c>
      <c r="F167">
        <v>15</v>
      </c>
      <c r="G167">
        <v>50</v>
      </c>
      <c r="H167">
        <v>35</v>
      </c>
    </row>
    <row r="168" spans="1:8" x14ac:dyDescent="0.25">
      <c r="A168" t="s">
        <v>832</v>
      </c>
      <c r="B168" t="s">
        <v>136</v>
      </c>
      <c r="C168" t="s">
        <v>102</v>
      </c>
      <c r="D168" t="s">
        <v>236</v>
      </c>
      <c r="E168">
        <v>406</v>
      </c>
      <c r="F168">
        <v>19</v>
      </c>
      <c r="G168">
        <v>49</v>
      </c>
      <c r="H168">
        <v>32</v>
      </c>
    </row>
    <row r="169" spans="1:8" x14ac:dyDescent="0.25">
      <c r="A169" t="s">
        <v>833</v>
      </c>
      <c r="B169" t="s">
        <v>136</v>
      </c>
      <c r="C169" t="s">
        <v>102</v>
      </c>
      <c r="D169" t="s">
        <v>237</v>
      </c>
      <c r="E169">
        <v>475</v>
      </c>
      <c r="F169">
        <v>14</v>
      </c>
      <c r="G169">
        <v>55</v>
      </c>
      <c r="H169">
        <v>31</v>
      </c>
    </row>
    <row r="170" spans="1:8" x14ac:dyDescent="0.25">
      <c r="A170" t="s">
        <v>834</v>
      </c>
      <c r="B170" t="s">
        <v>136</v>
      </c>
      <c r="C170" t="s">
        <v>102</v>
      </c>
      <c r="D170" t="s">
        <v>238</v>
      </c>
      <c r="E170">
        <v>467</v>
      </c>
      <c r="F170">
        <v>14</v>
      </c>
      <c r="G170">
        <v>56</v>
      </c>
      <c r="H170">
        <v>30</v>
      </c>
    </row>
    <row r="171" spans="1:8" x14ac:dyDescent="0.25">
      <c r="A171" t="s">
        <v>835</v>
      </c>
      <c r="B171" t="s">
        <v>136</v>
      </c>
      <c r="C171" t="s">
        <v>102</v>
      </c>
      <c r="D171" t="s">
        <v>239</v>
      </c>
      <c r="E171">
        <v>416</v>
      </c>
      <c r="F171">
        <v>14</v>
      </c>
      <c r="G171">
        <v>51</v>
      </c>
      <c r="H171">
        <v>35</v>
      </c>
    </row>
    <row r="172" spans="1:8" x14ac:dyDescent="0.25">
      <c r="A172" t="s">
        <v>836</v>
      </c>
      <c r="B172" t="s">
        <v>136</v>
      </c>
      <c r="C172" t="s">
        <v>102</v>
      </c>
      <c r="D172" t="s">
        <v>47</v>
      </c>
      <c r="E172">
        <v>463</v>
      </c>
      <c r="F172">
        <v>16</v>
      </c>
      <c r="G172">
        <v>52</v>
      </c>
      <c r="H172">
        <v>32</v>
      </c>
    </row>
    <row r="173" spans="1:8" x14ac:dyDescent="0.25">
      <c r="A173" t="s">
        <v>837</v>
      </c>
      <c r="B173" t="s">
        <v>136</v>
      </c>
      <c r="C173" t="s">
        <v>31</v>
      </c>
      <c r="D173" t="s">
        <v>232</v>
      </c>
      <c r="E173">
        <v>635</v>
      </c>
      <c r="F173">
        <v>39</v>
      </c>
      <c r="G173">
        <v>46</v>
      </c>
      <c r="H173">
        <v>15</v>
      </c>
    </row>
    <row r="174" spans="1:8" x14ac:dyDescent="0.25">
      <c r="A174" t="s">
        <v>838</v>
      </c>
      <c r="B174" t="s">
        <v>136</v>
      </c>
      <c r="C174" t="s">
        <v>31</v>
      </c>
      <c r="D174" t="s">
        <v>233</v>
      </c>
      <c r="E174">
        <v>610</v>
      </c>
      <c r="F174">
        <v>42</v>
      </c>
      <c r="G174">
        <v>45</v>
      </c>
      <c r="H174">
        <v>13</v>
      </c>
    </row>
    <row r="175" spans="1:8" x14ac:dyDescent="0.25">
      <c r="A175" t="s">
        <v>839</v>
      </c>
      <c r="B175" t="s">
        <v>136</v>
      </c>
      <c r="C175" t="s">
        <v>31</v>
      </c>
      <c r="D175" t="s">
        <v>234</v>
      </c>
      <c r="E175">
        <v>628</v>
      </c>
      <c r="F175">
        <v>40</v>
      </c>
      <c r="G175">
        <v>47</v>
      </c>
      <c r="H175">
        <v>13</v>
      </c>
    </row>
    <row r="176" spans="1:8" x14ac:dyDescent="0.25">
      <c r="A176" t="s">
        <v>840</v>
      </c>
      <c r="B176" t="s">
        <v>136</v>
      </c>
      <c r="C176" t="s">
        <v>31</v>
      </c>
      <c r="D176" t="s">
        <v>235</v>
      </c>
      <c r="E176">
        <v>529</v>
      </c>
      <c r="F176">
        <v>32</v>
      </c>
      <c r="G176">
        <v>50</v>
      </c>
      <c r="H176">
        <v>18</v>
      </c>
    </row>
    <row r="177" spans="1:8" x14ac:dyDescent="0.25">
      <c r="A177" t="s">
        <v>841</v>
      </c>
      <c r="B177" t="s">
        <v>136</v>
      </c>
      <c r="C177" t="s">
        <v>31</v>
      </c>
      <c r="D177" t="s">
        <v>236</v>
      </c>
      <c r="E177">
        <v>539</v>
      </c>
      <c r="F177">
        <v>35</v>
      </c>
      <c r="G177">
        <v>51</v>
      </c>
      <c r="H177">
        <v>14</v>
      </c>
    </row>
    <row r="178" spans="1:8" x14ac:dyDescent="0.25">
      <c r="A178" t="s">
        <v>842</v>
      </c>
      <c r="B178" t="s">
        <v>136</v>
      </c>
      <c r="C178" t="s">
        <v>31</v>
      </c>
      <c r="D178" t="s">
        <v>237</v>
      </c>
      <c r="E178">
        <v>577</v>
      </c>
      <c r="F178">
        <v>38</v>
      </c>
      <c r="G178">
        <v>49</v>
      </c>
      <c r="H178">
        <v>13</v>
      </c>
    </row>
    <row r="179" spans="1:8" x14ac:dyDescent="0.25">
      <c r="A179" t="s">
        <v>843</v>
      </c>
      <c r="B179" t="s">
        <v>136</v>
      </c>
      <c r="C179" t="s">
        <v>31</v>
      </c>
      <c r="D179" t="s">
        <v>238</v>
      </c>
      <c r="E179">
        <v>616</v>
      </c>
      <c r="F179">
        <v>33</v>
      </c>
      <c r="G179">
        <v>51</v>
      </c>
      <c r="H179">
        <v>16</v>
      </c>
    </row>
    <row r="180" spans="1:8" x14ac:dyDescent="0.25">
      <c r="A180" t="s">
        <v>844</v>
      </c>
      <c r="B180" t="s">
        <v>136</v>
      </c>
      <c r="C180" t="s">
        <v>31</v>
      </c>
      <c r="D180" t="s">
        <v>239</v>
      </c>
      <c r="E180">
        <v>559</v>
      </c>
      <c r="F180">
        <v>33</v>
      </c>
      <c r="G180">
        <v>53</v>
      </c>
      <c r="H180">
        <v>14</v>
      </c>
    </row>
    <row r="181" spans="1:8" x14ac:dyDescent="0.25">
      <c r="A181" t="s">
        <v>845</v>
      </c>
      <c r="B181" t="s">
        <v>136</v>
      </c>
      <c r="C181" t="s">
        <v>31</v>
      </c>
      <c r="D181" t="s">
        <v>47</v>
      </c>
      <c r="E181">
        <v>607</v>
      </c>
      <c r="F181">
        <v>34</v>
      </c>
      <c r="G181">
        <v>50</v>
      </c>
      <c r="H181">
        <v>16</v>
      </c>
    </row>
    <row r="182" spans="1:8" x14ac:dyDescent="0.25">
      <c r="A182" t="s">
        <v>846</v>
      </c>
      <c r="B182" t="s">
        <v>37</v>
      </c>
      <c r="C182" t="s">
        <v>103</v>
      </c>
      <c r="D182" t="s">
        <v>232</v>
      </c>
      <c r="E182">
        <v>1734</v>
      </c>
      <c r="F182">
        <v>10</v>
      </c>
      <c r="G182">
        <v>64</v>
      </c>
      <c r="H182">
        <v>26</v>
      </c>
    </row>
    <row r="183" spans="1:8" x14ac:dyDescent="0.25">
      <c r="A183" t="s">
        <v>847</v>
      </c>
      <c r="B183" t="s">
        <v>37</v>
      </c>
      <c r="C183" t="s">
        <v>103</v>
      </c>
      <c r="D183" t="s">
        <v>233</v>
      </c>
      <c r="E183">
        <v>1609</v>
      </c>
      <c r="F183">
        <v>10</v>
      </c>
      <c r="G183">
        <v>68</v>
      </c>
      <c r="H183">
        <v>22</v>
      </c>
    </row>
    <row r="184" spans="1:8" x14ac:dyDescent="0.25">
      <c r="A184" t="s">
        <v>848</v>
      </c>
      <c r="B184" t="s">
        <v>37</v>
      </c>
      <c r="C184" t="s">
        <v>103</v>
      </c>
      <c r="D184" t="s">
        <v>234</v>
      </c>
      <c r="E184">
        <v>1640</v>
      </c>
      <c r="F184">
        <v>10</v>
      </c>
      <c r="G184">
        <v>67</v>
      </c>
      <c r="H184">
        <v>23</v>
      </c>
    </row>
    <row r="185" spans="1:8" x14ac:dyDescent="0.25">
      <c r="A185" t="s">
        <v>849</v>
      </c>
      <c r="B185" t="s">
        <v>37</v>
      </c>
      <c r="C185" t="s">
        <v>103</v>
      </c>
      <c r="D185" t="s">
        <v>235</v>
      </c>
      <c r="E185">
        <v>1384</v>
      </c>
      <c r="F185">
        <v>10</v>
      </c>
      <c r="G185">
        <v>68</v>
      </c>
      <c r="H185">
        <v>22</v>
      </c>
    </row>
    <row r="186" spans="1:8" x14ac:dyDescent="0.25">
      <c r="A186" t="s">
        <v>850</v>
      </c>
      <c r="B186" t="s">
        <v>37</v>
      </c>
      <c r="C186" t="s">
        <v>103</v>
      </c>
      <c r="D186" t="s">
        <v>236</v>
      </c>
      <c r="E186">
        <v>1416</v>
      </c>
      <c r="F186">
        <v>11</v>
      </c>
      <c r="G186">
        <v>70</v>
      </c>
      <c r="H186">
        <v>19</v>
      </c>
    </row>
    <row r="187" spans="1:8" x14ac:dyDescent="0.25">
      <c r="A187" t="s">
        <v>851</v>
      </c>
      <c r="B187" t="s">
        <v>37</v>
      </c>
      <c r="C187" t="s">
        <v>103</v>
      </c>
      <c r="D187" t="s">
        <v>237</v>
      </c>
      <c r="E187">
        <v>1517</v>
      </c>
      <c r="F187">
        <v>9</v>
      </c>
      <c r="G187">
        <v>71</v>
      </c>
      <c r="H187">
        <v>20</v>
      </c>
    </row>
    <row r="188" spans="1:8" x14ac:dyDescent="0.25">
      <c r="A188" t="s">
        <v>852</v>
      </c>
      <c r="B188" t="s">
        <v>37</v>
      </c>
      <c r="C188" t="s">
        <v>103</v>
      </c>
      <c r="D188" t="s">
        <v>238</v>
      </c>
      <c r="E188">
        <v>1591</v>
      </c>
      <c r="F188">
        <v>11</v>
      </c>
      <c r="G188">
        <v>69</v>
      </c>
      <c r="H188">
        <v>20</v>
      </c>
    </row>
    <row r="189" spans="1:8" x14ac:dyDescent="0.25">
      <c r="A189" t="s">
        <v>853</v>
      </c>
      <c r="B189" t="s">
        <v>37</v>
      </c>
      <c r="C189" t="s">
        <v>103</v>
      </c>
      <c r="D189" t="s">
        <v>239</v>
      </c>
      <c r="E189">
        <v>1526</v>
      </c>
      <c r="F189">
        <v>11</v>
      </c>
      <c r="G189">
        <v>69</v>
      </c>
      <c r="H189">
        <v>20</v>
      </c>
    </row>
    <row r="190" spans="1:8" x14ac:dyDescent="0.25">
      <c r="A190" t="s">
        <v>854</v>
      </c>
      <c r="B190" t="s">
        <v>37</v>
      </c>
      <c r="C190" t="s">
        <v>103</v>
      </c>
      <c r="D190" t="s">
        <v>47</v>
      </c>
      <c r="E190">
        <v>1532</v>
      </c>
      <c r="F190">
        <v>10</v>
      </c>
      <c r="G190">
        <v>68</v>
      </c>
      <c r="H190">
        <v>22</v>
      </c>
    </row>
    <row r="191" spans="1:8" x14ac:dyDescent="0.25">
      <c r="A191" t="s">
        <v>855</v>
      </c>
      <c r="B191" t="s">
        <v>37</v>
      </c>
      <c r="C191" t="s">
        <v>100</v>
      </c>
      <c r="D191" t="s">
        <v>232</v>
      </c>
      <c r="E191">
        <v>1751</v>
      </c>
      <c r="F191">
        <v>6</v>
      </c>
      <c r="G191">
        <v>50</v>
      </c>
      <c r="H191">
        <v>44</v>
      </c>
    </row>
    <row r="192" spans="1:8" x14ac:dyDescent="0.25">
      <c r="A192" t="s">
        <v>856</v>
      </c>
      <c r="B192" t="s">
        <v>37</v>
      </c>
      <c r="C192" t="s">
        <v>100</v>
      </c>
      <c r="D192" t="s">
        <v>233</v>
      </c>
      <c r="E192">
        <v>1619</v>
      </c>
      <c r="F192">
        <v>11</v>
      </c>
      <c r="G192">
        <v>55</v>
      </c>
      <c r="H192">
        <v>34</v>
      </c>
    </row>
    <row r="193" spans="1:8" x14ac:dyDescent="0.25">
      <c r="A193" t="s">
        <v>857</v>
      </c>
      <c r="B193" t="s">
        <v>37</v>
      </c>
      <c r="C193" t="s">
        <v>100</v>
      </c>
      <c r="D193" t="s">
        <v>234</v>
      </c>
      <c r="E193">
        <v>1647</v>
      </c>
      <c r="F193">
        <v>7</v>
      </c>
      <c r="G193">
        <v>55</v>
      </c>
      <c r="H193">
        <v>38</v>
      </c>
    </row>
    <row r="194" spans="1:8" x14ac:dyDescent="0.25">
      <c r="A194" t="s">
        <v>858</v>
      </c>
      <c r="B194" t="s">
        <v>37</v>
      </c>
      <c r="C194" t="s">
        <v>100</v>
      </c>
      <c r="D194" t="s">
        <v>235</v>
      </c>
      <c r="E194">
        <v>1405</v>
      </c>
      <c r="F194">
        <v>10</v>
      </c>
      <c r="G194">
        <v>55</v>
      </c>
      <c r="H194">
        <v>35</v>
      </c>
    </row>
    <row r="195" spans="1:8" x14ac:dyDescent="0.25">
      <c r="A195" t="s">
        <v>859</v>
      </c>
      <c r="B195" t="s">
        <v>37</v>
      </c>
      <c r="C195" t="s">
        <v>100</v>
      </c>
      <c r="D195" t="s">
        <v>236</v>
      </c>
      <c r="E195">
        <v>1463</v>
      </c>
      <c r="F195">
        <v>13</v>
      </c>
      <c r="G195">
        <v>61</v>
      </c>
      <c r="H195">
        <v>26</v>
      </c>
    </row>
    <row r="196" spans="1:8" x14ac:dyDescent="0.25">
      <c r="A196" t="s">
        <v>860</v>
      </c>
      <c r="B196" t="s">
        <v>37</v>
      </c>
      <c r="C196" t="s">
        <v>100</v>
      </c>
      <c r="D196" t="s">
        <v>237</v>
      </c>
      <c r="E196">
        <v>1533</v>
      </c>
      <c r="F196">
        <v>11</v>
      </c>
      <c r="G196">
        <v>61</v>
      </c>
      <c r="H196">
        <v>28</v>
      </c>
    </row>
    <row r="197" spans="1:8" x14ac:dyDescent="0.25">
      <c r="A197" t="s">
        <v>861</v>
      </c>
      <c r="B197" t="s">
        <v>37</v>
      </c>
      <c r="C197" t="s">
        <v>100</v>
      </c>
      <c r="D197" t="s">
        <v>238</v>
      </c>
      <c r="E197">
        <v>1608</v>
      </c>
      <c r="F197">
        <v>12</v>
      </c>
      <c r="G197">
        <v>62</v>
      </c>
      <c r="H197">
        <v>26</v>
      </c>
    </row>
    <row r="198" spans="1:8" x14ac:dyDescent="0.25">
      <c r="A198" t="s">
        <v>862</v>
      </c>
      <c r="B198" t="s">
        <v>37</v>
      </c>
      <c r="C198" t="s">
        <v>100</v>
      </c>
      <c r="D198" t="s">
        <v>239</v>
      </c>
      <c r="E198">
        <v>1544</v>
      </c>
      <c r="F198">
        <v>10</v>
      </c>
      <c r="G198">
        <v>60</v>
      </c>
      <c r="H198">
        <v>30</v>
      </c>
    </row>
    <row r="199" spans="1:8" x14ac:dyDescent="0.25">
      <c r="A199" t="s">
        <v>863</v>
      </c>
      <c r="B199" t="s">
        <v>37</v>
      </c>
      <c r="C199" t="s">
        <v>100</v>
      </c>
      <c r="D199" t="s">
        <v>47</v>
      </c>
      <c r="E199">
        <v>1563</v>
      </c>
      <c r="F199">
        <v>8</v>
      </c>
      <c r="G199">
        <v>62</v>
      </c>
      <c r="H199">
        <v>30</v>
      </c>
    </row>
    <row r="200" spans="1:8" x14ac:dyDescent="0.25">
      <c r="A200" t="s">
        <v>864</v>
      </c>
      <c r="B200" t="s">
        <v>37</v>
      </c>
      <c r="C200" t="s">
        <v>101</v>
      </c>
      <c r="D200" t="s">
        <v>232</v>
      </c>
    </row>
    <row r="201" spans="1:8" x14ac:dyDescent="0.25">
      <c r="A201" t="s">
        <v>865</v>
      </c>
      <c r="B201" t="s">
        <v>37</v>
      </c>
      <c r="C201" t="s">
        <v>101</v>
      </c>
      <c r="D201" t="s">
        <v>233</v>
      </c>
    </row>
    <row r="202" spans="1:8" x14ac:dyDescent="0.25">
      <c r="A202" t="s">
        <v>866</v>
      </c>
      <c r="B202" t="s">
        <v>37</v>
      </c>
      <c r="C202" t="s">
        <v>101</v>
      </c>
      <c r="D202" t="s">
        <v>234</v>
      </c>
    </row>
    <row r="203" spans="1:8" x14ac:dyDescent="0.25">
      <c r="A203" t="s">
        <v>867</v>
      </c>
      <c r="B203" t="s">
        <v>37</v>
      </c>
      <c r="C203" t="s">
        <v>101</v>
      </c>
      <c r="D203" t="s">
        <v>235</v>
      </c>
    </row>
    <row r="204" spans="1:8" x14ac:dyDescent="0.25">
      <c r="A204" t="s">
        <v>868</v>
      </c>
      <c r="B204" t="s">
        <v>37</v>
      </c>
      <c r="C204" t="s">
        <v>101</v>
      </c>
      <c r="D204" t="s">
        <v>236</v>
      </c>
    </row>
    <row r="205" spans="1:8" x14ac:dyDescent="0.25">
      <c r="A205" t="s">
        <v>869</v>
      </c>
      <c r="B205" t="s">
        <v>37</v>
      </c>
      <c r="C205" t="s">
        <v>101</v>
      </c>
      <c r="D205" t="s">
        <v>237</v>
      </c>
    </row>
    <row r="206" spans="1:8" x14ac:dyDescent="0.25">
      <c r="A206" t="s">
        <v>870</v>
      </c>
      <c r="B206" t="s">
        <v>37</v>
      </c>
      <c r="C206" t="s">
        <v>101</v>
      </c>
      <c r="D206" t="s">
        <v>238</v>
      </c>
    </row>
    <row r="207" spans="1:8" x14ac:dyDescent="0.25">
      <c r="A207" t="s">
        <v>871</v>
      </c>
      <c r="B207" t="s">
        <v>37</v>
      </c>
      <c r="C207" t="s">
        <v>101</v>
      </c>
      <c r="D207" t="s">
        <v>239</v>
      </c>
    </row>
    <row r="208" spans="1:8" x14ac:dyDescent="0.25">
      <c r="A208" t="s">
        <v>872</v>
      </c>
      <c r="B208" t="s">
        <v>37</v>
      </c>
      <c r="C208" t="s">
        <v>101</v>
      </c>
      <c r="D208" t="s">
        <v>47</v>
      </c>
    </row>
    <row r="209" spans="1:8" x14ac:dyDescent="0.25">
      <c r="A209" t="s">
        <v>873</v>
      </c>
      <c r="B209" t="s">
        <v>37</v>
      </c>
      <c r="C209" t="s">
        <v>102</v>
      </c>
      <c r="D209" t="s">
        <v>232</v>
      </c>
      <c r="E209">
        <v>1410</v>
      </c>
      <c r="F209">
        <v>13</v>
      </c>
      <c r="G209">
        <v>47</v>
      </c>
      <c r="H209">
        <v>40</v>
      </c>
    </row>
    <row r="210" spans="1:8" x14ac:dyDescent="0.25">
      <c r="A210" t="s">
        <v>874</v>
      </c>
      <c r="B210" t="s">
        <v>37</v>
      </c>
      <c r="C210" t="s">
        <v>102</v>
      </c>
      <c r="D210" t="s">
        <v>233</v>
      </c>
      <c r="E210">
        <v>1303</v>
      </c>
      <c r="F210">
        <v>13</v>
      </c>
      <c r="G210">
        <v>49</v>
      </c>
      <c r="H210">
        <v>38</v>
      </c>
    </row>
    <row r="211" spans="1:8" x14ac:dyDescent="0.25">
      <c r="A211" t="s">
        <v>875</v>
      </c>
      <c r="B211" t="s">
        <v>37</v>
      </c>
      <c r="C211" t="s">
        <v>102</v>
      </c>
      <c r="D211" t="s">
        <v>234</v>
      </c>
      <c r="E211">
        <v>1336</v>
      </c>
      <c r="F211">
        <v>13</v>
      </c>
      <c r="G211">
        <v>51</v>
      </c>
      <c r="H211">
        <v>36</v>
      </c>
    </row>
    <row r="212" spans="1:8" x14ac:dyDescent="0.25">
      <c r="A212" t="s">
        <v>876</v>
      </c>
      <c r="B212" t="s">
        <v>37</v>
      </c>
      <c r="C212" t="s">
        <v>102</v>
      </c>
      <c r="D212" t="s">
        <v>235</v>
      </c>
      <c r="E212">
        <v>1119</v>
      </c>
      <c r="F212">
        <v>13</v>
      </c>
      <c r="G212">
        <v>50</v>
      </c>
      <c r="H212">
        <v>37</v>
      </c>
    </row>
    <row r="213" spans="1:8" x14ac:dyDescent="0.25">
      <c r="A213" t="s">
        <v>877</v>
      </c>
      <c r="B213" t="s">
        <v>37</v>
      </c>
      <c r="C213" t="s">
        <v>102</v>
      </c>
      <c r="D213" t="s">
        <v>236</v>
      </c>
      <c r="E213">
        <v>1134</v>
      </c>
      <c r="F213">
        <v>17</v>
      </c>
      <c r="G213">
        <v>52</v>
      </c>
      <c r="H213">
        <v>31</v>
      </c>
    </row>
    <row r="214" spans="1:8" x14ac:dyDescent="0.25">
      <c r="A214" t="s">
        <v>878</v>
      </c>
      <c r="B214" t="s">
        <v>37</v>
      </c>
      <c r="C214" t="s">
        <v>102</v>
      </c>
      <c r="D214" t="s">
        <v>237</v>
      </c>
      <c r="E214">
        <v>1273</v>
      </c>
      <c r="F214">
        <v>14</v>
      </c>
      <c r="G214">
        <v>53</v>
      </c>
      <c r="H214">
        <v>33</v>
      </c>
    </row>
    <row r="215" spans="1:8" x14ac:dyDescent="0.25">
      <c r="A215" t="s">
        <v>879</v>
      </c>
      <c r="B215" t="s">
        <v>37</v>
      </c>
      <c r="C215" t="s">
        <v>102</v>
      </c>
      <c r="D215" t="s">
        <v>238</v>
      </c>
      <c r="E215">
        <v>1295</v>
      </c>
      <c r="F215">
        <v>14</v>
      </c>
      <c r="G215">
        <v>57</v>
      </c>
      <c r="H215">
        <v>29</v>
      </c>
    </row>
    <row r="216" spans="1:8" x14ac:dyDescent="0.25">
      <c r="A216" t="s">
        <v>880</v>
      </c>
      <c r="B216" t="s">
        <v>37</v>
      </c>
      <c r="C216" t="s">
        <v>102</v>
      </c>
      <c r="D216" t="s">
        <v>239</v>
      </c>
      <c r="E216">
        <v>1225</v>
      </c>
      <c r="F216">
        <v>15</v>
      </c>
      <c r="G216">
        <v>51</v>
      </c>
      <c r="H216">
        <v>34</v>
      </c>
    </row>
    <row r="217" spans="1:8" x14ac:dyDescent="0.25">
      <c r="A217" t="s">
        <v>881</v>
      </c>
      <c r="B217" t="s">
        <v>37</v>
      </c>
      <c r="C217" t="s">
        <v>102</v>
      </c>
      <c r="D217" t="s">
        <v>47</v>
      </c>
      <c r="E217">
        <v>1248</v>
      </c>
      <c r="F217">
        <v>15</v>
      </c>
      <c r="G217">
        <v>51</v>
      </c>
      <c r="H217">
        <v>34</v>
      </c>
    </row>
    <row r="218" spans="1:8" x14ac:dyDescent="0.25">
      <c r="A218" t="s">
        <v>882</v>
      </c>
      <c r="B218" t="s">
        <v>37</v>
      </c>
      <c r="C218" t="s">
        <v>31</v>
      </c>
      <c r="D218" t="s">
        <v>232</v>
      </c>
      <c r="E218">
        <v>1772</v>
      </c>
      <c r="F218">
        <v>30</v>
      </c>
      <c r="G218">
        <v>48</v>
      </c>
      <c r="H218">
        <v>22</v>
      </c>
    </row>
    <row r="219" spans="1:8" x14ac:dyDescent="0.25">
      <c r="A219" t="s">
        <v>883</v>
      </c>
      <c r="B219" t="s">
        <v>37</v>
      </c>
      <c r="C219" t="s">
        <v>31</v>
      </c>
      <c r="D219" t="s">
        <v>233</v>
      </c>
      <c r="E219">
        <v>1642</v>
      </c>
      <c r="F219">
        <v>32</v>
      </c>
      <c r="G219">
        <v>49</v>
      </c>
      <c r="H219">
        <v>19</v>
      </c>
    </row>
    <row r="220" spans="1:8" x14ac:dyDescent="0.25">
      <c r="A220" t="s">
        <v>884</v>
      </c>
      <c r="B220" t="s">
        <v>37</v>
      </c>
      <c r="C220" t="s">
        <v>31</v>
      </c>
      <c r="D220" t="s">
        <v>234</v>
      </c>
      <c r="E220">
        <v>1671</v>
      </c>
      <c r="F220">
        <v>32</v>
      </c>
      <c r="G220">
        <v>51</v>
      </c>
      <c r="H220">
        <v>17</v>
      </c>
    </row>
    <row r="221" spans="1:8" x14ac:dyDescent="0.25">
      <c r="A221" t="s">
        <v>885</v>
      </c>
      <c r="B221" t="s">
        <v>37</v>
      </c>
      <c r="C221" t="s">
        <v>31</v>
      </c>
      <c r="D221" t="s">
        <v>235</v>
      </c>
      <c r="E221">
        <v>1429</v>
      </c>
      <c r="F221">
        <v>27</v>
      </c>
      <c r="G221">
        <v>51</v>
      </c>
      <c r="H221">
        <v>22</v>
      </c>
    </row>
    <row r="222" spans="1:8" x14ac:dyDescent="0.25">
      <c r="A222" t="s">
        <v>886</v>
      </c>
      <c r="B222" t="s">
        <v>37</v>
      </c>
      <c r="C222" t="s">
        <v>31</v>
      </c>
      <c r="D222" t="s">
        <v>236</v>
      </c>
      <c r="E222">
        <v>1490</v>
      </c>
      <c r="F222">
        <v>29</v>
      </c>
      <c r="G222">
        <v>51</v>
      </c>
      <c r="H222">
        <v>20</v>
      </c>
    </row>
    <row r="223" spans="1:8" x14ac:dyDescent="0.25">
      <c r="A223" t="s">
        <v>887</v>
      </c>
      <c r="B223" t="s">
        <v>37</v>
      </c>
      <c r="C223" t="s">
        <v>31</v>
      </c>
      <c r="D223" t="s">
        <v>237</v>
      </c>
      <c r="E223">
        <v>1548</v>
      </c>
      <c r="F223">
        <v>31</v>
      </c>
      <c r="G223">
        <v>52</v>
      </c>
      <c r="H223">
        <v>17</v>
      </c>
    </row>
    <row r="224" spans="1:8" x14ac:dyDescent="0.25">
      <c r="A224" t="s">
        <v>888</v>
      </c>
      <c r="B224" t="s">
        <v>37</v>
      </c>
      <c r="C224" t="s">
        <v>31</v>
      </c>
      <c r="D224" t="s">
        <v>238</v>
      </c>
      <c r="E224">
        <v>1653</v>
      </c>
      <c r="F224">
        <v>28</v>
      </c>
      <c r="G224">
        <v>53</v>
      </c>
      <c r="H224">
        <v>19</v>
      </c>
    </row>
    <row r="225" spans="1:8" x14ac:dyDescent="0.25">
      <c r="A225" t="s">
        <v>889</v>
      </c>
      <c r="B225" t="s">
        <v>37</v>
      </c>
      <c r="C225" t="s">
        <v>31</v>
      </c>
      <c r="D225" t="s">
        <v>239</v>
      </c>
      <c r="E225">
        <v>1552</v>
      </c>
      <c r="F225">
        <v>26</v>
      </c>
      <c r="G225">
        <v>55</v>
      </c>
      <c r="H225">
        <v>19</v>
      </c>
    </row>
    <row r="226" spans="1:8" x14ac:dyDescent="0.25">
      <c r="A226" t="s">
        <v>890</v>
      </c>
      <c r="B226" t="s">
        <v>37</v>
      </c>
      <c r="C226" t="s">
        <v>31</v>
      </c>
      <c r="D226" t="s">
        <v>47</v>
      </c>
      <c r="E226">
        <v>1569</v>
      </c>
      <c r="F226">
        <v>29</v>
      </c>
      <c r="G226">
        <v>54</v>
      </c>
      <c r="H226">
        <v>17</v>
      </c>
    </row>
    <row r="227" spans="1:8" x14ac:dyDescent="0.25">
      <c r="A227" t="s">
        <v>891</v>
      </c>
      <c r="B227" t="s">
        <v>144</v>
      </c>
      <c r="C227" t="s">
        <v>103</v>
      </c>
      <c r="D227" t="s">
        <v>232</v>
      </c>
      <c r="E227">
        <v>1376</v>
      </c>
      <c r="F227">
        <v>6</v>
      </c>
      <c r="G227">
        <v>71</v>
      </c>
      <c r="H227">
        <v>23</v>
      </c>
    </row>
    <row r="228" spans="1:8" x14ac:dyDescent="0.25">
      <c r="A228" t="s">
        <v>892</v>
      </c>
      <c r="B228" t="s">
        <v>144</v>
      </c>
      <c r="C228" t="s">
        <v>103</v>
      </c>
      <c r="D228" t="s">
        <v>233</v>
      </c>
      <c r="E228">
        <v>1440</v>
      </c>
      <c r="F228">
        <v>8</v>
      </c>
      <c r="G228">
        <v>69</v>
      </c>
      <c r="H228">
        <v>23</v>
      </c>
    </row>
    <row r="229" spans="1:8" x14ac:dyDescent="0.25">
      <c r="A229" t="s">
        <v>893</v>
      </c>
      <c r="B229" t="s">
        <v>144</v>
      </c>
      <c r="C229" t="s">
        <v>103</v>
      </c>
      <c r="D229" t="s">
        <v>234</v>
      </c>
      <c r="E229">
        <v>1456</v>
      </c>
      <c r="F229">
        <v>6</v>
      </c>
      <c r="G229">
        <v>70</v>
      </c>
      <c r="H229">
        <v>24</v>
      </c>
    </row>
    <row r="230" spans="1:8" x14ac:dyDescent="0.25">
      <c r="A230" t="s">
        <v>894</v>
      </c>
      <c r="B230" t="s">
        <v>144</v>
      </c>
      <c r="C230" t="s">
        <v>103</v>
      </c>
      <c r="D230" t="s">
        <v>235</v>
      </c>
      <c r="E230">
        <v>1145</v>
      </c>
      <c r="F230">
        <v>7</v>
      </c>
      <c r="G230">
        <v>71</v>
      </c>
      <c r="H230">
        <v>22</v>
      </c>
    </row>
    <row r="231" spans="1:8" x14ac:dyDescent="0.25">
      <c r="A231" t="s">
        <v>895</v>
      </c>
      <c r="B231" t="s">
        <v>144</v>
      </c>
      <c r="C231" t="s">
        <v>103</v>
      </c>
      <c r="D231" t="s">
        <v>236</v>
      </c>
      <c r="E231">
        <v>1312</v>
      </c>
      <c r="F231">
        <v>5</v>
      </c>
      <c r="G231">
        <v>71</v>
      </c>
      <c r="H231">
        <v>24</v>
      </c>
    </row>
    <row r="232" spans="1:8" x14ac:dyDescent="0.25">
      <c r="A232" t="s">
        <v>896</v>
      </c>
      <c r="B232" t="s">
        <v>144</v>
      </c>
      <c r="C232" t="s">
        <v>103</v>
      </c>
      <c r="D232" t="s">
        <v>237</v>
      </c>
      <c r="E232">
        <v>1305</v>
      </c>
      <c r="F232">
        <v>5</v>
      </c>
      <c r="G232">
        <v>68</v>
      </c>
      <c r="H232">
        <v>27</v>
      </c>
    </row>
    <row r="233" spans="1:8" x14ac:dyDescent="0.25">
      <c r="A233" t="s">
        <v>897</v>
      </c>
      <c r="B233" t="s">
        <v>144</v>
      </c>
      <c r="C233" t="s">
        <v>103</v>
      </c>
      <c r="D233" t="s">
        <v>238</v>
      </c>
      <c r="E233">
        <v>1287</v>
      </c>
      <c r="F233">
        <v>6</v>
      </c>
      <c r="G233">
        <v>70</v>
      </c>
      <c r="H233">
        <v>24</v>
      </c>
    </row>
    <row r="234" spans="1:8" x14ac:dyDescent="0.25">
      <c r="A234" t="s">
        <v>898</v>
      </c>
      <c r="B234" t="s">
        <v>144</v>
      </c>
      <c r="C234" t="s">
        <v>103</v>
      </c>
      <c r="D234" t="s">
        <v>239</v>
      </c>
      <c r="E234">
        <v>1402</v>
      </c>
      <c r="F234">
        <v>5</v>
      </c>
      <c r="G234">
        <v>70</v>
      </c>
      <c r="H234">
        <v>25</v>
      </c>
    </row>
    <row r="235" spans="1:8" x14ac:dyDescent="0.25">
      <c r="A235" t="s">
        <v>899</v>
      </c>
      <c r="B235" t="s">
        <v>144</v>
      </c>
      <c r="C235" t="s">
        <v>103</v>
      </c>
      <c r="D235" t="s">
        <v>47</v>
      </c>
      <c r="E235">
        <v>1247</v>
      </c>
      <c r="F235">
        <v>4</v>
      </c>
      <c r="G235">
        <v>73</v>
      </c>
      <c r="H235">
        <v>23</v>
      </c>
    </row>
    <row r="236" spans="1:8" x14ac:dyDescent="0.25">
      <c r="A236" t="s">
        <v>900</v>
      </c>
      <c r="B236" t="s">
        <v>144</v>
      </c>
      <c r="C236" t="s">
        <v>100</v>
      </c>
      <c r="D236" t="s">
        <v>232</v>
      </c>
      <c r="E236">
        <v>1419</v>
      </c>
      <c r="F236">
        <v>12</v>
      </c>
      <c r="G236">
        <v>43</v>
      </c>
      <c r="H236">
        <v>45</v>
      </c>
    </row>
    <row r="237" spans="1:8" x14ac:dyDescent="0.25">
      <c r="A237" t="s">
        <v>901</v>
      </c>
      <c r="B237" t="s">
        <v>144</v>
      </c>
      <c r="C237" t="s">
        <v>100</v>
      </c>
      <c r="D237" t="s">
        <v>233</v>
      </c>
      <c r="E237">
        <v>1476</v>
      </c>
      <c r="F237">
        <v>21</v>
      </c>
      <c r="G237">
        <v>50</v>
      </c>
      <c r="H237">
        <v>29</v>
      </c>
    </row>
    <row r="238" spans="1:8" x14ac:dyDescent="0.25">
      <c r="A238" t="s">
        <v>902</v>
      </c>
      <c r="B238" t="s">
        <v>144</v>
      </c>
      <c r="C238" t="s">
        <v>100</v>
      </c>
      <c r="D238" t="s">
        <v>234</v>
      </c>
      <c r="E238">
        <v>1503</v>
      </c>
      <c r="F238">
        <v>8</v>
      </c>
      <c r="G238">
        <v>51</v>
      </c>
      <c r="H238">
        <v>41</v>
      </c>
    </row>
    <row r="239" spans="1:8" x14ac:dyDescent="0.25">
      <c r="A239" t="s">
        <v>903</v>
      </c>
      <c r="B239" t="s">
        <v>144</v>
      </c>
      <c r="C239" t="s">
        <v>100</v>
      </c>
      <c r="D239" t="s">
        <v>235</v>
      </c>
      <c r="E239">
        <v>1174</v>
      </c>
      <c r="F239">
        <v>10</v>
      </c>
      <c r="G239">
        <v>52</v>
      </c>
      <c r="H239">
        <v>38</v>
      </c>
    </row>
    <row r="240" spans="1:8" x14ac:dyDescent="0.25">
      <c r="A240" t="s">
        <v>904</v>
      </c>
      <c r="B240" t="s">
        <v>144</v>
      </c>
      <c r="C240" t="s">
        <v>100</v>
      </c>
      <c r="D240" t="s">
        <v>236</v>
      </c>
      <c r="E240">
        <v>1361</v>
      </c>
      <c r="F240">
        <v>19</v>
      </c>
      <c r="G240">
        <v>49</v>
      </c>
      <c r="H240">
        <v>32</v>
      </c>
    </row>
    <row r="241" spans="1:8" x14ac:dyDescent="0.25">
      <c r="A241" t="s">
        <v>905</v>
      </c>
      <c r="B241" t="s">
        <v>144</v>
      </c>
      <c r="C241" t="s">
        <v>100</v>
      </c>
      <c r="D241" t="s">
        <v>237</v>
      </c>
      <c r="E241">
        <v>1353</v>
      </c>
      <c r="F241">
        <v>9</v>
      </c>
      <c r="G241">
        <v>53</v>
      </c>
      <c r="H241">
        <v>38</v>
      </c>
    </row>
    <row r="242" spans="1:8" x14ac:dyDescent="0.25">
      <c r="A242" t="s">
        <v>906</v>
      </c>
      <c r="B242" t="s">
        <v>144</v>
      </c>
      <c r="C242" t="s">
        <v>100</v>
      </c>
      <c r="D242" t="s">
        <v>238</v>
      </c>
      <c r="E242">
        <v>1330</v>
      </c>
      <c r="F242">
        <v>13</v>
      </c>
      <c r="G242">
        <v>58</v>
      </c>
      <c r="H242">
        <v>29</v>
      </c>
    </row>
    <row r="243" spans="1:8" x14ac:dyDescent="0.25">
      <c r="A243" t="s">
        <v>907</v>
      </c>
      <c r="B243" t="s">
        <v>144</v>
      </c>
      <c r="C243" t="s">
        <v>100</v>
      </c>
      <c r="D243" t="s">
        <v>239</v>
      </c>
      <c r="E243">
        <v>1440</v>
      </c>
      <c r="F243">
        <v>14</v>
      </c>
      <c r="G243">
        <v>49</v>
      </c>
      <c r="H243">
        <v>37</v>
      </c>
    </row>
    <row r="244" spans="1:8" x14ac:dyDescent="0.25">
      <c r="A244" t="s">
        <v>908</v>
      </c>
      <c r="B244" t="s">
        <v>144</v>
      </c>
      <c r="C244" t="s">
        <v>100</v>
      </c>
      <c r="D244" t="s">
        <v>47</v>
      </c>
      <c r="E244">
        <v>1298</v>
      </c>
      <c r="F244">
        <v>7</v>
      </c>
      <c r="G244">
        <v>55</v>
      </c>
      <c r="H244">
        <v>38</v>
      </c>
    </row>
    <row r="245" spans="1:8" x14ac:dyDescent="0.25">
      <c r="A245" t="s">
        <v>909</v>
      </c>
      <c r="B245" t="s">
        <v>144</v>
      </c>
      <c r="C245" t="s">
        <v>101</v>
      </c>
      <c r="D245" t="s">
        <v>232</v>
      </c>
    </row>
    <row r="246" spans="1:8" x14ac:dyDescent="0.25">
      <c r="A246" t="s">
        <v>910</v>
      </c>
      <c r="B246" t="s">
        <v>144</v>
      </c>
      <c r="C246" t="s">
        <v>101</v>
      </c>
      <c r="D246" t="s">
        <v>233</v>
      </c>
    </row>
    <row r="247" spans="1:8" x14ac:dyDescent="0.25">
      <c r="A247" t="s">
        <v>911</v>
      </c>
      <c r="B247" t="s">
        <v>144</v>
      </c>
      <c r="C247" t="s">
        <v>101</v>
      </c>
      <c r="D247" t="s">
        <v>234</v>
      </c>
    </row>
    <row r="248" spans="1:8" x14ac:dyDescent="0.25">
      <c r="A248" t="s">
        <v>912</v>
      </c>
      <c r="B248" t="s">
        <v>144</v>
      </c>
      <c r="C248" t="s">
        <v>101</v>
      </c>
      <c r="D248" t="s">
        <v>235</v>
      </c>
    </row>
    <row r="249" spans="1:8" x14ac:dyDescent="0.25">
      <c r="A249" t="s">
        <v>913</v>
      </c>
      <c r="B249" t="s">
        <v>144</v>
      </c>
      <c r="C249" t="s">
        <v>101</v>
      </c>
      <c r="D249" t="s">
        <v>236</v>
      </c>
    </row>
    <row r="250" spans="1:8" x14ac:dyDescent="0.25">
      <c r="A250" t="s">
        <v>914</v>
      </c>
      <c r="B250" t="s">
        <v>144</v>
      </c>
      <c r="C250" t="s">
        <v>101</v>
      </c>
      <c r="D250" t="s">
        <v>237</v>
      </c>
    </row>
    <row r="251" spans="1:8" x14ac:dyDescent="0.25">
      <c r="A251" t="s">
        <v>915</v>
      </c>
      <c r="B251" t="s">
        <v>144</v>
      </c>
      <c r="C251" t="s">
        <v>101</v>
      </c>
      <c r="D251" t="s">
        <v>238</v>
      </c>
    </row>
    <row r="252" spans="1:8" x14ac:dyDescent="0.25">
      <c r="A252" t="s">
        <v>916</v>
      </c>
      <c r="B252" t="s">
        <v>144</v>
      </c>
      <c r="C252" t="s">
        <v>101</v>
      </c>
      <c r="D252" t="s">
        <v>239</v>
      </c>
    </row>
    <row r="253" spans="1:8" x14ac:dyDescent="0.25">
      <c r="A253" t="s">
        <v>917</v>
      </c>
      <c r="B253" t="s">
        <v>144</v>
      </c>
      <c r="C253" t="s">
        <v>101</v>
      </c>
      <c r="D253" t="s">
        <v>47</v>
      </c>
    </row>
    <row r="254" spans="1:8" x14ac:dyDescent="0.25">
      <c r="A254" t="s">
        <v>918</v>
      </c>
      <c r="B254" t="s">
        <v>144</v>
      </c>
      <c r="C254" t="s">
        <v>102</v>
      </c>
      <c r="D254" t="s">
        <v>232</v>
      </c>
      <c r="E254">
        <v>1168</v>
      </c>
      <c r="F254">
        <v>24</v>
      </c>
      <c r="G254">
        <v>34</v>
      </c>
      <c r="H254">
        <v>42</v>
      </c>
    </row>
    <row r="255" spans="1:8" x14ac:dyDescent="0.25">
      <c r="A255" t="s">
        <v>919</v>
      </c>
      <c r="B255" t="s">
        <v>144</v>
      </c>
      <c r="C255" t="s">
        <v>102</v>
      </c>
      <c r="D255" t="s">
        <v>233</v>
      </c>
      <c r="E255">
        <v>1187</v>
      </c>
      <c r="F255">
        <v>27</v>
      </c>
      <c r="G255">
        <v>33</v>
      </c>
      <c r="H255">
        <v>40</v>
      </c>
    </row>
    <row r="256" spans="1:8" x14ac:dyDescent="0.25">
      <c r="A256" t="s">
        <v>920</v>
      </c>
      <c r="B256" t="s">
        <v>144</v>
      </c>
      <c r="C256" t="s">
        <v>102</v>
      </c>
      <c r="D256" t="s">
        <v>234</v>
      </c>
      <c r="E256">
        <v>1242</v>
      </c>
      <c r="F256">
        <v>25</v>
      </c>
      <c r="G256">
        <v>37</v>
      </c>
      <c r="H256">
        <v>38</v>
      </c>
    </row>
    <row r="257" spans="1:8" x14ac:dyDescent="0.25">
      <c r="A257" t="s">
        <v>921</v>
      </c>
      <c r="B257" t="s">
        <v>144</v>
      </c>
      <c r="C257" t="s">
        <v>102</v>
      </c>
      <c r="D257" t="s">
        <v>235</v>
      </c>
      <c r="E257">
        <v>972</v>
      </c>
      <c r="F257">
        <v>23</v>
      </c>
      <c r="G257">
        <v>38</v>
      </c>
      <c r="H257">
        <v>39</v>
      </c>
    </row>
    <row r="258" spans="1:8" x14ac:dyDescent="0.25">
      <c r="A258" t="s">
        <v>922</v>
      </c>
      <c r="B258" t="s">
        <v>144</v>
      </c>
      <c r="C258" t="s">
        <v>102</v>
      </c>
      <c r="D258" t="s">
        <v>236</v>
      </c>
      <c r="E258">
        <v>1081</v>
      </c>
      <c r="F258">
        <v>24</v>
      </c>
      <c r="G258">
        <v>34</v>
      </c>
      <c r="H258">
        <v>42</v>
      </c>
    </row>
    <row r="259" spans="1:8" x14ac:dyDescent="0.25">
      <c r="A259" t="s">
        <v>923</v>
      </c>
      <c r="B259" t="s">
        <v>144</v>
      </c>
      <c r="C259" t="s">
        <v>102</v>
      </c>
      <c r="D259" t="s">
        <v>237</v>
      </c>
      <c r="E259">
        <v>1106</v>
      </c>
      <c r="F259">
        <v>25</v>
      </c>
      <c r="G259">
        <v>38</v>
      </c>
      <c r="H259">
        <v>37</v>
      </c>
    </row>
    <row r="260" spans="1:8" x14ac:dyDescent="0.25">
      <c r="A260" t="s">
        <v>924</v>
      </c>
      <c r="B260" t="s">
        <v>144</v>
      </c>
      <c r="C260" t="s">
        <v>102</v>
      </c>
      <c r="D260" t="s">
        <v>238</v>
      </c>
      <c r="E260">
        <v>1104</v>
      </c>
      <c r="F260">
        <v>26</v>
      </c>
      <c r="G260">
        <v>42</v>
      </c>
      <c r="H260">
        <v>32</v>
      </c>
    </row>
    <row r="261" spans="1:8" x14ac:dyDescent="0.25">
      <c r="A261" t="s">
        <v>925</v>
      </c>
      <c r="B261" t="s">
        <v>144</v>
      </c>
      <c r="C261" t="s">
        <v>102</v>
      </c>
      <c r="D261" t="s">
        <v>239</v>
      </c>
      <c r="E261">
        <v>1151</v>
      </c>
      <c r="F261">
        <v>22</v>
      </c>
      <c r="G261">
        <v>36</v>
      </c>
      <c r="H261">
        <v>42</v>
      </c>
    </row>
    <row r="262" spans="1:8" x14ac:dyDescent="0.25">
      <c r="A262" t="s">
        <v>926</v>
      </c>
      <c r="B262" t="s">
        <v>144</v>
      </c>
      <c r="C262" t="s">
        <v>102</v>
      </c>
      <c r="D262" t="s">
        <v>47</v>
      </c>
      <c r="E262">
        <v>1076</v>
      </c>
      <c r="F262">
        <v>26</v>
      </c>
      <c r="G262">
        <v>42</v>
      </c>
      <c r="H262">
        <v>32</v>
      </c>
    </row>
    <row r="263" spans="1:8" x14ac:dyDescent="0.25">
      <c r="A263" t="s">
        <v>927</v>
      </c>
      <c r="B263" t="s">
        <v>144</v>
      </c>
      <c r="C263" t="s">
        <v>31</v>
      </c>
      <c r="D263" t="s">
        <v>232</v>
      </c>
      <c r="E263">
        <v>1417</v>
      </c>
      <c r="F263">
        <v>24</v>
      </c>
      <c r="G263">
        <v>50</v>
      </c>
      <c r="H263">
        <v>26</v>
      </c>
    </row>
    <row r="264" spans="1:8" x14ac:dyDescent="0.25">
      <c r="A264" t="s">
        <v>928</v>
      </c>
      <c r="B264" t="s">
        <v>144</v>
      </c>
      <c r="C264" t="s">
        <v>31</v>
      </c>
      <c r="D264" t="s">
        <v>233</v>
      </c>
      <c r="E264">
        <v>1485</v>
      </c>
      <c r="F264">
        <v>24</v>
      </c>
      <c r="G264">
        <v>48</v>
      </c>
      <c r="H264">
        <v>28</v>
      </c>
    </row>
    <row r="265" spans="1:8" x14ac:dyDescent="0.25">
      <c r="A265" t="s">
        <v>929</v>
      </c>
      <c r="B265" t="s">
        <v>144</v>
      </c>
      <c r="C265" t="s">
        <v>31</v>
      </c>
      <c r="D265" t="s">
        <v>234</v>
      </c>
      <c r="E265">
        <v>1510</v>
      </c>
      <c r="F265">
        <v>28</v>
      </c>
      <c r="G265">
        <v>51</v>
      </c>
      <c r="H265">
        <v>21</v>
      </c>
    </row>
    <row r="266" spans="1:8" x14ac:dyDescent="0.25">
      <c r="A266" t="s">
        <v>930</v>
      </c>
      <c r="B266" t="s">
        <v>144</v>
      </c>
      <c r="C266" t="s">
        <v>31</v>
      </c>
      <c r="D266" t="s">
        <v>235</v>
      </c>
      <c r="E266">
        <v>1187</v>
      </c>
      <c r="F266">
        <v>21</v>
      </c>
      <c r="G266">
        <v>50</v>
      </c>
      <c r="H266">
        <v>29</v>
      </c>
    </row>
    <row r="267" spans="1:8" x14ac:dyDescent="0.25">
      <c r="A267" t="s">
        <v>931</v>
      </c>
      <c r="B267" t="s">
        <v>144</v>
      </c>
      <c r="C267" t="s">
        <v>31</v>
      </c>
      <c r="D267" t="s">
        <v>236</v>
      </c>
      <c r="E267">
        <v>1360</v>
      </c>
      <c r="F267">
        <v>16</v>
      </c>
      <c r="G267">
        <v>48</v>
      </c>
      <c r="H267">
        <v>36</v>
      </c>
    </row>
    <row r="268" spans="1:8" x14ac:dyDescent="0.25">
      <c r="A268" t="s">
        <v>932</v>
      </c>
      <c r="B268" t="s">
        <v>144</v>
      </c>
      <c r="C268" t="s">
        <v>31</v>
      </c>
      <c r="D268" t="s">
        <v>237</v>
      </c>
      <c r="E268">
        <v>1357</v>
      </c>
      <c r="F268">
        <v>25</v>
      </c>
      <c r="G268">
        <v>50</v>
      </c>
      <c r="H268">
        <v>25</v>
      </c>
    </row>
    <row r="269" spans="1:8" x14ac:dyDescent="0.25">
      <c r="A269" t="s">
        <v>933</v>
      </c>
      <c r="B269" t="s">
        <v>144</v>
      </c>
      <c r="C269" t="s">
        <v>31</v>
      </c>
      <c r="D269" t="s">
        <v>238</v>
      </c>
      <c r="E269">
        <v>1317</v>
      </c>
      <c r="F269">
        <v>19</v>
      </c>
      <c r="G269">
        <v>51</v>
      </c>
      <c r="H269">
        <v>30</v>
      </c>
    </row>
    <row r="270" spans="1:8" x14ac:dyDescent="0.25">
      <c r="A270" t="s">
        <v>934</v>
      </c>
      <c r="B270" t="s">
        <v>144</v>
      </c>
      <c r="C270" t="s">
        <v>31</v>
      </c>
      <c r="D270" t="s">
        <v>239</v>
      </c>
      <c r="E270">
        <v>1437</v>
      </c>
      <c r="F270">
        <v>16</v>
      </c>
      <c r="G270">
        <v>49</v>
      </c>
      <c r="H270">
        <v>35</v>
      </c>
    </row>
    <row r="271" spans="1:8" x14ac:dyDescent="0.25">
      <c r="A271" t="s">
        <v>935</v>
      </c>
      <c r="B271" t="s">
        <v>144</v>
      </c>
      <c r="C271" t="s">
        <v>31</v>
      </c>
      <c r="D271" t="s">
        <v>47</v>
      </c>
      <c r="E271">
        <v>1309</v>
      </c>
      <c r="F271">
        <v>29</v>
      </c>
      <c r="G271">
        <v>51</v>
      </c>
      <c r="H271">
        <v>20</v>
      </c>
    </row>
    <row r="272" spans="1:8" x14ac:dyDescent="0.25">
      <c r="A272" t="s">
        <v>936</v>
      </c>
      <c r="B272" t="s">
        <v>166</v>
      </c>
      <c r="C272" t="s">
        <v>103</v>
      </c>
      <c r="D272" t="s">
        <v>232</v>
      </c>
      <c r="E272">
        <v>144</v>
      </c>
      <c r="F272">
        <v>18</v>
      </c>
      <c r="G272">
        <v>67</v>
      </c>
      <c r="H272">
        <v>15</v>
      </c>
    </row>
    <row r="273" spans="1:8" x14ac:dyDescent="0.25">
      <c r="A273" t="s">
        <v>937</v>
      </c>
      <c r="B273" t="s">
        <v>166</v>
      </c>
      <c r="C273" t="s">
        <v>103</v>
      </c>
      <c r="D273" t="s">
        <v>233</v>
      </c>
      <c r="E273">
        <v>134</v>
      </c>
      <c r="F273">
        <v>18</v>
      </c>
      <c r="G273">
        <v>64</v>
      </c>
      <c r="H273">
        <v>18</v>
      </c>
    </row>
    <row r="274" spans="1:8" x14ac:dyDescent="0.25">
      <c r="A274" t="s">
        <v>938</v>
      </c>
      <c r="B274" t="s">
        <v>166</v>
      </c>
      <c r="C274" t="s">
        <v>103</v>
      </c>
      <c r="D274" t="s">
        <v>234</v>
      </c>
      <c r="E274">
        <v>151</v>
      </c>
      <c r="F274">
        <v>21</v>
      </c>
      <c r="G274">
        <v>59</v>
      </c>
      <c r="H274">
        <v>20</v>
      </c>
    </row>
    <row r="275" spans="1:8" x14ac:dyDescent="0.25">
      <c r="A275" t="s">
        <v>939</v>
      </c>
      <c r="B275" t="s">
        <v>166</v>
      </c>
      <c r="C275" t="s">
        <v>103</v>
      </c>
      <c r="D275" t="s">
        <v>235</v>
      </c>
      <c r="E275">
        <v>141</v>
      </c>
      <c r="F275">
        <v>15</v>
      </c>
      <c r="G275">
        <v>64</v>
      </c>
      <c r="H275">
        <v>21</v>
      </c>
    </row>
    <row r="276" spans="1:8" x14ac:dyDescent="0.25">
      <c r="A276" t="s">
        <v>940</v>
      </c>
      <c r="B276" t="s">
        <v>166</v>
      </c>
      <c r="C276" t="s">
        <v>103</v>
      </c>
      <c r="D276" t="s">
        <v>236</v>
      </c>
      <c r="E276">
        <v>131</v>
      </c>
      <c r="F276">
        <v>16</v>
      </c>
      <c r="G276">
        <v>66</v>
      </c>
      <c r="H276">
        <v>18</v>
      </c>
    </row>
    <row r="277" spans="1:8" x14ac:dyDescent="0.25">
      <c r="A277" t="s">
        <v>941</v>
      </c>
      <c r="B277" t="s">
        <v>166</v>
      </c>
      <c r="C277" t="s">
        <v>103</v>
      </c>
      <c r="D277" t="s">
        <v>237</v>
      </c>
      <c r="E277">
        <v>141</v>
      </c>
      <c r="F277">
        <v>15</v>
      </c>
      <c r="G277">
        <v>62</v>
      </c>
      <c r="H277">
        <v>23</v>
      </c>
    </row>
    <row r="278" spans="1:8" x14ac:dyDescent="0.25">
      <c r="A278" t="s">
        <v>942</v>
      </c>
      <c r="B278" t="s">
        <v>166</v>
      </c>
      <c r="C278" t="s">
        <v>103</v>
      </c>
      <c r="D278" t="s">
        <v>238</v>
      </c>
      <c r="E278">
        <v>176</v>
      </c>
      <c r="F278">
        <v>10</v>
      </c>
      <c r="G278">
        <v>69</v>
      </c>
      <c r="H278">
        <v>21</v>
      </c>
    </row>
    <row r="279" spans="1:8" x14ac:dyDescent="0.25">
      <c r="A279" t="s">
        <v>943</v>
      </c>
      <c r="B279" t="s">
        <v>166</v>
      </c>
      <c r="C279" t="s">
        <v>103</v>
      </c>
      <c r="D279" t="s">
        <v>239</v>
      </c>
      <c r="E279">
        <v>155</v>
      </c>
      <c r="F279">
        <v>7</v>
      </c>
      <c r="G279">
        <v>72</v>
      </c>
      <c r="H279">
        <v>21</v>
      </c>
    </row>
    <row r="280" spans="1:8" x14ac:dyDescent="0.25">
      <c r="A280" t="s">
        <v>944</v>
      </c>
      <c r="B280" t="s">
        <v>166</v>
      </c>
      <c r="C280" t="s">
        <v>103</v>
      </c>
      <c r="D280" t="s">
        <v>47</v>
      </c>
      <c r="E280">
        <v>132</v>
      </c>
      <c r="F280">
        <v>8</v>
      </c>
      <c r="G280">
        <v>74</v>
      </c>
      <c r="H280">
        <v>18</v>
      </c>
    </row>
    <row r="281" spans="1:8" x14ac:dyDescent="0.25">
      <c r="A281" t="s">
        <v>945</v>
      </c>
      <c r="B281" t="s">
        <v>166</v>
      </c>
      <c r="C281" t="s">
        <v>100</v>
      </c>
      <c r="D281" t="s">
        <v>232</v>
      </c>
      <c r="E281">
        <v>147</v>
      </c>
      <c r="F281">
        <v>30</v>
      </c>
      <c r="G281">
        <v>53</v>
      </c>
      <c r="H281">
        <v>17</v>
      </c>
    </row>
    <row r="282" spans="1:8" x14ac:dyDescent="0.25">
      <c r="A282" t="s">
        <v>946</v>
      </c>
      <c r="B282" t="s">
        <v>166</v>
      </c>
      <c r="C282" t="s">
        <v>100</v>
      </c>
      <c r="D282" t="s">
        <v>233</v>
      </c>
      <c r="E282">
        <v>137</v>
      </c>
      <c r="F282">
        <v>20</v>
      </c>
      <c r="G282">
        <v>55</v>
      </c>
      <c r="H282">
        <v>25</v>
      </c>
    </row>
    <row r="283" spans="1:8" x14ac:dyDescent="0.25">
      <c r="A283" t="s">
        <v>947</v>
      </c>
      <c r="B283" t="s">
        <v>166</v>
      </c>
      <c r="C283" t="s">
        <v>100</v>
      </c>
      <c r="D283" t="s">
        <v>234</v>
      </c>
      <c r="E283">
        <v>153</v>
      </c>
      <c r="F283">
        <v>24</v>
      </c>
      <c r="G283">
        <v>46</v>
      </c>
      <c r="H283">
        <v>30</v>
      </c>
    </row>
    <row r="284" spans="1:8" x14ac:dyDescent="0.25">
      <c r="A284" t="s">
        <v>948</v>
      </c>
      <c r="B284" t="s">
        <v>166</v>
      </c>
      <c r="C284" t="s">
        <v>100</v>
      </c>
      <c r="D284" t="s">
        <v>235</v>
      </c>
      <c r="E284">
        <v>146</v>
      </c>
      <c r="F284">
        <v>18</v>
      </c>
      <c r="G284">
        <v>55</v>
      </c>
      <c r="H284">
        <v>27</v>
      </c>
    </row>
    <row r="285" spans="1:8" x14ac:dyDescent="0.25">
      <c r="A285" t="s">
        <v>949</v>
      </c>
      <c r="B285" t="s">
        <v>166</v>
      </c>
      <c r="C285" t="s">
        <v>100</v>
      </c>
      <c r="D285" t="s">
        <v>236</v>
      </c>
      <c r="E285">
        <v>134</v>
      </c>
      <c r="F285">
        <v>15</v>
      </c>
      <c r="G285">
        <v>60</v>
      </c>
      <c r="H285">
        <v>25</v>
      </c>
    </row>
    <row r="286" spans="1:8" x14ac:dyDescent="0.25">
      <c r="A286" t="s">
        <v>950</v>
      </c>
      <c r="B286" t="s">
        <v>166</v>
      </c>
      <c r="C286" t="s">
        <v>100</v>
      </c>
      <c r="D286" t="s">
        <v>237</v>
      </c>
      <c r="E286">
        <v>149</v>
      </c>
      <c r="F286">
        <v>23</v>
      </c>
      <c r="G286">
        <v>53</v>
      </c>
      <c r="H286">
        <v>24</v>
      </c>
    </row>
    <row r="287" spans="1:8" x14ac:dyDescent="0.25">
      <c r="A287" t="s">
        <v>951</v>
      </c>
      <c r="B287" t="s">
        <v>166</v>
      </c>
      <c r="C287" t="s">
        <v>100</v>
      </c>
      <c r="D287" t="s">
        <v>238</v>
      </c>
      <c r="E287">
        <v>182</v>
      </c>
      <c r="F287">
        <v>13</v>
      </c>
      <c r="G287">
        <v>63</v>
      </c>
      <c r="H287">
        <v>24</v>
      </c>
    </row>
    <row r="288" spans="1:8" x14ac:dyDescent="0.25">
      <c r="A288" t="s">
        <v>952</v>
      </c>
      <c r="B288" t="s">
        <v>166</v>
      </c>
      <c r="C288" t="s">
        <v>100</v>
      </c>
      <c r="D288" t="s">
        <v>239</v>
      </c>
      <c r="E288">
        <v>166</v>
      </c>
      <c r="F288">
        <v>12</v>
      </c>
      <c r="G288">
        <v>51</v>
      </c>
      <c r="H288">
        <v>37</v>
      </c>
    </row>
    <row r="289" spans="1:8" x14ac:dyDescent="0.25">
      <c r="A289" t="s">
        <v>953</v>
      </c>
      <c r="B289" t="s">
        <v>166</v>
      </c>
      <c r="C289" t="s">
        <v>100</v>
      </c>
      <c r="D289" t="s">
        <v>47</v>
      </c>
      <c r="E289">
        <v>140</v>
      </c>
      <c r="F289">
        <v>9</v>
      </c>
      <c r="G289">
        <v>59</v>
      </c>
      <c r="H289">
        <v>32</v>
      </c>
    </row>
    <row r="290" spans="1:8" x14ac:dyDescent="0.25">
      <c r="A290" t="s">
        <v>954</v>
      </c>
      <c r="B290" t="s">
        <v>166</v>
      </c>
      <c r="C290" t="s">
        <v>101</v>
      </c>
      <c r="D290" t="s">
        <v>232</v>
      </c>
    </row>
    <row r="291" spans="1:8" x14ac:dyDescent="0.25">
      <c r="A291" t="s">
        <v>955</v>
      </c>
      <c r="B291" t="s">
        <v>166</v>
      </c>
      <c r="C291" t="s">
        <v>101</v>
      </c>
      <c r="D291" t="s">
        <v>233</v>
      </c>
    </row>
    <row r="292" spans="1:8" x14ac:dyDescent="0.25">
      <c r="A292" t="s">
        <v>956</v>
      </c>
      <c r="B292" t="s">
        <v>166</v>
      </c>
      <c r="C292" t="s">
        <v>101</v>
      </c>
      <c r="D292" t="s">
        <v>234</v>
      </c>
    </row>
    <row r="293" spans="1:8" x14ac:dyDescent="0.25">
      <c r="A293" t="s">
        <v>957</v>
      </c>
      <c r="B293" t="s">
        <v>166</v>
      </c>
      <c r="C293" t="s">
        <v>101</v>
      </c>
      <c r="D293" t="s">
        <v>235</v>
      </c>
    </row>
    <row r="294" spans="1:8" x14ac:dyDescent="0.25">
      <c r="A294" t="s">
        <v>958</v>
      </c>
      <c r="B294" t="s">
        <v>166</v>
      </c>
      <c r="C294" t="s">
        <v>101</v>
      </c>
      <c r="D294" t="s">
        <v>236</v>
      </c>
    </row>
    <row r="295" spans="1:8" x14ac:dyDescent="0.25">
      <c r="A295" t="s">
        <v>959</v>
      </c>
      <c r="B295" t="s">
        <v>166</v>
      </c>
      <c r="C295" t="s">
        <v>101</v>
      </c>
      <c r="D295" t="s">
        <v>237</v>
      </c>
    </row>
    <row r="296" spans="1:8" x14ac:dyDescent="0.25">
      <c r="A296" t="s">
        <v>960</v>
      </c>
      <c r="B296" t="s">
        <v>166</v>
      </c>
      <c r="C296" t="s">
        <v>101</v>
      </c>
      <c r="D296" t="s">
        <v>238</v>
      </c>
    </row>
    <row r="297" spans="1:8" x14ac:dyDescent="0.25">
      <c r="A297" t="s">
        <v>961</v>
      </c>
      <c r="B297" t="s">
        <v>166</v>
      </c>
      <c r="C297" t="s">
        <v>101</v>
      </c>
      <c r="D297" t="s">
        <v>239</v>
      </c>
    </row>
    <row r="298" spans="1:8" x14ac:dyDescent="0.25">
      <c r="A298" t="s">
        <v>962</v>
      </c>
      <c r="B298" t="s">
        <v>166</v>
      </c>
      <c r="C298" t="s">
        <v>101</v>
      </c>
      <c r="D298" t="s">
        <v>47</v>
      </c>
    </row>
    <row r="299" spans="1:8" x14ac:dyDescent="0.25">
      <c r="A299" t="s">
        <v>963</v>
      </c>
      <c r="B299" t="s">
        <v>166</v>
      </c>
      <c r="C299" t="s">
        <v>102</v>
      </c>
      <c r="D299" t="s">
        <v>232</v>
      </c>
      <c r="E299">
        <v>116</v>
      </c>
      <c r="F299">
        <v>34</v>
      </c>
      <c r="G299">
        <v>43</v>
      </c>
      <c r="H299">
        <v>23</v>
      </c>
    </row>
    <row r="300" spans="1:8" x14ac:dyDescent="0.25">
      <c r="A300" t="s">
        <v>964</v>
      </c>
      <c r="B300" t="s">
        <v>166</v>
      </c>
      <c r="C300" t="s">
        <v>102</v>
      </c>
      <c r="D300" t="s">
        <v>233</v>
      </c>
      <c r="E300">
        <v>108</v>
      </c>
      <c r="F300">
        <v>35</v>
      </c>
      <c r="G300">
        <v>42</v>
      </c>
      <c r="H300">
        <v>23</v>
      </c>
    </row>
    <row r="301" spans="1:8" x14ac:dyDescent="0.25">
      <c r="A301" t="s">
        <v>965</v>
      </c>
      <c r="B301" t="s">
        <v>166</v>
      </c>
      <c r="C301" t="s">
        <v>102</v>
      </c>
      <c r="D301" t="s">
        <v>234</v>
      </c>
      <c r="E301">
        <v>130</v>
      </c>
      <c r="F301">
        <v>36</v>
      </c>
      <c r="G301">
        <v>40</v>
      </c>
      <c r="H301">
        <v>24</v>
      </c>
    </row>
    <row r="302" spans="1:8" x14ac:dyDescent="0.25">
      <c r="A302" t="s">
        <v>966</v>
      </c>
      <c r="B302" t="s">
        <v>166</v>
      </c>
      <c r="C302" t="s">
        <v>102</v>
      </c>
      <c r="D302" t="s">
        <v>235</v>
      </c>
      <c r="E302">
        <v>114</v>
      </c>
      <c r="F302">
        <v>28</v>
      </c>
      <c r="G302">
        <v>43</v>
      </c>
      <c r="H302">
        <v>29</v>
      </c>
    </row>
    <row r="303" spans="1:8" x14ac:dyDescent="0.25">
      <c r="A303" t="s">
        <v>967</v>
      </c>
      <c r="B303" t="s">
        <v>166</v>
      </c>
      <c r="C303" t="s">
        <v>102</v>
      </c>
      <c r="D303" t="s">
        <v>236</v>
      </c>
      <c r="E303">
        <v>100</v>
      </c>
      <c r="F303">
        <v>38</v>
      </c>
      <c r="G303">
        <v>42</v>
      </c>
      <c r="H303">
        <v>20</v>
      </c>
    </row>
    <row r="304" spans="1:8" x14ac:dyDescent="0.25">
      <c r="A304" t="s">
        <v>968</v>
      </c>
      <c r="B304" t="s">
        <v>166</v>
      </c>
      <c r="C304" t="s">
        <v>102</v>
      </c>
      <c r="D304" t="s">
        <v>237</v>
      </c>
      <c r="E304">
        <v>117</v>
      </c>
      <c r="F304">
        <v>33</v>
      </c>
      <c r="G304">
        <v>41</v>
      </c>
      <c r="H304">
        <v>26</v>
      </c>
    </row>
    <row r="305" spans="1:8" x14ac:dyDescent="0.25">
      <c r="A305" t="s">
        <v>969</v>
      </c>
      <c r="B305" t="s">
        <v>166</v>
      </c>
      <c r="C305" t="s">
        <v>102</v>
      </c>
      <c r="D305" t="s">
        <v>238</v>
      </c>
      <c r="E305">
        <v>136</v>
      </c>
      <c r="F305">
        <v>26</v>
      </c>
      <c r="G305">
        <v>38</v>
      </c>
      <c r="H305">
        <v>36</v>
      </c>
    </row>
    <row r="306" spans="1:8" x14ac:dyDescent="0.25">
      <c r="A306" t="s">
        <v>970</v>
      </c>
      <c r="B306" t="s">
        <v>166</v>
      </c>
      <c r="C306" t="s">
        <v>102</v>
      </c>
      <c r="D306" t="s">
        <v>239</v>
      </c>
      <c r="E306">
        <v>123</v>
      </c>
      <c r="F306">
        <v>25</v>
      </c>
      <c r="G306">
        <v>42</v>
      </c>
      <c r="H306">
        <v>33</v>
      </c>
    </row>
    <row r="307" spans="1:8" x14ac:dyDescent="0.25">
      <c r="A307" t="s">
        <v>971</v>
      </c>
      <c r="B307" t="s">
        <v>166</v>
      </c>
      <c r="C307" t="s">
        <v>102</v>
      </c>
      <c r="D307" t="s">
        <v>47</v>
      </c>
      <c r="E307">
        <v>103</v>
      </c>
      <c r="F307">
        <v>27</v>
      </c>
      <c r="G307">
        <v>43</v>
      </c>
      <c r="H307">
        <v>30</v>
      </c>
    </row>
    <row r="308" spans="1:8" x14ac:dyDescent="0.25">
      <c r="A308" t="s">
        <v>972</v>
      </c>
      <c r="B308" t="s">
        <v>166</v>
      </c>
      <c r="C308" t="s">
        <v>31</v>
      </c>
      <c r="D308" t="s">
        <v>232</v>
      </c>
      <c r="E308">
        <v>147</v>
      </c>
      <c r="F308">
        <v>34</v>
      </c>
      <c r="G308">
        <v>47</v>
      </c>
      <c r="H308">
        <v>19</v>
      </c>
    </row>
    <row r="309" spans="1:8" x14ac:dyDescent="0.25">
      <c r="A309" t="s">
        <v>973</v>
      </c>
      <c r="B309" t="s">
        <v>166</v>
      </c>
      <c r="C309" t="s">
        <v>31</v>
      </c>
      <c r="D309" t="s">
        <v>233</v>
      </c>
      <c r="E309">
        <v>140</v>
      </c>
      <c r="F309">
        <v>29</v>
      </c>
      <c r="G309">
        <v>51</v>
      </c>
      <c r="H309">
        <v>20</v>
      </c>
    </row>
    <row r="310" spans="1:8" x14ac:dyDescent="0.25">
      <c r="A310" t="s">
        <v>974</v>
      </c>
      <c r="B310" t="s">
        <v>166</v>
      </c>
      <c r="C310" t="s">
        <v>31</v>
      </c>
      <c r="D310" t="s">
        <v>234</v>
      </c>
      <c r="E310">
        <v>155</v>
      </c>
      <c r="F310">
        <v>26</v>
      </c>
      <c r="G310">
        <v>53</v>
      </c>
      <c r="H310">
        <v>21</v>
      </c>
    </row>
    <row r="311" spans="1:8" x14ac:dyDescent="0.25">
      <c r="A311" t="s">
        <v>975</v>
      </c>
      <c r="B311" t="s">
        <v>166</v>
      </c>
      <c r="C311" t="s">
        <v>31</v>
      </c>
      <c r="D311" t="s">
        <v>235</v>
      </c>
      <c r="E311">
        <v>148</v>
      </c>
      <c r="F311">
        <v>26</v>
      </c>
      <c r="G311">
        <v>51</v>
      </c>
      <c r="H311">
        <v>23</v>
      </c>
    </row>
    <row r="312" spans="1:8" x14ac:dyDescent="0.25">
      <c r="A312" t="s">
        <v>976</v>
      </c>
      <c r="B312" t="s">
        <v>166</v>
      </c>
      <c r="C312" t="s">
        <v>31</v>
      </c>
      <c r="D312" t="s">
        <v>236</v>
      </c>
      <c r="E312">
        <v>137</v>
      </c>
      <c r="F312">
        <v>24</v>
      </c>
      <c r="G312">
        <v>53</v>
      </c>
      <c r="H312">
        <v>23</v>
      </c>
    </row>
    <row r="313" spans="1:8" x14ac:dyDescent="0.25">
      <c r="A313" t="s">
        <v>977</v>
      </c>
      <c r="B313" t="s">
        <v>166</v>
      </c>
      <c r="C313" t="s">
        <v>31</v>
      </c>
      <c r="D313" t="s">
        <v>237</v>
      </c>
      <c r="E313">
        <v>151</v>
      </c>
      <c r="F313">
        <v>31</v>
      </c>
      <c r="G313">
        <v>44</v>
      </c>
      <c r="H313">
        <v>25</v>
      </c>
    </row>
    <row r="314" spans="1:8" x14ac:dyDescent="0.25">
      <c r="A314" t="s">
        <v>978</v>
      </c>
      <c r="B314" t="s">
        <v>166</v>
      </c>
      <c r="C314" t="s">
        <v>31</v>
      </c>
      <c r="D314" t="s">
        <v>238</v>
      </c>
      <c r="E314">
        <v>182</v>
      </c>
      <c r="F314">
        <v>28</v>
      </c>
      <c r="G314">
        <v>48</v>
      </c>
      <c r="H314">
        <v>24</v>
      </c>
    </row>
    <row r="315" spans="1:8" x14ac:dyDescent="0.25">
      <c r="A315" t="s">
        <v>979</v>
      </c>
      <c r="B315" t="s">
        <v>166</v>
      </c>
      <c r="C315" t="s">
        <v>31</v>
      </c>
      <c r="D315" t="s">
        <v>239</v>
      </c>
      <c r="E315">
        <v>169</v>
      </c>
      <c r="F315">
        <v>26</v>
      </c>
      <c r="G315">
        <v>46</v>
      </c>
      <c r="H315">
        <v>28</v>
      </c>
    </row>
    <row r="316" spans="1:8" x14ac:dyDescent="0.25">
      <c r="A316" t="s">
        <v>980</v>
      </c>
      <c r="B316" t="s">
        <v>166</v>
      </c>
      <c r="C316" t="s">
        <v>31</v>
      </c>
      <c r="D316" t="s">
        <v>47</v>
      </c>
      <c r="E316">
        <v>140</v>
      </c>
      <c r="F316">
        <v>28</v>
      </c>
      <c r="G316">
        <v>52</v>
      </c>
      <c r="H316">
        <v>20</v>
      </c>
    </row>
    <row r="317" spans="1:8" x14ac:dyDescent="0.25">
      <c r="A317" t="s">
        <v>981</v>
      </c>
      <c r="B317" t="s">
        <v>119</v>
      </c>
      <c r="C317" t="s">
        <v>103</v>
      </c>
      <c r="D317" t="s">
        <v>232</v>
      </c>
      <c r="E317">
        <v>293</v>
      </c>
      <c r="F317">
        <v>14</v>
      </c>
      <c r="G317">
        <v>62</v>
      </c>
      <c r="H317">
        <v>24</v>
      </c>
    </row>
    <row r="318" spans="1:8" x14ac:dyDescent="0.25">
      <c r="A318" t="s">
        <v>982</v>
      </c>
      <c r="B318" t="s">
        <v>119</v>
      </c>
      <c r="C318" t="s">
        <v>103</v>
      </c>
      <c r="D318" t="s">
        <v>233</v>
      </c>
      <c r="E318">
        <v>275</v>
      </c>
      <c r="F318">
        <v>12</v>
      </c>
      <c r="G318">
        <v>69</v>
      </c>
      <c r="H318">
        <v>19</v>
      </c>
    </row>
    <row r="319" spans="1:8" x14ac:dyDescent="0.25">
      <c r="A319" t="s">
        <v>983</v>
      </c>
      <c r="B319" t="s">
        <v>119</v>
      </c>
      <c r="C319" t="s">
        <v>103</v>
      </c>
      <c r="D319" t="s">
        <v>234</v>
      </c>
      <c r="E319">
        <v>283</v>
      </c>
      <c r="F319">
        <v>12</v>
      </c>
      <c r="G319">
        <v>65</v>
      </c>
      <c r="H319">
        <v>23</v>
      </c>
    </row>
    <row r="320" spans="1:8" x14ac:dyDescent="0.25">
      <c r="A320" t="s">
        <v>984</v>
      </c>
      <c r="B320" t="s">
        <v>119</v>
      </c>
      <c r="C320" t="s">
        <v>103</v>
      </c>
      <c r="D320" t="s">
        <v>235</v>
      </c>
      <c r="E320">
        <v>259</v>
      </c>
      <c r="F320">
        <v>12</v>
      </c>
      <c r="G320">
        <v>62</v>
      </c>
      <c r="H320">
        <v>26</v>
      </c>
    </row>
    <row r="321" spans="1:8" x14ac:dyDescent="0.25">
      <c r="A321" t="s">
        <v>985</v>
      </c>
      <c r="B321" t="s">
        <v>119</v>
      </c>
      <c r="C321" t="s">
        <v>103</v>
      </c>
      <c r="D321" t="s">
        <v>236</v>
      </c>
      <c r="E321">
        <v>250</v>
      </c>
      <c r="F321">
        <v>14</v>
      </c>
      <c r="G321">
        <v>59</v>
      </c>
      <c r="H321">
        <v>27</v>
      </c>
    </row>
    <row r="322" spans="1:8" x14ac:dyDescent="0.25">
      <c r="A322" t="s">
        <v>986</v>
      </c>
      <c r="B322" t="s">
        <v>119</v>
      </c>
      <c r="C322" t="s">
        <v>103</v>
      </c>
      <c r="D322" t="s">
        <v>237</v>
      </c>
      <c r="E322">
        <v>231</v>
      </c>
      <c r="F322">
        <v>7</v>
      </c>
      <c r="G322">
        <v>61</v>
      </c>
      <c r="H322">
        <v>32</v>
      </c>
    </row>
    <row r="323" spans="1:8" x14ac:dyDescent="0.25">
      <c r="A323" t="s">
        <v>987</v>
      </c>
      <c r="B323" t="s">
        <v>119</v>
      </c>
      <c r="C323" t="s">
        <v>103</v>
      </c>
      <c r="D323" t="s">
        <v>238</v>
      </c>
      <c r="E323">
        <v>274</v>
      </c>
      <c r="F323">
        <v>11</v>
      </c>
      <c r="G323">
        <v>57</v>
      </c>
      <c r="H323">
        <v>32</v>
      </c>
    </row>
    <row r="324" spans="1:8" x14ac:dyDescent="0.25">
      <c r="A324" t="s">
        <v>988</v>
      </c>
      <c r="B324" t="s">
        <v>119</v>
      </c>
      <c r="C324" t="s">
        <v>103</v>
      </c>
      <c r="D324" t="s">
        <v>239</v>
      </c>
      <c r="E324">
        <v>220</v>
      </c>
      <c r="F324">
        <v>9</v>
      </c>
      <c r="G324">
        <v>69</v>
      </c>
      <c r="H324">
        <v>22</v>
      </c>
    </row>
    <row r="325" spans="1:8" x14ac:dyDescent="0.25">
      <c r="A325" t="s">
        <v>989</v>
      </c>
      <c r="B325" t="s">
        <v>119</v>
      </c>
      <c r="C325" t="s">
        <v>103</v>
      </c>
      <c r="D325" t="s">
        <v>47</v>
      </c>
      <c r="E325">
        <v>230</v>
      </c>
      <c r="F325">
        <v>11</v>
      </c>
      <c r="G325">
        <v>64</v>
      </c>
      <c r="H325">
        <v>25</v>
      </c>
    </row>
    <row r="326" spans="1:8" x14ac:dyDescent="0.25">
      <c r="A326" t="s">
        <v>990</v>
      </c>
      <c r="B326" t="s">
        <v>119</v>
      </c>
      <c r="C326" t="s">
        <v>100</v>
      </c>
      <c r="D326" t="s">
        <v>232</v>
      </c>
      <c r="E326">
        <v>296</v>
      </c>
      <c r="F326">
        <v>18</v>
      </c>
      <c r="G326">
        <v>54</v>
      </c>
      <c r="H326">
        <v>28</v>
      </c>
    </row>
    <row r="327" spans="1:8" x14ac:dyDescent="0.25">
      <c r="A327" t="s">
        <v>991</v>
      </c>
      <c r="B327" t="s">
        <v>119</v>
      </c>
      <c r="C327" t="s">
        <v>100</v>
      </c>
      <c r="D327" t="s">
        <v>233</v>
      </c>
      <c r="E327">
        <v>278</v>
      </c>
      <c r="F327">
        <v>24</v>
      </c>
      <c r="G327">
        <v>56</v>
      </c>
      <c r="H327">
        <v>20</v>
      </c>
    </row>
    <row r="328" spans="1:8" x14ac:dyDescent="0.25">
      <c r="A328" t="s">
        <v>992</v>
      </c>
      <c r="B328" t="s">
        <v>119</v>
      </c>
      <c r="C328" t="s">
        <v>100</v>
      </c>
      <c r="D328" t="s">
        <v>234</v>
      </c>
      <c r="E328">
        <v>288</v>
      </c>
      <c r="F328">
        <v>18</v>
      </c>
      <c r="G328">
        <v>55</v>
      </c>
      <c r="H328">
        <v>27</v>
      </c>
    </row>
    <row r="329" spans="1:8" x14ac:dyDescent="0.25">
      <c r="A329" t="s">
        <v>993</v>
      </c>
      <c r="B329" t="s">
        <v>119</v>
      </c>
      <c r="C329" t="s">
        <v>100</v>
      </c>
      <c r="D329" t="s">
        <v>235</v>
      </c>
      <c r="E329">
        <v>262</v>
      </c>
      <c r="F329">
        <v>14</v>
      </c>
      <c r="G329">
        <v>62</v>
      </c>
      <c r="H329">
        <v>24</v>
      </c>
    </row>
    <row r="330" spans="1:8" x14ac:dyDescent="0.25">
      <c r="A330" t="s">
        <v>994</v>
      </c>
      <c r="B330" t="s">
        <v>119</v>
      </c>
      <c r="C330" t="s">
        <v>100</v>
      </c>
      <c r="D330" t="s">
        <v>236</v>
      </c>
      <c r="E330">
        <v>257</v>
      </c>
      <c r="F330">
        <v>17</v>
      </c>
      <c r="G330">
        <v>63</v>
      </c>
      <c r="H330">
        <v>20</v>
      </c>
    </row>
    <row r="331" spans="1:8" x14ac:dyDescent="0.25">
      <c r="A331" t="s">
        <v>995</v>
      </c>
      <c r="B331" t="s">
        <v>119</v>
      </c>
      <c r="C331" t="s">
        <v>100</v>
      </c>
      <c r="D331" t="s">
        <v>237</v>
      </c>
      <c r="E331">
        <v>237</v>
      </c>
      <c r="F331">
        <v>12</v>
      </c>
      <c r="G331">
        <v>66</v>
      </c>
      <c r="H331">
        <v>22</v>
      </c>
    </row>
    <row r="332" spans="1:8" x14ac:dyDescent="0.25">
      <c r="A332" t="s">
        <v>996</v>
      </c>
      <c r="B332" t="s">
        <v>119</v>
      </c>
      <c r="C332" t="s">
        <v>100</v>
      </c>
      <c r="D332" t="s">
        <v>238</v>
      </c>
      <c r="E332">
        <v>275</v>
      </c>
      <c r="F332">
        <v>17</v>
      </c>
      <c r="G332">
        <v>62</v>
      </c>
      <c r="H332">
        <v>21</v>
      </c>
    </row>
    <row r="333" spans="1:8" x14ac:dyDescent="0.25">
      <c r="A333" t="s">
        <v>997</v>
      </c>
      <c r="B333" t="s">
        <v>119</v>
      </c>
      <c r="C333" t="s">
        <v>100</v>
      </c>
      <c r="D333" t="s">
        <v>239</v>
      </c>
      <c r="E333">
        <v>226</v>
      </c>
      <c r="F333">
        <v>13</v>
      </c>
      <c r="G333">
        <v>56</v>
      </c>
      <c r="H333">
        <v>31</v>
      </c>
    </row>
    <row r="334" spans="1:8" x14ac:dyDescent="0.25">
      <c r="A334" t="s">
        <v>998</v>
      </c>
      <c r="B334" t="s">
        <v>119</v>
      </c>
      <c r="C334" t="s">
        <v>100</v>
      </c>
      <c r="D334" t="s">
        <v>47</v>
      </c>
      <c r="E334">
        <v>233</v>
      </c>
      <c r="F334">
        <v>21</v>
      </c>
      <c r="G334">
        <v>60</v>
      </c>
      <c r="H334">
        <v>19</v>
      </c>
    </row>
    <row r="335" spans="1:8" x14ac:dyDescent="0.25">
      <c r="A335" t="s">
        <v>999</v>
      </c>
      <c r="B335" t="s">
        <v>119</v>
      </c>
      <c r="C335" t="s">
        <v>101</v>
      </c>
      <c r="D335" t="s">
        <v>232</v>
      </c>
      <c r="E335">
        <v>265</v>
      </c>
      <c r="F335">
        <v>24</v>
      </c>
      <c r="G335">
        <v>51</v>
      </c>
      <c r="H335">
        <v>25</v>
      </c>
    </row>
    <row r="336" spans="1:8" x14ac:dyDescent="0.25">
      <c r="A336" t="s">
        <v>1000</v>
      </c>
      <c r="B336" t="s">
        <v>119</v>
      </c>
      <c r="C336" t="s">
        <v>101</v>
      </c>
      <c r="D336" t="s">
        <v>233</v>
      </c>
      <c r="E336">
        <v>243</v>
      </c>
      <c r="F336">
        <v>28</v>
      </c>
      <c r="G336">
        <v>52</v>
      </c>
      <c r="H336">
        <v>20</v>
      </c>
    </row>
    <row r="337" spans="1:8" x14ac:dyDescent="0.25">
      <c r="A337" t="s">
        <v>1001</v>
      </c>
      <c r="B337" t="s">
        <v>119</v>
      </c>
      <c r="C337" t="s">
        <v>101</v>
      </c>
      <c r="D337" t="s">
        <v>234</v>
      </c>
      <c r="E337">
        <v>259</v>
      </c>
      <c r="F337">
        <v>22</v>
      </c>
      <c r="G337">
        <v>52</v>
      </c>
      <c r="H337">
        <v>26</v>
      </c>
    </row>
    <row r="338" spans="1:8" x14ac:dyDescent="0.25">
      <c r="A338" t="s">
        <v>1002</v>
      </c>
      <c r="B338" t="s">
        <v>119</v>
      </c>
      <c r="C338" t="s">
        <v>101</v>
      </c>
      <c r="D338" t="s">
        <v>235</v>
      </c>
      <c r="E338">
        <v>239</v>
      </c>
      <c r="F338">
        <v>21</v>
      </c>
      <c r="G338">
        <v>53</v>
      </c>
      <c r="H338">
        <v>26</v>
      </c>
    </row>
    <row r="339" spans="1:8" x14ac:dyDescent="0.25">
      <c r="A339" t="s">
        <v>1003</v>
      </c>
      <c r="B339" t="s">
        <v>119</v>
      </c>
      <c r="C339" t="s">
        <v>101</v>
      </c>
      <c r="D339" t="s">
        <v>236</v>
      </c>
      <c r="E339">
        <v>220</v>
      </c>
      <c r="F339">
        <v>18</v>
      </c>
      <c r="G339">
        <v>54</v>
      </c>
      <c r="H339">
        <v>28</v>
      </c>
    </row>
    <row r="340" spans="1:8" x14ac:dyDescent="0.25">
      <c r="A340" t="s">
        <v>1004</v>
      </c>
      <c r="B340" t="s">
        <v>119</v>
      </c>
      <c r="C340" t="s">
        <v>101</v>
      </c>
      <c r="D340" t="s">
        <v>237</v>
      </c>
      <c r="E340">
        <v>207</v>
      </c>
      <c r="F340">
        <v>13</v>
      </c>
      <c r="G340">
        <v>58</v>
      </c>
      <c r="H340">
        <v>29</v>
      </c>
    </row>
    <row r="341" spans="1:8" x14ac:dyDescent="0.25">
      <c r="A341" t="s">
        <v>1005</v>
      </c>
      <c r="B341" t="s">
        <v>119</v>
      </c>
      <c r="C341" t="s">
        <v>101</v>
      </c>
      <c r="D341" t="s">
        <v>238</v>
      </c>
      <c r="E341">
        <v>251</v>
      </c>
      <c r="F341">
        <v>19</v>
      </c>
      <c r="G341">
        <v>62</v>
      </c>
      <c r="H341">
        <v>19</v>
      </c>
    </row>
    <row r="342" spans="1:8" x14ac:dyDescent="0.25">
      <c r="A342" t="s">
        <v>1006</v>
      </c>
      <c r="B342" t="s">
        <v>119</v>
      </c>
      <c r="C342" t="s">
        <v>101</v>
      </c>
      <c r="D342" t="s">
        <v>239</v>
      </c>
      <c r="E342">
        <v>194</v>
      </c>
      <c r="F342">
        <v>16</v>
      </c>
      <c r="G342">
        <v>52</v>
      </c>
      <c r="H342">
        <v>32</v>
      </c>
    </row>
    <row r="343" spans="1:8" x14ac:dyDescent="0.25">
      <c r="A343" t="s">
        <v>1007</v>
      </c>
      <c r="B343" t="s">
        <v>119</v>
      </c>
      <c r="C343" t="s">
        <v>101</v>
      </c>
      <c r="D343" t="s">
        <v>47</v>
      </c>
      <c r="E343">
        <v>208</v>
      </c>
      <c r="F343">
        <v>24</v>
      </c>
      <c r="G343">
        <v>58</v>
      </c>
      <c r="H343">
        <v>18</v>
      </c>
    </row>
    <row r="344" spans="1:8" x14ac:dyDescent="0.25">
      <c r="A344" t="s">
        <v>1008</v>
      </c>
      <c r="B344" t="s">
        <v>119</v>
      </c>
      <c r="C344" t="s">
        <v>102</v>
      </c>
      <c r="D344" t="s">
        <v>232</v>
      </c>
      <c r="E344">
        <v>266</v>
      </c>
      <c r="F344">
        <v>23</v>
      </c>
      <c r="G344">
        <v>41</v>
      </c>
      <c r="H344">
        <v>36</v>
      </c>
    </row>
    <row r="345" spans="1:8" x14ac:dyDescent="0.25">
      <c r="A345" t="s">
        <v>1009</v>
      </c>
      <c r="B345" t="s">
        <v>119</v>
      </c>
      <c r="C345" t="s">
        <v>102</v>
      </c>
      <c r="D345" t="s">
        <v>233</v>
      </c>
      <c r="E345">
        <v>250</v>
      </c>
      <c r="F345">
        <v>28</v>
      </c>
      <c r="G345">
        <v>43</v>
      </c>
      <c r="H345">
        <v>29</v>
      </c>
    </row>
    <row r="346" spans="1:8" x14ac:dyDescent="0.25">
      <c r="A346" t="s">
        <v>1010</v>
      </c>
      <c r="B346" t="s">
        <v>119</v>
      </c>
      <c r="C346" t="s">
        <v>102</v>
      </c>
      <c r="D346" t="s">
        <v>234</v>
      </c>
      <c r="E346">
        <v>259</v>
      </c>
      <c r="F346">
        <v>23</v>
      </c>
      <c r="G346">
        <v>42</v>
      </c>
      <c r="H346">
        <v>35</v>
      </c>
    </row>
    <row r="347" spans="1:8" x14ac:dyDescent="0.25">
      <c r="A347" t="s">
        <v>1011</v>
      </c>
      <c r="B347" t="s">
        <v>119</v>
      </c>
      <c r="C347" t="s">
        <v>102</v>
      </c>
      <c r="D347" t="s">
        <v>235</v>
      </c>
      <c r="E347">
        <v>230</v>
      </c>
      <c r="F347">
        <v>29</v>
      </c>
      <c r="G347">
        <v>39</v>
      </c>
      <c r="H347">
        <v>32</v>
      </c>
    </row>
    <row r="348" spans="1:8" x14ac:dyDescent="0.25">
      <c r="A348" t="s">
        <v>1012</v>
      </c>
      <c r="B348" t="s">
        <v>119</v>
      </c>
      <c r="C348" t="s">
        <v>102</v>
      </c>
      <c r="D348" t="s">
        <v>236</v>
      </c>
      <c r="E348">
        <v>215</v>
      </c>
      <c r="F348">
        <v>29</v>
      </c>
      <c r="G348">
        <v>45</v>
      </c>
      <c r="H348">
        <v>26</v>
      </c>
    </row>
    <row r="349" spans="1:8" x14ac:dyDescent="0.25">
      <c r="A349" t="s">
        <v>1013</v>
      </c>
      <c r="B349" t="s">
        <v>119</v>
      </c>
      <c r="C349" t="s">
        <v>102</v>
      </c>
      <c r="D349" t="s">
        <v>237</v>
      </c>
      <c r="E349">
        <v>210</v>
      </c>
      <c r="F349">
        <v>23</v>
      </c>
      <c r="G349">
        <v>43</v>
      </c>
      <c r="H349">
        <v>34</v>
      </c>
    </row>
    <row r="350" spans="1:8" x14ac:dyDescent="0.25">
      <c r="A350" t="s">
        <v>1014</v>
      </c>
      <c r="B350" t="s">
        <v>119</v>
      </c>
      <c r="C350" t="s">
        <v>102</v>
      </c>
      <c r="D350" t="s">
        <v>238</v>
      </c>
      <c r="E350">
        <v>243</v>
      </c>
      <c r="F350">
        <v>23</v>
      </c>
      <c r="G350">
        <v>45</v>
      </c>
      <c r="H350">
        <v>32</v>
      </c>
    </row>
    <row r="351" spans="1:8" x14ac:dyDescent="0.25">
      <c r="A351" t="s">
        <v>1015</v>
      </c>
      <c r="B351" t="s">
        <v>119</v>
      </c>
      <c r="C351" t="s">
        <v>102</v>
      </c>
      <c r="D351" t="s">
        <v>239</v>
      </c>
      <c r="E351">
        <v>201</v>
      </c>
      <c r="F351">
        <v>26</v>
      </c>
      <c r="G351">
        <v>41</v>
      </c>
      <c r="H351">
        <v>33</v>
      </c>
    </row>
    <row r="352" spans="1:8" x14ac:dyDescent="0.25">
      <c r="A352" t="s">
        <v>1016</v>
      </c>
      <c r="B352" t="s">
        <v>119</v>
      </c>
      <c r="C352" t="s">
        <v>102</v>
      </c>
      <c r="D352" t="s">
        <v>47</v>
      </c>
      <c r="E352">
        <v>204</v>
      </c>
      <c r="F352">
        <v>22</v>
      </c>
      <c r="G352">
        <v>44</v>
      </c>
      <c r="H352">
        <v>34</v>
      </c>
    </row>
    <row r="353" spans="1:8" x14ac:dyDescent="0.25">
      <c r="A353" t="s">
        <v>1017</v>
      </c>
      <c r="B353" t="s">
        <v>119</v>
      </c>
      <c r="C353" t="s">
        <v>31</v>
      </c>
      <c r="D353" t="s">
        <v>232</v>
      </c>
      <c r="E353">
        <v>299</v>
      </c>
      <c r="F353">
        <v>21</v>
      </c>
      <c r="G353">
        <v>46</v>
      </c>
      <c r="H353">
        <v>33</v>
      </c>
    </row>
    <row r="354" spans="1:8" x14ac:dyDescent="0.25">
      <c r="A354" t="s">
        <v>1018</v>
      </c>
      <c r="B354" t="s">
        <v>119</v>
      </c>
      <c r="C354" t="s">
        <v>31</v>
      </c>
      <c r="D354" t="s">
        <v>233</v>
      </c>
      <c r="E354">
        <v>278</v>
      </c>
      <c r="F354">
        <v>26</v>
      </c>
      <c r="G354">
        <v>49</v>
      </c>
      <c r="H354">
        <v>25</v>
      </c>
    </row>
    <row r="355" spans="1:8" x14ac:dyDescent="0.25">
      <c r="A355" t="s">
        <v>1019</v>
      </c>
      <c r="B355" t="s">
        <v>119</v>
      </c>
      <c r="C355" t="s">
        <v>31</v>
      </c>
      <c r="D355" t="s">
        <v>234</v>
      </c>
      <c r="E355">
        <v>291</v>
      </c>
      <c r="F355">
        <v>22</v>
      </c>
      <c r="G355">
        <v>43</v>
      </c>
      <c r="H355">
        <v>35</v>
      </c>
    </row>
    <row r="356" spans="1:8" x14ac:dyDescent="0.25">
      <c r="A356" t="s">
        <v>1020</v>
      </c>
      <c r="B356" t="s">
        <v>119</v>
      </c>
      <c r="C356" t="s">
        <v>31</v>
      </c>
      <c r="D356" t="s">
        <v>235</v>
      </c>
      <c r="E356">
        <v>259</v>
      </c>
      <c r="F356">
        <v>28</v>
      </c>
      <c r="G356">
        <v>42</v>
      </c>
      <c r="H356">
        <v>30</v>
      </c>
    </row>
    <row r="357" spans="1:8" x14ac:dyDescent="0.25">
      <c r="A357" t="s">
        <v>1021</v>
      </c>
      <c r="B357" t="s">
        <v>119</v>
      </c>
      <c r="C357" t="s">
        <v>31</v>
      </c>
      <c r="D357" t="s">
        <v>236</v>
      </c>
      <c r="E357">
        <v>255</v>
      </c>
      <c r="F357">
        <v>23</v>
      </c>
      <c r="G357">
        <v>44</v>
      </c>
      <c r="H357">
        <v>33</v>
      </c>
    </row>
    <row r="358" spans="1:8" x14ac:dyDescent="0.25">
      <c r="A358" t="s">
        <v>1022</v>
      </c>
      <c r="B358" t="s">
        <v>119</v>
      </c>
      <c r="C358" t="s">
        <v>31</v>
      </c>
      <c r="D358" t="s">
        <v>237</v>
      </c>
      <c r="E358">
        <v>237</v>
      </c>
      <c r="F358">
        <v>19</v>
      </c>
      <c r="G358">
        <v>43</v>
      </c>
      <c r="H358">
        <v>38</v>
      </c>
    </row>
    <row r="359" spans="1:8" x14ac:dyDescent="0.25">
      <c r="A359" t="s">
        <v>1023</v>
      </c>
      <c r="B359" t="s">
        <v>119</v>
      </c>
      <c r="C359" t="s">
        <v>31</v>
      </c>
      <c r="D359" t="s">
        <v>238</v>
      </c>
      <c r="E359">
        <v>278</v>
      </c>
      <c r="F359">
        <v>16</v>
      </c>
      <c r="G359">
        <v>49</v>
      </c>
      <c r="H359">
        <v>35</v>
      </c>
    </row>
    <row r="360" spans="1:8" x14ac:dyDescent="0.25">
      <c r="A360" t="s">
        <v>1024</v>
      </c>
      <c r="B360" t="s">
        <v>119</v>
      </c>
      <c r="C360" t="s">
        <v>31</v>
      </c>
      <c r="D360" t="s">
        <v>239</v>
      </c>
      <c r="E360">
        <v>228</v>
      </c>
      <c r="F360">
        <v>23</v>
      </c>
      <c r="G360">
        <v>49</v>
      </c>
      <c r="H360">
        <v>28</v>
      </c>
    </row>
    <row r="361" spans="1:8" x14ac:dyDescent="0.25">
      <c r="A361" t="s">
        <v>1025</v>
      </c>
      <c r="B361" t="s">
        <v>119</v>
      </c>
      <c r="C361" t="s">
        <v>31</v>
      </c>
      <c r="D361" t="s">
        <v>47</v>
      </c>
      <c r="E361">
        <v>236</v>
      </c>
      <c r="F361">
        <v>25</v>
      </c>
      <c r="G361">
        <v>50</v>
      </c>
      <c r="H361">
        <v>25</v>
      </c>
    </row>
    <row r="362" spans="1:8" x14ac:dyDescent="0.25">
      <c r="A362" t="s">
        <v>1026</v>
      </c>
      <c r="B362" t="s">
        <v>71</v>
      </c>
      <c r="C362" t="s">
        <v>103</v>
      </c>
      <c r="D362" t="s">
        <v>232</v>
      </c>
      <c r="E362">
        <v>482</v>
      </c>
      <c r="F362">
        <v>21</v>
      </c>
      <c r="G362">
        <v>60</v>
      </c>
      <c r="H362">
        <v>19</v>
      </c>
    </row>
    <row r="363" spans="1:8" x14ac:dyDescent="0.25">
      <c r="A363" t="s">
        <v>1027</v>
      </c>
      <c r="B363" t="s">
        <v>71</v>
      </c>
      <c r="C363" t="s">
        <v>103</v>
      </c>
      <c r="D363" t="s">
        <v>233</v>
      </c>
      <c r="E363">
        <v>467</v>
      </c>
      <c r="F363">
        <v>20</v>
      </c>
      <c r="G363">
        <v>59</v>
      </c>
      <c r="H363">
        <v>21</v>
      </c>
    </row>
    <row r="364" spans="1:8" x14ac:dyDescent="0.25">
      <c r="A364" t="s">
        <v>1028</v>
      </c>
      <c r="B364" t="s">
        <v>71</v>
      </c>
      <c r="C364" t="s">
        <v>103</v>
      </c>
      <c r="D364" t="s">
        <v>234</v>
      </c>
      <c r="E364">
        <v>481</v>
      </c>
      <c r="F364">
        <v>15</v>
      </c>
      <c r="G364">
        <v>53</v>
      </c>
      <c r="H364">
        <v>32</v>
      </c>
    </row>
    <row r="365" spans="1:8" x14ac:dyDescent="0.25">
      <c r="A365" t="s">
        <v>1029</v>
      </c>
      <c r="B365" t="s">
        <v>71</v>
      </c>
      <c r="C365" t="s">
        <v>103</v>
      </c>
      <c r="D365" t="s">
        <v>235</v>
      </c>
      <c r="E365">
        <v>444</v>
      </c>
      <c r="F365">
        <v>13</v>
      </c>
      <c r="G365">
        <v>60</v>
      </c>
      <c r="H365">
        <v>27</v>
      </c>
    </row>
    <row r="366" spans="1:8" x14ac:dyDescent="0.25">
      <c r="A366" t="s">
        <v>1030</v>
      </c>
      <c r="B366" t="s">
        <v>71</v>
      </c>
      <c r="C366" t="s">
        <v>103</v>
      </c>
      <c r="D366" t="s">
        <v>236</v>
      </c>
      <c r="E366">
        <v>406</v>
      </c>
      <c r="F366">
        <v>15</v>
      </c>
      <c r="G366">
        <v>60</v>
      </c>
      <c r="H366">
        <v>25</v>
      </c>
    </row>
    <row r="367" spans="1:8" x14ac:dyDescent="0.25">
      <c r="A367" t="s">
        <v>1031</v>
      </c>
      <c r="B367" t="s">
        <v>71</v>
      </c>
      <c r="C367" t="s">
        <v>103</v>
      </c>
      <c r="D367" t="s">
        <v>237</v>
      </c>
      <c r="E367">
        <v>410</v>
      </c>
      <c r="F367">
        <v>16</v>
      </c>
      <c r="G367">
        <v>54</v>
      </c>
      <c r="H367">
        <v>30</v>
      </c>
    </row>
    <row r="368" spans="1:8" x14ac:dyDescent="0.25">
      <c r="A368" t="s">
        <v>1032</v>
      </c>
      <c r="B368" t="s">
        <v>71</v>
      </c>
      <c r="C368" t="s">
        <v>103</v>
      </c>
      <c r="D368" t="s">
        <v>238</v>
      </c>
      <c r="E368">
        <v>470</v>
      </c>
      <c r="F368">
        <v>19</v>
      </c>
      <c r="G368">
        <v>56</v>
      </c>
      <c r="H368">
        <v>25</v>
      </c>
    </row>
    <row r="369" spans="1:8" x14ac:dyDescent="0.25">
      <c r="A369" t="s">
        <v>1033</v>
      </c>
      <c r="B369" t="s">
        <v>71</v>
      </c>
      <c r="C369" t="s">
        <v>103</v>
      </c>
      <c r="D369" t="s">
        <v>239</v>
      </c>
      <c r="E369">
        <v>404</v>
      </c>
      <c r="F369">
        <v>19</v>
      </c>
      <c r="G369">
        <v>53</v>
      </c>
      <c r="H369">
        <v>28</v>
      </c>
    </row>
    <row r="370" spans="1:8" x14ac:dyDescent="0.25">
      <c r="A370" t="s">
        <v>1034</v>
      </c>
      <c r="B370" t="s">
        <v>71</v>
      </c>
      <c r="C370" t="s">
        <v>103</v>
      </c>
      <c r="D370" t="s">
        <v>47</v>
      </c>
      <c r="E370">
        <v>416</v>
      </c>
      <c r="F370">
        <v>18</v>
      </c>
      <c r="G370">
        <v>57</v>
      </c>
      <c r="H370">
        <v>25</v>
      </c>
    </row>
    <row r="371" spans="1:8" x14ac:dyDescent="0.25">
      <c r="A371" t="s">
        <v>1035</v>
      </c>
      <c r="B371" t="s">
        <v>71</v>
      </c>
      <c r="C371" t="s">
        <v>100</v>
      </c>
      <c r="D371" t="s">
        <v>232</v>
      </c>
      <c r="E371">
        <v>486</v>
      </c>
      <c r="F371">
        <v>21</v>
      </c>
      <c r="G371">
        <v>53</v>
      </c>
      <c r="H371">
        <v>26</v>
      </c>
    </row>
    <row r="372" spans="1:8" x14ac:dyDescent="0.25">
      <c r="A372" t="s">
        <v>1036</v>
      </c>
      <c r="B372" t="s">
        <v>71</v>
      </c>
      <c r="C372" t="s">
        <v>100</v>
      </c>
      <c r="D372" t="s">
        <v>233</v>
      </c>
      <c r="E372">
        <v>471</v>
      </c>
      <c r="F372">
        <v>24</v>
      </c>
      <c r="G372">
        <v>52</v>
      </c>
      <c r="H372">
        <v>24</v>
      </c>
    </row>
    <row r="373" spans="1:8" x14ac:dyDescent="0.25">
      <c r="A373" t="s">
        <v>1037</v>
      </c>
      <c r="B373" t="s">
        <v>71</v>
      </c>
      <c r="C373" t="s">
        <v>100</v>
      </c>
      <c r="D373" t="s">
        <v>234</v>
      </c>
      <c r="E373">
        <v>492</v>
      </c>
      <c r="F373">
        <v>21</v>
      </c>
      <c r="G373">
        <v>50</v>
      </c>
      <c r="H373">
        <v>29</v>
      </c>
    </row>
    <row r="374" spans="1:8" x14ac:dyDescent="0.25">
      <c r="A374" t="s">
        <v>1038</v>
      </c>
      <c r="B374" t="s">
        <v>71</v>
      </c>
      <c r="C374" t="s">
        <v>100</v>
      </c>
      <c r="D374" t="s">
        <v>235</v>
      </c>
      <c r="E374">
        <v>453</v>
      </c>
      <c r="F374">
        <v>20</v>
      </c>
      <c r="G374">
        <v>55</v>
      </c>
      <c r="H374">
        <v>25</v>
      </c>
    </row>
    <row r="375" spans="1:8" x14ac:dyDescent="0.25">
      <c r="A375" t="s">
        <v>1039</v>
      </c>
      <c r="B375" t="s">
        <v>71</v>
      </c>
      <c r="C375" t="s">
        <v>100</v>
      </c>
      <c r="D375" t="s">
        <v>236</v>
      </c>
      <c r="E375">
        <v>412</v>
      </c>
      <c r="F375">
        <v>23</v>
      </c>
      <c r="G375">
        <v>53</v>
      </c>
      <c r="H375">
        <v>24</v>
      </c>
    </row>
    <row r="376" spans="1:8" x14ac:dyDescent="0.25">
      <c r="A376" t="s">
        <v>1040</v>
      </c>
      <c r="B376" t="s">
        <v>71</v>
      </c>
      <c r="C376" t="s">
        <v>100</v>
      </c>
      <c r="D376" t="s">
        <v>237</v>
      </c>
      <c r="E376">
        <v>419</v>
      </c>
      <c r="F376">
        <v>26</v>
      </c>
      <c r="G376">
        <v>53</v>
      </c>
      <c r="H376">
        <v>21</v>
      </c>
    </row>
    <row r="377" spans="1:8" x14ac:dyDescent="0.25">
      <c r="A377" t="s">
        <v>1041</v>
      </c>
      <c r="B377" t="s">
        <v>71</v>
      </c>
      <c r="C377" t="s">
        <v>100</v>
      </c>
      <c r="D377" t="s">
        <v>238</v>
      </c>
      <c r="E377">
        <v>478</v>
      </c>
      <c r="F377">
        <v>25</v>
      </c>
      <c r="G377">
        <v>56</v>
      </c>
      <c r="H377">
        <v>19</v>
      </c>
    </row>
    <row r="378" spans="1:8" x14ac:dyDescent="0.25">
      <c r="A378" t="s">
        <v>1042</v>
      </c>
      <c r="B378" t="s">
        <v>71</v>
      </c>
      <c r="C378" t="s">
        <v>100</v>
      </c>
      <c r="D378" t="s">
        <v>239</v>
      </c>
      <c r="E378">
        <v>412</v>
      </c>
      <c r="F378">
        <v>26</v>
      </c>
      <c r="G378">
        <v>52</v>
      </c>
      <c r="H378">
        <v>22</v>
      </c>
    </row>
    <row r="379" spans="1:8" x14ac:dyDescent="0.25">
      <c r="A379" t="s">
        <v>1043</v>
      </c>
      <c r="B379" t="s">
        <v>71</v>
      </c>
      <c r="C379" t="s">
        <v>100</v>
      </c>
      <c r="D379" t="s">
        <v>47</v>
      </c>
      <c r="E379">
        <v>425</v>
      </c>
      <c r="F379">
        <v>28</v>
      </c>
      <c r="G379">
        <v>58</v>
      </c>
      <c r="H379">
        <v>14</v>
      </c>
    </row>
    <row r="380" spans="1:8" x14ac:dyDescent="0.25">
      <c r="A380" t="s">
        <v>1044</v>
      </c>
      <c r="B380" t="s">
        <v>71</v>
      </c>
      <c r="C380" t="s">
        <v>101</v>
      </c>
      <c r="D380" t="s">
        <v>232</v>
      </c>
      <c r="E380">
        <v>425</v>
      </c>
      <c r="F380">
        <v>28</v>
      </c>
      <c r="G380">
        <v>50</v>
      </c>
      <c r="H380">
        <v>22</v>
      </c>
    </row>
    <row r="381" spans="1:8" x14ac:dyDescent="0.25">
      <c r="A381" t="s">
        <v>1045</v>
      </c>
      <c r="B381" t="s">
        <v>71</v>
      </c>
      <c r="C381" t="s">
        <v>101</v>
      </c>
      <c r="D381" t="s">
        <v>233</v>
      </c>
      <c r="E381">
        <v>401</v>
      </c>
      <c r="F381">
        <v>29</v>
      </c>
      <c r="G381">
        <v>49</v>
      </c>
      <c r="H381">
        <v>22</v>
      </c>
    </row>
    <row r="382" spans="1:8" x14ac:dyDescent="0.25">
      <c r="A382" t="s">
        <v>1046</v>
      </c>
      <c r="B382" t="s">
        <v>71</v>
      </c>
      <c r="C382" t="s">
        <v>101</v>
      </c>
      <c r="D382" t="s">
        <v>234</v>
      </c>
      <c r="E382">
        <v>421</v>
      </c>
      <c r="F382">
        <v>28</v>
      </c>
      <c r="G382">
        <v>45</v>
      </c>
      <c r="H382">
        <v>27</v>
      </c>
    </row>
    <row r="383" spans="1:8" x14ac:dyDescent="0.25">
      <c r="A383" t="s">
        <v>1047</v>
      </c>
      <c r="B383" t="s">
        <v>71</v>
      </c>
      <c r="C383" t="s">
        <v>101</v>
      </c>
      <c r="D383" t="s">
        <v>235</v>
      </c>
      <c r="E383">
        <v>386</v>
      </c>
      <c r="F383">
        <v>25</v>
      </c>
      <c r="G383">
        <v>53</v>
      </c>
      <c r="H383">
        <v>22</v>
      </c>
    </row>
    <row r="384" spans="1:8" x14ac:dyDescent="0.25">
      <c r="A384" t="s">
        <v>1048</v>
      </c>
      <c r="B384" t="s">
        <v>71</v>
      </c>
      <c r="C384" t="s">
        <v>101</v>
      </c>
      <c r="D384" t="s">
        <v>236</v>
      </c>
      <c r="E384">
        <v>353</v>
      </c>
      <c r="F384">
        <v>27</v>
      </c>
      <c r="G384">
        <v>45</v>
      </c>
      <c r="H384">
        <v>28</v>
      </c>
    </row>
    <row r="385" spans="1:8" x14ac:dyDescent="0.25">
      <c r="A385" t="s">
        <v>1049</v>
      </c>
      <c r="B385" t="s">
        <v>71</v>
      </c>
      <c r="C385" t="s">
        <v>101</v>
      </c>
      <c r="D385" t="s">
        <v>237</v>
      </c>
      <c r="E385">
        <v>349</v>
      </c>
      <c r="F385">
        <v>31</v>
      </c>
      <c r="G385">
        <v>42</v>
      </c>
      <c r="H385">
        <v>27</v>
      </c>
    </row>
    <row r="386" spans="1:8" x14ac:dyDescent="0.25">
      <c r="A386" t="s">
        <v>1050</v>
      </c>
      <c r="B386" t="s">
        <v>71</v>
      </c>
      <c r="C386" t="s">
        <v>101</v>
      </c>
      <c r="D386" t="s">
        <v>238</v>
      </c>
      <c r="E386">
        <v>404</v>
      </c>
      <c r="F386">
        <v>32</v>
      </c>
      <c r="G386">
        <v>49</v>
      </c>
      <c r="H386">
        <v>19</v>
      </c>
    </row>
    <row r="387" spans="1:8" x14ac:dyDescent="0.25">
      <c r="A387" t="s">
        <v>1051</v>
      </c>
      <c r="B387" t="s">
        <v>71</v>
      </c>
      <c r="C387" t="s">
        <v>101</v>
      </c>
      <c r="D387" t="s">
        <v>239</v>
      </c>
      <c r="E387">
        <v>346</v>
      </c>
      <c r="F387">
        <v>32</v>
      </c>
      <c r="G387">
        <v>46</v>
      </c>
      <c r="H387">
        <v>22</v>
      </c>
    </row>
    <row r="388" spans="1:8" x14ac:dyDescent="0.25">
      <c r="A388" t="s">
        <v>1052</v>
      </c>
      <c r="B388" t="s">
        <v>71</v>
      </c>
      <c r="C388" t="s">
        <v>101</v>
      </c>
      <c r="D388" t="s">
        <v>47</v>
      </c>
      <c r="E388">
        <v>348</v>
      </c>
      <c r="F388">
        <v>34</v>
      </c>
      <c r="G388">
        <v>53</v>
      </c>
      <c r="H388">
        <v>13</v>
      </c>
    </row>
    <row r="389" spans="1:8" x14ac:dyDescent="0.25">
      <c r="A389" t="s">
        <v>1053</v>
      </c>
      <c r="B389" t="s">
        <v>71</v>
      </c>
      <c r="C389" t="s">
        <v>102</v>
      </c>
      <c r="D389" t="s">
        <v>232</v>
      </c>
      <c r="E389">
        <v>430</v>
      </c>
      <c r="F389">
        <v>24</v>
      </c>
      <c r="G389">
        <v>44</v>
      </c>
      <c r="H389">
        <v>32</v>
      </c>
    </row>
    <row r="390" spans="1:8" x14ac:dyDescent="0.25">
      <c r="A390" t="s">
        <v>1054</v>
      </c>
      <c r="B390" t="s">
        <v>71</v>
      </c>
      <c r="C390" t="s">
        <v>102</v>
      </c>
      <c r="D390" t="s">
        <v>233</v>
      </c>
      <c r="E390">
        <v>415</v>
      </c>
      <c r="F390">
        <v>26</v>
      </c>
      <c r="G390">
        <v>41</v>
      </c>
      <c r="H390">
        <v>33</v>
      </c>
    </row>
    <row r="391" spans="1:8" x14ac:dyDescent="0.25">
      <c r="A391" t="s">
        <v>1055</v>
      </c>
      <c r="B391" t="s">
        <v>71</v>
      </c>
      <c r="C391" t="s">
        <v>102</v>
      </c>
      <c r="D391" t="s">
        <v>234</v>
      </c>
      <c r="E391">
        <v>432</v>
      </c>
      <c r="F391">
        <v>17</v>
      </c>
      <c r="G391">
        <v>45</v>
      </c>
      <c r="H391">
        <v>38</v>
      </c>
    </row>
    <row r="392" spans="1:8" x14ac:dyDescent="0.25">
      <c r="A392" t="s">
        <v>1056</v>
      </c>
      <c r="B392" t="s">
        <v>71</v>
      </c>
      <c r="C392" t="s">
        <v>102</v>
      </c>
      <c r="D392" t="s">
        <v>235</v>
      </c>
      <c r="E392">
        <v>396</v>
      </c>
      <c r="F392">
        <v>19</v>
      </c>
      <c r="G392">
        <v>44</v>
      </c>
      <c r="H392">
        <v>37</v>
      </c>
    </row>
    <row r="393" spans="1:8" x14ac:dyDescent="0.25">
      <c r="A393" t="s">
        <v>1057</v>
      </c>
      <c r="B393" t="s">
        <v>71</v>
      </c>
      <c r="C393" t="s">
        <v>102</v>
      </c>
      <c r="D393" t="s">
        <v>236</v>
      </c>
      <c r="E393">
        <v>349</v>
      </c>
      <c r="F393">
        <v>17</v>
      </c>
      <c r="G393">
        <v>50</v>
      </c>
      <c r="H393">
        <v>33</v>
      </c>
    </row>
    <row r="394" spans="1:8" x14ac:dyDescent="0.25">
      <c r="A394" t="s">
        <v>1058</v>
      </c>
      <c r="B394" t="s">
        <v>71</v>
      </c>
      <c r="C394" t="s">
        <v>102</v>
      </c>
      <c r="D394" t="s">
        <v>237</v>
      </c>
      <c r="E394">
        <v>366</v>
      </c>
      <c r="F394">
        <v>23</v>
      </c>
      <c r="G394">
        <v>48</v>
      </c>
      <c r="H394">
        <v>29</v>
      </c>
    </row>
    <row r="395" spans="1:8" x14ac:dyDescent="0.25">
      <c r="A395" t="s">
        <v>1059</v>
      </c>
      <c r="B395" t="s">
        <v>71</v>
      </c>
      <c r="C395" t="s">
        <v>102</v>
      </c>
      <c r="D395" t="s">
        <v>238</v>
      </c>
      <c r="E395">
        <v>418</v>
      </c>
      <c r="F395">
        <v>22</v>
      </c>
      <c r="G395">
        <v>48</v>
      </c>
      <c r="H395">
        <v>30</v>
      </c>
    </row>
    <row r="396" spans="1:8" x14ac:dyDescent="0.25">
      <c r="A396" t="s">
        <v>1060</v>
      </c>
      <c r="B396" t="s">
        <v>71</v>
      </c>
      <c r="C396" t="s">
        <v>102</v>
      </c>
      <c r="D396" t="s">
        <v>239</v>
      </c>
      <c r="E396">
        <v>346</v>
      </c>
      <c r="F396">
        <v>29</v>
      </c>
      <c r="G396">
        <v>41</v>
      </c>
      <c r="H396">
        <v>30</v>
      </c>
    </row>
    <row r="397" spans="1:8" x14ac:dyDescent="0.25">
      <c r="A397" t="s">
        <v>1061</v>
      </c>
      <c r="B397" t="s">
        <v>71</v>
      </c>
      <c r="C397" t="s">
        <v>102</v>
      </c>
      <c r="D397" t="s">
        <v>47</v>
      </c>
      <c r="E397">
        <v>370</v>
      </c>
      <c r="F397">
        <v>21</v>
      </c>
      <c r="G397">
        <v>51</v>
      </c>
      <c r="H397">
        <v>28</v>
      </c>
    </row>
    <row r="398" spans="1:8" x14ac:dyDescent="0.25">
      <c r="A398" t="s">
        <v>1062</v>
      </c>
      <c r="B398" t="s">
        <v>71</v>
      </c>
      <c r="C398" t="s">
        <v>31</v>
      </c>
      <c r="D398" t="s">
        <v>232</v>
      </c>
      <c r="E398">
        <v>489</v>
      </c>
      <c r="F398">
        <v>32</v>
      </c>
      <c r="G398">
        <v>49</v>
      </c>
      <c r="H398">
        <v>19</v>
      </c>
    </row>
    <row r="399" spans="1:8" x14ac:dyDescent="0.25">
      <c r="A399" t="s">
        <v>1063</v>
      </c>
      <c r="B399" t="s">
        <v>71</v>
      </c>
      <c r="C399" t="s">
        <v>31</v>
      </c>
      <c r="D399" t="s">
        <v>233</v>
      </c>
      <c r="E399">
        <v>483</v>
      </c>
      <c r="F399">
        <v>25</v>
      </c>
      <c r="G399">
        <v>49</v>
      </c>
      <c r="H399">
        <v>26</v>
      </c>
    </row>
    <row r="400" spans="1:8" x14ac:dyDescent="0.25">
      <c r="A400" t="s">
        <v>1064</v>
      </c>
      <c r="B400" t="s">
        <v>71</v>
      </c>
      <c r="C400" t="s">
        <v>31</v>
      </c>
      <c r="D400" t="s">
        <v>234</v>
      </c>
      <c r="E400">
        <v>498</v>
      </c>
      <c r="F400">
        <v>22</v>
      </c>
      <c r="G400">
        <v>42</v>
      </c>
      <c r="H400">
        <v>36</v>
      </c>
    </row>
    <row r="401" spans="1:8" x14ac:dyDescent="0.25">
      <c r="A401" t="s">
        <v>1065</v>
      </c>
      <c r="B401" t="s">
        <v>71</v>
      </c>
      <c r="C401" t="s">
        <v>31</v>
      </c>
      <c r="D401" t="s">
        <v>235</v>
      </c>
      <c r="E401">
        <v>454</v>
      </c>
      <c r="F401">
        <v>20</v>
      </c>
      <c r="G401">
        <v>49</v>
      </c>
      <c r="H401">
        <v>31</v>
      </c>
    </row>
    <row r="402" spans="1:8" x14ac:dyDescent="0.25">
      <c r="A402" t="s">
        <v>1066</v>
      </c>
      <c r="B402" t="s">
        <v>71</v>
      </c>
      <c r="C402" t="s">
        <v>31</v>
      </c>
      <c r="D402" t="s">
        <v>236</v>
      </c>
      <c r="E402">
        <v>422</v>
      </c>
      <c r="F402">
        <v>23</v>
      </c>
      <c r="G402">
        <v>48</v>
      </c>
      <c r="H402">
        <v>29</v>
      </c>
    </row>
    <row r="403" spans="1:8" x14ac:dyDescent="0.25">
      <c r="A403" t="s">
        <v>1067</v>
      </c>
      <c r="B403" t="s">
        <v>71</v>
      </c>
      <c r="C403" t="s">
        <v>31</v>
      </c>
      <c r="D403" t="s">
        <v>237</v>
      </c>
      <c r="E403">
        <v>424</v>
      </c>
      <c r="F403">
        <v>24</v>
      </c>
      <c r="G403">
        <v>47</v>
      </c>
      <c r="H403">
        <v>29</v>
      </c>
    </row>
    <row r="404" spans="1:8" x14ac:dyDescent="0.25">
      <c r="A404" t="s">
        <v>1068</v>
      </c>
      <c r="B404" t="s">
        <v>71</v>
      </c>
      <c r="C404" t="s">
        <v>31</v>
      </c>
      <c r="D404" t="s">
        <v>238</v>
      </c>
      <c r="E404">
        <v>484</v>
      </c>
      <c r="F404">
        <v>28</v>
      </c>
      <c r="G404">
        <v>48</v>
      </c>
      <c r="H404">
        <v>24</v>
      </c>
    </row>
    <row r="405" spans="1:8" x14ac:dyDescent="0.25">
      <c r="A405" t="s">
        <v>1069</v>
      </c>
      <c r="B405" t="s">
        <v>71</v>
      </c>
      <c r="C405" t="s">
        <v>31</v>
      </c>
      <c r="D405" t="s">
        <v>239</v>
      </c>
      <c r="E405">
        <v>413</v>
      </c>
      <c r="F405">
        <v>29</v>
      </c>
      <c r="G405">
        <v>50</v>
      </c>
      <c r="H405">
        <v>21</v>
      </c>
    </row>
    <row r="406" spans="1:8" x14ac:dyDescent="0.25">
      <c r="A406" t="s">
        <v>1070</v>
      </c>
      <c r="B406" t="s">
        <v>71</v>
      </c>
      <c r="C406" t="s">
        <v>31</v>
      </c>
      <c r="D406" t="s">
        <v>47</v>
      </c>
      <c r="E406">
        <v>431</v>
      </c>
      <c r="F406">
        <v>37</v>
      </c>
      <c r="G406">
        <v>43</v>
      </c>
      <c r="H406">
        <v>20</v>
      </c>
    </row>
    <row r="407" spans="1:8" x14ac:dyDescent="0.25">
      <c r="A407" t="s">
        <v>1071</v>
      </c>
      <c r="B407" t="s">
        <v>139</v>
      </c>
      <c r="C407" t="s">
        <v>103</v>
      </c>
      <c r="D407" t="s">
        <v>232</v>
      </c>
      <c r="E407">
        <v>12105</v>
      </c>
      <c r="F407">
        <v>16</v>
      </c>
      <c r="G407">
        <v>65</v>
      </c>
      <c r="H407">
        <v>19</v>
      </c>
    </row>
    <row r="408" spans="1:8" x14ac:dyDescent="0.25">
      <c r="A408" t="s">
        <v>1072</v>
      </c>
      <c r="B408" t="s">
        <v>139</v>
      </c>
      <c r="C408" t="s">
        <v>103</v>
      </c>
      <c r="D408" t="s">
        <v>233</v>
      </c>
      <c r="E408">
        <v>10800</v>
      </c>
      <c r="F408">
        <v>16</v>
      </c>
      <c r="G408">
        <v>66</v>
      </c>
      <c r="H408">
        <v>18</v>
      </c>
    </row>
    <row r="409" spans="1:8" x14ac:dyDescent="0.25">
      <c r="A409" t="s">
        <v>1073</v>
      </c>
      <c r="B409" t="s">
        <v>139</v>
      </c>
      <c r="C409" t="s">
        <v>103</v>
      </c>
      <c r="D409" t="s">
        <v>234</v>
      </c>
      <c r="E409">
        <v>10845</v>
      </c>
      <c r="F409">
        <v>14</v>
      </c>
      <c r="G409">
        <v>66</v>
      </c>
      <c r="H409">
        <v>20</v>
      </c>
    </row>
    <row r="410" spans="1:8" x14ac:dyDescent="0.25">
      <c r="A410" t="s">
        <v>1074</v>
      </c>
      <c r="B410" t="s">
        <v>139</v>
      </c>
      <c r="C410" t="s">
        <v>103</v>
      </c>
      <c r="D410" t="s">
        <v>235</v>
      </c>
      <c r="E410">
        <v>9941</v>
      </c>
      <c r="F410">
        <v>14</v>
      </c>
      <c r="G410">
        <v>68</v>
      </c>
      <c r="H410">
        <v>18</v>
      </c>
    </row>
    <row r="411" spans="1:8" x14ac:dyDescent="0.25">
      <c r="A411" t="s">
        <v>1075</v>
      </c>
      <c r="B411" t="s">
        <v>139</v>
      </c>
      <c r="C411" t="s">
        <v>103</v>
      </c>
      <c r="D411" t="s">
        <v>236</v>
      </c>
      <c r="E411">
        <v>10453</v>
      </c>
      <c r="F411">
        <v>14</v>
      </c>
      <c r="G411">
        <v>68</v>
      </c>
      <c r="H411">
        <v>18</v>
      </c>
    </row>
    <row r="412" spans="1:8" x14ac:dyDescent="0.25">
      <c r="A412" t="s">
        <v>1076</v>
      </c>
      <c r="B412" t="s">
        <v>139</v>
      </c>
      <c r="C412" t="s">
        <v>103</v>
      </c>
      <c r="D412" t="s">
        <v>237</v>
      </c>
      <c r="E412">
        <v>10367</v>
      </c>
      <c r="F412">
        <v>13</v>
      </c>
      <c r="G412">
        <v>67</v>
      </c>
      <c r="H412">
        <v>20</v>
      </c>
    </row>
    <row r="413" spans="1:8" x14ac:dyDescent="0.25">
      <c r="A413" t="s">
        <v>1077</v>
      </c>
      <c r="B413" t="s">
        <v>139</v>
      </c>
      <c r="C413" t="s">
        <v>103</v>
      </c>
      <c r="D413" t="s">
        <v>238</v>
      </c>
      <c r="E413">
        <v>11976</v>
      </c>
      <c r="F413">
        <v>13</v>
      </c>
      <c r="G413">
        <v>67</v>
      </c>
      <c r="H413">
        <v>20</v>
      </c>
    </row>
    <row r="414" spans="1:8" x14ac:dyDescent="0.25">
      <c r="A414" t="s">
        <v>1078</v>
      </c>
      <c r="B414" t="s">
        <v>139</v>
      </c>
      <c r="C414" t="s">
        <v>103</v>
      </c>
      <c r="D414" t="s">
        <v>239</v>
      </c>
      <c r="E414">
        <v>10865</v>
      </c>
      <c r="F414">
        <v>11</v>
      </c>
      <c r="G414">
        <v>68</v>
      </c>
      <c r="H414">
        <v>21</v>
      </c>
    </row>
    <row r="415" spans="1:8" x14ac:dyDescent="0.25">
      <c r="A415" t="s">
        <v>1079</v>
      </c>
      <c r="B415" t="s">
        <v>139</v>
      </c>
      <c r="C415" t="s">
        <v>103</v>
      </c>
      <c r="D415" t="s">
        <v>47</v>
      </c>
      <c r="E415">
        <v>10809</v>
      </c>
      <c r="F415">
        <v>11</v>
      </c>
      <c r="G415">
        <v>67</v>
      </c>
      <c r="H415">
        <v>22</v>
      </c>
    </row>
    <row r="416" spans="1:8" x14ac:dyDescent="0.25">
      <c r="A416" t="s">
        <v>1080</v>
      </c>
      <c r="B416" t="s">
        <v>139</v>
      </c>
      <c r="C416" t="s">
        <v>100</v>
      </c>
      <c r="D416" t="s">
        <v>232</v>
      </c>
      <c r="E416">
        <v>12332</v>
      </c>
      <c r="F416">
        <v>15</v>
      </c>
      <c r="G416">
        <v>54</v>
      </c>
      <c r="H416">
        <v>31</v>
      </c>
    </row>
    <row r="417" spans="1:8" x14ac:dyDescent="0.25">
      <c r="A417" t="s">
        <v>1081</v>
      </c>
      <c r="B417" t="s">
        <v>139</v>
      </c>
      <c r="C417" t="s">
        <v>100</v>
      </c>
      <c r="D417" t="s">
        <v>233</v>
      </c>
      <c r="E417">
        <v>11057</v>
      </c>
      <c r="F417">
        <v>17</v>
      </c>
      <c r="G417">
        <v>60</v>
      </c>
      <c r="H417">
        <v>23</v>
      </c>
    </row>
    <row r="418" spans="1:8" x14ac:dyDescent="0.25">
      <c r="A418" t="s">
        <v>1082</v>
      </c>
      <c r="B418" t="s">
        <v>139</v>
      </c>
      <c r="C418" t="s">
        <v>100</v>
      </c>
      <c r="D418" t="s">
        <v>234</v>
      </c>
      <c r="E418">
        <v>11085</v>
      </c>
      <c r="F418">
        <v>14</v>
      </c>
      <c r="G418">
        <v>58</v>
      </c>
      <c r="H418">
        <v>28</v>
      </c>
    </row>
    <row r="419" spans="1:8" x14ac:dyDescent="0.25">
      <c r="A419" t="s">
        <v>1083</v>
      </c>
      <c r="B419" t="s">
        <v>139</v>
      </c>
      <c r="C419" t="s">
        <v>100</v>
      </c>
      <c r="D419" t="s">
        <v>235</v>
      </c>
      <c r="E419">
        <v>10146</v>
      </c>
      <c r="F419">
        <v>15</v>
      </c>
      <c r="G419">
        <v>57</v>
      </c>
      <c r="H419">
        <v>28</v>
      </c>
    </row>
    <row r="420" spans="1:8" x14ac:dyDescent="0.25">
      <c r="A420" t="s">
        <v>1084</v>
      </c>
      <c r="B420" t="s">
        <v>139</v>
      </c>
      <c r="C420" t="s">
        <v>100</v>
      </c>
      <c r="D420" t="s">
        <v>236</v>
      </c>
      <c r="E420">
        <v>10768</v>
      </c>
      <c r="F420">
        <v>17</v>
      </c>
      <c r="G420">
        <v>58</v>
      </c>
      <c r="H420">
        <v>25</v>
      </c>
    </row>
    <row r="421" spans="1:8" x14ac:dyDescent="0.25">
      <c r="A421" t="s">
        <v>1085</v>
      </c>
      <c r="B421" t="s">
        <v>139</v>
      </c>
      <c r="C421" t="s">
        <v>100</v>
      </c>
      <c r="D421" t="s">
        <v>237</v>
      </c>
      <c r="E421">
        <v>10664</v>
      </c>
      <c r="F421">
        <v>15</v>
      </c>
      <c r="G421">
        <v>60</v>
      </c>
      <c r="H421">
        <v>25</v>
      </c>
    </row>
    <row r="422" spans="1:8" x14ac:dyDescent="0.25">
      <c r="A422" t="s">
        <v>1086</v>
      </c>
      <c r="B422" t="s">
        <v>139</v>
      </c>
      <c r="C422" t="s">
        <v>100</v>
      </c>
      <c r="D422" t="s">
        <v>238</v>
      </c>
      <c r="E422">
        <v>12295</v>
      </c>
      <c r="F422">
        <v>16</v>
      </c>
      <c r="G422">
        <v>60</v>
      </c>
      <c r="H422">
        <v>24</v>
      </c>
    </row>
    <row r="423" spans="1:8" x14ac:dyDescent="0.25">
      <c r="A423" t="s">
        <v>1087</v>
      </c>
      <c r="B423" t="s">
        <v>139</v>
      </c>
      <c r="C423" t="s">
        <v>100</v>
      </c>
      <c r="D423" t="s">
        <v>239</v>
      </c>
      <c r="E423">
        <v>11163</v>
      </c>
      <c r="F423">
        <v>13</v>
      </c>
      <c r="G423">
        <v>56</v>
      </c>
      <c r="H423">
        <v>31</v>
      </c>
    </row>
    <row r="424" spans="1:8" x14ac:dyDescent="0.25">
      <c r="A424" t="s">
        <v>1088</v>
      </c>
      <c r="B424" t="s">
        <v>139</v>
      </c>
      <c r="C424" t="s">
        <v>100</v>
      </c>
      <c r="D424" t="s">
        <v>47</v>
      </c>
      <c r="E424">
        <v>11095</v>
      </c>
      <c r="F424">
        <v>14</v>
      </c>
      <c r="G424">
        <v>58</v>
      </c>
      <c r="H424">
        <v>28</v>
      </c>
    </row>
    <row r="425" spans="1:8" x14ac:dyDescent="0.25">
      <c r="A425" t="s">
        <v>1089</v>
      </c>
      <c r="B425" t="s">
        <v>139</v>
      </c>
      <c r="C425" t="s">
        <v>101</v>
      </c>
      <c r="D425" t="s">
        <v>232</v>
      </c>
    </row>
    <row r="426" spans="1:8" x14ac:dyDescent="0.25">
      <c r="A426" t="s">
        <v>1090</v>
      </c>
      <c r="B426" t="s">
        <v>139</v>
      </c>
      <c r="C426" t="s">
        <v>101</v>
      </c>
      <c r="D426" t="s">
        <v>233</v>
      </c>
    </row>
    <row r="427" spans="1:8" x14ac:dyDescent="0.25">
      <c r="A427" t="s">
        <v>1091</v>
      </c>
      <c r="B427" t="s">
        <v>139</v>
      </c>
      <c r="C427" t="s">
        <v>101</v>
      </c>
      <c r="D427" t="s">
        <v>234</v>
      </c>
    </row>
    <row r="428" spans="1:8" x14ac:dyDescent="0.25">
      <c r="A428" t="s">
        <v>1092</v>
      </c>
      <c r="B428" t="s">
        <v>139</v>
      </c>
      <c r="C428" t="s">
        <v>101</v>
      </c>
      <c r="D428" t="s">
        <v>235</v>
      </c>
    </row>
    <row r="429" spans="1:8" x14ac:dyDescent="0.25">
      <c r="A429" t="s">
        <v>1093</v>
      </c>
      <c r="B429" t="s">
        <v>139</v>
      </c>
      <c r="C429" t="s">
        <v>101</v>
      </c>
      <c r="D429" t="s">
        <v>236</v>
      </c>
    </row>
    <row r="430" spans="1:8" x14ac:dyDescent="0.25">
      <c r="A430" t="s">
        <v>1094</v>
      </c>
      <c r="B430" t="s">
        <v>139</v>
      </c>
      <c r="C430" t="s">
        <v>101</v>
      </c>
      <c r="D430" t="s">
        <v>237</v>
      </c>
    </row>
    <row r="431" spans="1:8" x14ac:dyDescent="0.25">
      <c r="A431" t="s">
        <v>1095</v>
      </c>
      <c r="B431" t="s">
        <v>139</v>
      </c>
      <c r="C431" t="s">
        <v>101</v>
      </c>
      <c r="D431" t="s">
        <v>238</v>
      </c>
    </row>
    <row r="432" spans="1:8" x14ac:dyDescent="0.25">
      <c r="A432" t="s">
        <v>1096</v>
      </c>
      <c r="B432" t="s">
        <v>139</v>
      </c>
      <c r="C432" t="s">
        <v>101</v>
      </c>
      <c r="D432" t="s">
        <v>239</v>
      </c>
    </row>
    <row r="433" spans="1:8" x14ac:dyDescent="0.25">
      <c r="A433" t="s">
        <v>1097</v>
      </c>
      <c r="B433" t="s">
        <v>139</v>
      </c>
      <c r="C433" t="s">
        <v>101</v>
      </c>
      <c r="D433" t="s">
        <v>47</v>
      </c>
    </row>
    <row r="434" spans="1:8" x14ac:dyDescent="0.25">
      <c r="A434" t="s">
        <v>1098</v>
      </c>
      <c r="B434" t="s">
        <v>139</v>
      </c>
      <c r="C434" t="s">
        <v>102</v>
      </c>
      <c r="D434" t="s">
        <v>232</v>
      </c>
      <c r="E434">
        <v>10403</v>
      </c>
      <c r="F434">
        <v>25</v>
      </c>
      <c r="G434">
        <v>46</v>
      </c>
      <c r="H434">
        <v>29</v>
      </c>
    </row>
    <row r="435" spans="1:8" x14ac:dyDescent="0.25">
      <c r="A435" t="s">
        <v>1099</v>
      </c>
      <c r="B435" t="s">
        <v>139</v>
      </c>
      <c r="C435" t="s">
        <v>102</v>
      </c>
      <c r="D435" t="s">
        <v>233</v>
      </c>
      <c r="E435">
        <v>9095</v>
      </c>
      <c r="F435">
        <v>26</v>
      </c>
      <c r="G435">
        <v>47</v>
      </c>
      <c r="H435">
        <v>27</v>
      </c>
    </row>
    <row r="436" spans="1:8" x14ac:dyDescent="0.25">
      <c r="A436" t="s">
        <v>1100</v>
      </c>
      <c r="B436" t="s">
        <v>139</v>
      </c>
      <c r="C436" t="s">
        <v>102</v>
      </c>
      <c r="D436" t="s">
        <v>234</v>
      </c>
      <c r="E436">
        <v>9229</v>
      </c>
      <c r="F436">
        <v>25</v>
      </c>
      <c r="G436">
        <v>47</v>
      </c>
      <c r="H436">
        <v>28</v>
      </c>
    </row>
    <row r="437" spans="1:8" x14ac:dyDescent="0.25">
      <c r="A437" t="s">
        <v>1101</v>
      </c>
      <c r="B437" t="s">
        <v>139</v>
      </c>
      <c r="C437" t="s">
        <v>102</v>
      </c>
      <c r="D437" t="s">
        <v>235</v>
      </c>
      <c r="E437">
        <v>8572</v>
      </c>
      <c r="F437">
        <v>26</v>
      </c>
      <c r="G437">
        <v>46</v>
      </c>
      <c r="H437">
        <v>28</v>
      </c>
    </row>
    <row r="438" spans="1:8" x14ac:dyDescent="0.25">
      <c r="A438" t="s">
        <v>1102</v>
      </c>
      <c r="B438" t="s">
        <v>139</v>
      </c>
      <c r="C438" t="s">
        <v>102</v>
      </c>
      <c r="D438" t="s">
        <v>236</v>
      </c>
      <c r="E438">
        <v>8532</v>
      </c>
      <c r="F438">
        <v>27</v>
      </c>
      <c r="G438">
        <v>46</v>
      </c>
      <c r="H438">
        <v>27</v>
      </c>
    </row>
    <row r="439" spans="1:8" x14ac:dyDescent="0.25">
      <c r="A439" t="s">
        <v>1103</v>
      </c>
      <c r="B439" t="s">
        <v>139</v>
      </c>
      <c r="C439" t="s">
        <v>102</v>
      </c>
      <c r="D439" t="s">
        <v>237</v>
      </c>
      <c r="E439">
        <v>8878</v>
      </c>
      <c r="F439">
        <v>25</v>
      </c>
      <c r="G439">
        <v>48</v>
      </c>
      <c r="H439">
        <v>27</v>
      </c>
    </row>
    <row r="440" spans="1:8" x14ac:dyDescent="0.25">
      <c r="A440" t="s">
        <v>1104</v>
      </c>
      <c r="B440" t="s">
        <v>139</v>
      </c>
      <c r="C440" t="s">
        <v>102</v>
      </c>
      <c r="D440" t="s">
        <v>238</v>
      </c>
      <c r="E440">
        <v>10045</v>
      </c>
      <c r="F440">
        <v>25</v>
      </c>
      <c r="G440">
        <v>48</v>
      </c>
      <c r="H440">
        <v>27</v>
      </c>
    </row>
    <row r="441" spans="1:8" x14ac:dyDescent="0.25">
      <c r="A441" t="s">
        <v>1105</v>
      </c>
      <c r="B441" t="s">
        <v>139</v>
      </c>
      <c r="C441" t="s">
        <v>102</v>
      </c>
      <c r="D441" t="s">
        <v>239</v>
      </c>
      <c r="E441">
        <v>9001</v>
      </c>
      <c r="F441">
        <v>25</v>
      </c>
      <c r="G441">
        <v>44</v>
      </c>
      <c r="H441">
        <v>31</v>
      </c>
    </row>
    <row r="442" spans="1:8" x14ac:dyDescent="0.25">
      <c r="A442" t="s">
        <v>1106</v>
      </c>
      <c r="B442" t="s">
        <v>139</v>
      </c>
      <c r="C442" t="s">
        <v>102</v>
      </c>
      <c r="D442" t="s">
        <v>47</v>
      </c>
      <c r="E442">
        <v>9063</v>
      </c>
      <c r="F442">
        <v>27</v>
      </c>
      <c r="G442">
        <v>46</v>
      </c>
      <c r="H442">
        <v>27</v>
      </c>
    </row>
    <row r="443" spans="1:8" x14ac:dyDescent="0.25">
      <c r="A443" t="s">
        <v>1107</v>
      </c>
      <c r="B443" t="s">
        <v>139</v>
      </c>
      <c r="C443" t="s">
        <v>31</v>
      </c>
      <c r="D443" t="s">
        <v>232</v>
      </c>
      <c r="E443">
        <v>12465</v>
      </c>
      <c r="F443">
        <v>33</v>
      </c>
      <c r="G443">
        <v>48</v>
      </c>
      <c r="H443">
        <v>19</v>
      </c>
    </row>
    <row r="444" spans="1:8" x14ac:dyDescent="0.25">
      <c r="A444" t="s">
        <v>1108</v>
      </c>
      <c r="B444" t="s">
        <v>139</v>
      </c>
      <c r="C444" t="s">
        <v>31</v>
      </c>
      <c r="D444" t="s">
        <v>233</v>
      </c>
      <c r="E444">
        <v>11183</v>
      </c>
      <c r="F444">
        <v>32</v>
      </c>
      <c r="G444">
        <v>49</v>
      </c>
      <c r="H444">
        <v>19</v>
      </c>
    </row>
    <row r="445" spans="1:8" x14ac:dyDescent="0.25">
      <c r="A445" t="s">
        <v>1109</v>
      </c>
      <c r="B445" t="s">
        <v>139</v>
      </c>
      <c r="C445" t="s">
        <v>31</v>
      </c>
      <c r="D445" t="s">
        <v>234</v>
      </c>
      <c r="E445">
        <v>11199</v>
      </c>
      <c r="F445">
        <v>31</v>
      </c>
      <c r="G445">
        <v>50</v>
      </c>
      <c r="H445">
        <v>19</v>
      </c>
    </row>
    <row r="446" spans="1:8" x14ac:dyDescent="0.25">
      <c r="A446" t="s">
        <v>1110</v>
      </c>
      <c r="B446" t="s">
        <v>139</v>
      </c>
      <c r="C446" t="s">
        <v>31</v>
      </c>
      <c r="D446" t="s">
        <v>235</v>
      </c>
      <c r="E446">
        <v>10258</v>
      </c>
      <c r="F446">
        <v>30</v>
      </c>
      <c r="G446">
        <v>51</v>
      </c>
      <c r="H446">
        <v>19</v>
      </c>
    </row>
    <row r="447" spans="1:8" x14ac:dyDescent="0.25">
      <c r="A447" t="s">
        <v>1111</v>
      </c>
      <c r="B447" t="s">
        <v>139</v>
      </c>
      <c r="C447" t="s">
        <v>31</v>
      </c>
      <c r="D447" t="s">
        <v>236</v>
      </c>
      <c r="E447">
        <v>10877</v>
      </c>
      <c r="F447">
        <v>29</v>
      </c>
      <c r="G447">
        <v>50</v>
      </c>
      <c r="H447">
        <v>21</v>
      </c>
    </row>
    <row r="448" spans="1:8" x14ac:dyDescent="0.25">
      <c r="A448" t="s">
        <v>1112</v>
      </c>
      <c r="B448" t="s">
        <v>139</v>
      </c>
      <c r="C448" t="s">
        <v>31</v>
      </c>
      <c r="D448" t="s">
        <v>237</v>
      </c>
      <c r="E448">
        <v>10777</v>
      </c>
      <c r="F448">
        <v>30</v>
      </c>
      <c r="G448">
        <v>50</v>
      </c>
      <c r="H448">
        <v>20</v>
      </c>
    </row>
    <row r="449" spans="1:8" x14ac:dyDescent="0.25">
      <c r="A449" t="s">
        <v>1113</v>
      </c>
      <c r="B449" t="s">
        <v>139</v>
      </c>
      <c r="C449" t="s">
        <v>31</v>
      </c>
      <c r="D449" t="s">
        <v>238</v>
      </c>
      <c r="E449">
        <v>12378</v>
      </c>
      <c r="F449">
        <v>30</v>
      </c>
      <c r="G449">
        <v>50</v>
      </c>
      <c r="H449">
        <v>20</v>
      </c>
    </row>
    <row r="450" spans="1:8" x14ac:dyDescent="0.25">
      <c r="A450" t="s">
        <v>1114</v>
      </c>
      <c r="B450" t="s">
        <v>139</v>
      </c>
      <c r="C450" t="s">
        <v>31</v>
      </c>
      <c r="D450" t="s">
        <v>239</v>
      </c>
      <c r="E450">
        <v>11278</v>
      </c>
      <c r="F450">
        <v>27</v>
      </c>
      <c r="G450">
        <v>49</v>
      </c>
      <c r="H450">
        <v>24</v>
      </c>
    </row>
    <row r="451" spans="1:8" x14ac:dyDescent="0.25">
      <c r="A451" t="s">
        <v>1115</v>
      </c>
      <c r="B451" t="s">
        <v>139</v>
      </c>
      <c r="C451" t="s">
        <v>31</v>
      </c>
      <c r="D451" t="s">
        <v>47</v>
      </c>
      <c r="E451">
        <v>11204</v>
      </c>
      <c r="F451">
        <v>30</v>
      </c>
      <c r="G451">
        <v>50</v>
      </c>
      <c r="H451">
        <v>20</v>
      </c>
    </row>
    <row r="452" spans="1:8" x14ac:dyDescent="0.25">
      <c r="A452" t="s">
        <v>1116</v>
      </c>
      <c r="B452" t="s">
        <v>118</v>
      </c>
      <c r="C452" t="s">
        <v>103</v>
      </c>
      <c r="D452" t="s">
        <v>232</v>
      </c>
      <c r="E452">
        <v>217</v>
      </c>
      <c r="F452">
        <v>5</v>
      </c>
      <c r="G452">
        <v>66</v>
      </c>
      <c r="H452">
        <v>29</v>
      </c>
    </row>
    <row r="453" spans="1:8" x14ac:dyDescent="0.25">
      <c r="A453" t="s">
        <v>1117</v>
      </c>
      <c r="B453" t="s">
        <v>118</v>
      </c>
      <c r="C453" t="s">
        <v>103</v>
      </c>
      <c r="D453" t="s">
        <v>233</v>
      </c>
      <c r="E453">
        <v>193</v>
      </c>
      <c r="F453">
        <v>5</v>
      </c>
      <c r="G453">
        <v>64</v>
      </c>
      <c r="H453">
        <v>31</v>
      </c>
    </row>
    <row r="454" spans="1:8" x14ac:dyDescent="0.25">
      <c r="A454" t="s">
        <v>1118</v>
      </c>
      <c r="B454" t="s">
        <v>118</v>
      </c>
      <c r="C454" t="s">
        <v>103</v>
      </c>
      <c r="D454" t="s">
        <v>234</v>
      </c>
      <c r="E454">
        <v>193</v>
      </c>
      <c r="F454">
        <v>5</v>
      </c>
      <c r="G454">
        <v>61</v>
      </c>
      <c r="H454">
        <v>34</v>
      </c>
    </row>
    <row r="455" spans="1:8" x14ac:dyDescent="0.25">
      <c r="A455" t="s">
        <v>1119</v>
      </c>
      <c r="B455" t="s">
        <v>118</v>
      </c>
      <c r="C455" t="s">
        <v>103</v>
      </c>
      <c r="D455" t="s">
        <v>235</v>
      </c>
      <c r="E455">
        <v>172</v>
      </c>
      <c r="F455">
        <v>7</v>
      </c>
      <c r="G455">
        <v>57</v>
      </c>
      <c r="H455">
        <v>36</v>
      </c>
    </row>
    <row r="456" spans="1:8" x14ac:dyDescent="0.25">
      <c r="A456" t="s">
        <v>1120</v>
      </c>
      <c r="B456" t="s">
        <v>118</v>
      </c>
      <c r="C456" t="s">
        <v>103</v>
      </c>
      <c r="D456" t="s">
        <v>236</v>
      </c>
      <c r="E456">
        <v>180</v>
      </c>
      <c r="F456">
        <v>5</v>
      </c>
      <c r="G456">
        <v>55</v>
      </c>
      <c r="H456">
        <v>40</v>
      </c>
    </row>
    <row r="457" spans="1:8" x14ac:dyDescent="0.25">
      <c r="A457" t="s">
        <v>1121</v>
      </c>
      <c r="B457" t="s">
        <v>118</v>
      </c>
      <c r="C457" t="s">
        <v>103</v>
      </c>
      <c r="D457" t="s">
        <v>237</v>
      </c>
      <c r="E457">
        <v>173</v>
      </c>
      <c r="F457">
        <v>5</v>
      </c>
      <c r="G457">
        <v>56</v>
      </c>
      <c r="H457">
        <v>39</v>
      </c>
    </row>
    <row r="458" spans="1:8" x14ac:dyDescent="0.25">
      <c r="A458" t="s">
        <v>1122</v>
      </c>
      <c r="B458" t="s">
        <v>118</v>
      </c>
      <c r="C458" t="s">
        <v>103</v>
      </c>
      <c r="D458" t="s">
        <v>238</v>
      </c>
      <c r="E458">
        <v>157</v>
      </c>
      <c r="F458">
        <v>5</v>
      </c>
      <c r="G458">
        <v>60</v>
      </c>
      <c r="H458">
        <v>35</v>
      </c>
    </row>
    <row r="459" spans="1:8" x14ac:dyDescent="0.25">
      <c r="A459" t="s">
        <v>1123</v>
      </c>
      <c r="B459" t="s">
        <v>118</v>
      </c>
      <c r="C459" t="s">
        <v>103</v>
      </c>
      <c r="D459" t="s">
        <v>239</v>
      </c>
      <c r="E459">
        <v>143</v>
      </c>
      <c r="F459">
        <v>5</v>
      </c>
      <c r="G459">
        <v>56</v>
      </c>
      <c r="H459">
        <v>39</v>
      </c>
    </row>
    <row r="460" spans="1:8" x14ac:dyDescent="0.25">
      <c r="A460" t="s">
        <v>1124</v>
      </c>
      <c r="B460" t="s">
        <v>118</v>
      </c>
      <c r="C460" t="s">
        <v>103</v>
      </c>
      <c r="D460" t="s">
        <v>47</v>
      </c>
      <c r="E460">
        <v>142</v>
      </c>
      <c r="F460">
        <v>7</v>
      </c>
      <c r="G460">
        <v>61</v>
      </c>
      <c r="H460">
        <v>32</v>
      </c>
    </row>
    <row r="461" spans="1:8" x14ac:dyDescent="0.25">
      <c r="A461" t="s">
        <v>1125</v>
      </c>
      <c r="B461" t="s">
        <v>118</v>
      </c>
      <c r="C461" t="s">
        <v>100</v>
      </c>
      <c r="D461" t="s">
        <v>232</v>
      </c>
      <c r="E461">
        <v>222</v>
      </c>
      <c r="F461">
        <v>10</v>
      </c>
      <c r="G461">
        <v>48</v>
      </c>
      <c r="H461">
        <v>42</v>
      </c>
    </row>
    <row r="462" spans="1:8" x14ac:dyDescent="0.25">
      <c r="A462" t="s">
        <v>1126</v>
      </c>
      <c r="B462" t="s">
        <v>118</v>
      </c>
      <c r="C462" t="s">
        <v>100</v>
      </c>
      <c r="D462" t="s">
        <v>233</v>
      </c>
      <c r="E462">
        <v>201</v>
      </c>
      <c r="F462">
        <v>14</v>
      </c>
      <c r="G462">
        <v>57</v>
      </c>
      <c r="H462">
        <v>29</v>
      </c>
    </row>
    <row r="463" spans="1:8" x14ac:dyDescent="0.25">
      <c r="A463" t="s">
        <v>1127</v>
      </c>
      <c r="B463" t="s">
        <v>118</v>
      </c>
      <c r="C463" t="s">
        <v>100</v>
      </c>
      <c r="D463" t="s">
        <v>234</v>
      </c>
      <c r="E463">
        <v>196</v>
      </c>
      <c r="F463">
        <v>8</v>
      </c>
      <c r="G463">
        <v>61</v>
      </c>
      <c r="H463">
        <v>31</v>
      </c>
    </row>
    <row r="464" spans="1:8" x14ac:dyDescent="0.25">
      <c r="A464" t="s">
        <v>1128</v>
      </c>
      <c r="B464" t="s">
        <v>118</v>
      </c>
      <c r="C464" t="s">
        <v>100</v>
      </c>
      <c r="D464" t="s">
        <v>235</v>
      </c>
      <c r="E464">
        <v>171</v>
      </c>
      <c r="F464">
        <v>9</v>
      </c>
      <c r="G464">
        <v>51</v>
      </c>
      <c r="H464">
        <v>40</v>
      </c>
    </row>
    <row r="465" spans="1:8" x14ac:dyDescent="0.25">
      <c r="A465" t="s">
        <v>1129</v>
      </c>
      <c r="B465" t="s">
        <v>118</v>
      </c>
      <c r="C465" t="s">
        <v>100</v>
      </c>
      <c r="D465" t="s">
        <v>236</v>
      </c>
      <c r="E465">
        <v>186</v>
      </c>
      <c r="F465">
        <v>10</v>
      </c>
      <c r="G465">
        <v>52</v>
      </c>
      <c r="H465">
        <v>38</v>
      </c>
    </row>
    <row r="466" spans="1:8" x14ac:dyDescent="0.25">
      <c r="A466" t="s">
        <v>1130</v>
      </c>
      <c r="B466" t="s">
        <v>118</v>
      </c>
      <c r="C466" t="s">
        <v>100</v>
      </c>
      <c r="D466" t="s">
        <v>237</v>
      </c>
      <c r="E466">
        <v>178</v>
      </c>
      <c r="F466">
        <v>11</v>
      </c>
      <c r="G466">
        <v>54</v>
      </c>
      <c r="H466">
        <v>35</v>
      </c>
    </row>
    <row r="467" spans="1:8" x14ac:dyDescent="0.25">
      <c r="A467" t="s">
        <v>1131</v>
      </c>
      <c r="B467" t="s">
        <v>118</v>
      </c>
      <c r="C467" t="s">
        <v>100</v>
      </c>
      <c r="D467" t="s">
        <v>238</v>
      </c>
      <c r="E467">
        <v>166</v>
      </c>
      <c r="F467">
        <v>8</v>
      </c>
      <c r="G467">
        <v>61</v>
      </c>
      <c r="H467">
        <v>31</v>
      </c>
    </row>
    <row r="468" spans="1:8" x14ac:dyDescent="0.25">
      <c r="A468" t="s">
        <v>1132</v>
      </c>
      <c r="B468" t="s">
        <v>118</v>
      </c>
      <c r="C468" t="s">
        <v>100</v>
      </c>
      <c r="D468" t="s">
        <v>239</v>
      </c>
      <c r="E468">
        <v>147</v>
      </c>
      <c r="F468">
        <v>9</v>
      </c>
      <c r="G468">
        <v>49</v>
      </c>
      <c r="H468">
        <v>42</v>
      </c>
    </row>
    <row r="469" spans="1:8" x14ac:dyDescent="0.25">
      <c r="A469" t="s">
        <v>1133</v>
      </c>
      <c r="B469" t="s">
        <v>118</v>
      </c>
      <c r="C469" t="s">
        <v>100</v>
      </c>
      <c r="D469" t="s">
        <v>47</v>
      </c>
      <c r="E469">
        <v>152</v>
      </c>
      <c r="F469">
        <v>12</v>
      </c>
      <c r="G469">
        <v>61</v>
      </c>
      <c r="H469">
        <v>27</v>
      </c>
    </row>
    <row r="470" spans="1:8" x14ac:dyDescent="0.25">
      <c r="A470" t="s">
        <v>1134</v>
      </c>
      <c r="B470" t="s">
        <v>118</v>
      </c>
      <c r="C470" t="s">
        <v>101</v>
      </c>
      <c r="D470" t="s">
        <v>232</v>
      </c>
      <c r="E470">
        <v>101</v>
      </c>
      <c r="F470">
        <v>6</v>
      </c>
      <c r="G470">
        <v>58</v>
      </c>
      <c r="H470">
        <v>36</v>
      </c>
    </row>
    <row r="471" spans="1:8" x14ac:dyDescent="0.25">
      <c r="A471" t="s">
        <v>1135</v>
      </c>
      <c r="B471" t="s">
        <v>118</v>
      </c>
      <c r="C471" t="s">
        <v>101</v>
      </c>
      <c r="D471" t="s">
        <v>233</v>
      </c>
      <c r="E471">
        <v>93</v>
      </c>
      <c r="F471">
        <v>12</v>
      </c>
      <c r="G471">
        <v>58</v>
      </c>
      <c r="H471">
        <v>30</v>
      </c>
    </row>
    <row r="472" spans="1:8" x14ac:dyDescent="0.25">
      <c r="A472" t="s">
        <v>1136</v>
      </c>
      <c r="B472" t="s">
        <v>118</v>
      </c>
      <c r="C472" t="s">
        <v>101</v>
      </c>
      <c r="D472" t="s">
        <v>234</v>
      </c>
      <c r="E472">
        <v>85</v>
      </c>
      <c r="F472">
        <v>9</v>
      </c>
      <c r="G472">
        <v>61</v>
      </c>
      <c r="H472">
        <v>30</v>
      </c>
    </row>
    <row r="473" spans="1:8" x14ac:dyDescent="0.25">
      <c r="A473" t="s">
        <v>1137</v>
      </c>
      <c r="B473" t="s">
        <v>118</v>
      </c>
      <c r="C473" t="s">
        <v>101</v>
      </c>
      <c r="D473" t="s">
        <v>235</v>
      </c>
      <c r="E473">
        <v>79</v>
      </c>
      <c r="F473">
        <v>14</v>
      </c>
      <c r="G473">
        <v>63</v>
      </c>
      <c r="H473">
        <v>23</v>
      </c>
    </row>
    <row r="474" spans="1:8" x14ac:dyDescent="0.25">
      <c r="A474" t="s">
        <v>1138</v>
      </c>
      <c r="B474" t="s">
        <v>118</v>
      </c>
      <c r="C474" t="s">
        <v>101</v>
      </c>
      <c r="D474" t="s">
        <v>236</v>
      </c>
      <c r="E474">
        <v>83</v>
      </c>
      <c r="F474">
        <v>6</v>
      </c>
      <c r="G474">
        <v>63</v>
      </c>
      <c r="H474">
        <v>31</v>
      </c>
    </row>
    <row r="475" spans="1:8" x14ac:dyDescent="0.25">
      <c r="A475" t="s">
        <v>1139</v>
      </c>
      <c r="B475" t="s">
        <v>118</v>
      </c>
      <c r="C475" t="s">
        <v>101</v>
      </c>
      <c r="D475" t="s">
        <v>237</v>
      </c>
      <c r="E475">
        <v>73</v>
      </c>
      <c r="F475">
        <v>7</v>
      </c>
      <c r="G475">
        <v>65</v>
      </c>
      <c r="H475">
        <v>28</v>
      </c>
    </row>
    <row r="476" spans="1:8" x14ac:dyDescent="0.25">
      <c r="A476" t="s">
        <v>1140</v>
      </c>
      <c r="B476" t="s">
        <v>118</v>
      </c>
      <c r="C476" t="s">
        <v>101</v>
      </c>
      <c r="D476" t="s">
        <v>238</v>
      </c>
      <c r="E476">
        <v>75</v>
      </c>
      <c r="F476">
        <v>3</v>
      </c>
      <c r="G476">
        <v>78</v>
      </c>
      <c r="H476">
        <v>19</v>
      </c>
    </row>
    <row r="477" spans="1:8" x14ac:dyDescent="0.25">
      <c r="A477" t="s">
        <v>1141</v>
      </c>
      <c r="B477" t="s">
        <v>118</v>
      </c>
      <c r="C477" t="s">
        <v>101</v>
      </c>
      <c r="D477" t="s">
        <v>239</v>
      </c>
      <c r="E477">
        <v>63</v>
      </c>
      <c r="F477">
        <v>6</v>
      </c>
      <c r="G477">
        <v>60</v>
      </c>
      <c r="H477">
        <v>34</v>
      </c>
    </row>
    <row r="478" spans="1:8" x14ac:dyDescent="0.25">
      <c r="A478" t="s">
        <v>1142</v>
      </c>
      <c r="B478" t="s">
        <v>118</v>
      </c>
      <c r="C478" t="s">
        <v>101</v>
      </c>
      <c r="D478" t="s">
        <v>47</v>
      </c>
      <c r="E478">
        <v>65</v>
      </c>
      <c r="F478">
        <v>10</v>
      </c>
      <c r="G478">
        <v>65</v>
      </c>
      <c r="H478">
        <v>25</v>
      </c>
    </row>
    <row r="479" spans="1:8" x14ac:dyDescent="0.25">
      <c r="A479" t="s">
        <v>1143</v>
      </c>
      <c r="B479" t="s">
        <v>118</v>
      </c>
      <c r="C479" t="s">
        <v>102</v>
      </c>
      <c r="D479" t="s">
        <v>232</v>
      </c>
      <c r="E479">
        <v>170</v>
      </c>
      <c r="F479">
        <v>17</v>
      </c>
      <c r="G479">
        <v>40</v>
      </c>
      <c r="H479">
        <v>43</v>
      </c>
    </row>
    <row r="480" spans="1:8" x14ac:dyDescent="0.25">
      <c r="A480" t="s">
        <v>1144</v>
      </c>
      <c r="B480" t="s">
        <v>118</v>
      </c>
      <c r="C480" t="s">
        <v>102</v>
      </c>
      <c r="D480" t="s">
        <v>233</v>
      </c>
      <c r="E480">
        <v>155</v>
      </c>
      <c r="F480">
        <v>18</v>
      </c>
      <c r="G480">
        <v>41</v>
      </c>
      <c r="H480">
        <v>41</v>
      </c>
    </row>
    <row r="481" spans="1:8" x14ac:dyDescent="0.25">
      <c r="A481" t="s">
        <v>1145</v>
      </c>
      <c r="B481" t="s">
        <v>118</v>
      </c>
      <c r="C481" t="s">
        <v>102</v>
      </c>
      <c r="D481" t="s">
        <v>234</v>
      </c>
      <c r="E481">
        <v>149</v>
      </c>
      <c r="F481">
        <v>14</v>
      </c>
      <c r="G481">
        <v>46</v>
      </c>
      <c r="H481">
        <v>40</v>
      </c>
    </row>
    <row r="482" spans="1:8" x14ac:dyDescent="0.25">
      <c r="A482" t="s">
        <v>1146</v>
      </c>
      <c r="B482" t="s">
        <v>118</v>
      </c>
      <c r="C482" t="s">
        <v>102</v>
      </c>
      <c r="D482" t="s">
        <v>235</v>
      </c>
      <c r="E482">
        <v>134</v>
      </c>
      <c r="F482">
        <v>19</v>
      </c>
      <c r="G482">
        <v>43</v>
      </c>
      <c r="H482">
        <v>38</v>
      </c>
    </row>
    <row r="483" spans="1:8" x14ac:dyDescent="0.25">
      <c r="A483" t="s">
        <v>1147</v>
      </c>
      <c r="B483" t="s">
        <v>118</v>
      </c>
      <c r="C483" t="s">
        <v>102</v>
      </c>
      <c r="D483" t="s">
        <v>236</v>
      </c>
      <c r="E483">
        <v>126</v>
      </c>
      <c r="F483">
        <v>14</v>
      </c>
      <c r="G483">
        <v>43</v>
      </c>
      <c r="H483">
        <v>43</v>
      </c>
    </row>
    <row r="484" spans="1:8" x14ac:dyDescent="0.25">
      <c r="A484" t="s">
        <v>1148</v>
      </c>
      <c r="B484" t="s">
        <v>118</v>
      </c>
      <c r="C484" t="s">
        <v>102</v>
      </c>
      <c r="D484" t="s">
        <v>237</v>
      </c>
      <c r="E484">
        <v>131</v>
      </c>
      <c r="F484">
        <v>18</v>
      </c>
      <c r="G484">
        <v>37</v>
      </c>
      <c r="H484">
        <v>45</v>
      </c>
    </row>
    <row r="485" spans="1:8" x14ac:dyDescent="0.25">
      <c r="A485" t="s">
        <v>1149</v>
      </c>
      <c r="B485" t="s">
        <v>118</v>
      </c>
      <c r="C485" t="s">
        <v>102</v>
      </c>
      <c r="D485" t="s">
        <v>238</v>
      </c>
      <c r="E485">
        <v>116</v>
      </c>
      <c r="F485">
        <v>21</v>
      </c>
      <c r="G485">
        <v>39</v>
      </c>
      <c r="H485">
        <v>40</v>
      </c>
    </row>
    <row r="486" spans="1:8" x14ac:dyDescent="0.25">
      <c r="A486" t="s">
        <v>1150</v>
      </c>
      <c r="B486" t="s">
        <v>118</v>
      </c>
      <c r="C486" t="s">
        <v>102</v>
      </c>
      <c r="D486" t="s">
        <v>239</v>
      </c>
      <c r="E486">
        <v>104</v>
      </c>
      <c r="F486">
        <v>19</v>
      </c>
      <c r="G486">
        <v>38</v>
      </c>
      <c r="H486">
        <v>43</v>
      </c>
    </row>
    <row r="487" spans="1:8" x14ac:dyDescent="0.25">
      <c r="A487" t="s">
        <v>1151</v>
      </c>
      <c r="B487" t="s">
        <v>118</v>
      </c>
      <c r="C487" t="s">
        <v>102</v>
      </c>
      <c r="D487" t="s">
        <v>47</v>
      </c>
      <c r="E487">
        <v>112</v>
      </c>
      <c r="F487">
        <v>23</v>
      </c>
      <c r="G487">
        <v>44</v>
      </c>
      <c r="H487">
        <v>33</v>
      </c>
    </row>
    <row r="488" spans="1:8" x14ac:dyDescent="0.25">
      <c r="A488" t="s">
        <v>1152</v>
      </c>
      <c r="B488" t="s">
        <v>118</v>
      </c>
      <c r="C488" t="s">
        <v>31</v>
      </c>
      <c r="D488" t="s">
        <v>232</v>
      </c>
      <c r="E488">
        <v>227</v>
      </c>
      <c r="F488">
        <v>15</v>
      </c>
      <c r="G488">
        <v>53</v>
      </c>
      <c r="H488">
        <v>32</v>
      </c>
    </row>
    <row r="489" spans="1:8" x14ac:dyDescent="0.25">
      <c r="A489" t="s">
        <v>1153</v>
      </c>
      <c r="B489" t="s">
        <v>118</v>
      </c>
      <c r="C489" t="s">
        <v>31</v>
      </c>
      <c r="D489" t="s">
        <v>233</v>
      </c>
      <c r="E489">
        <v>205</v>
      </c>
      <c r="F489">
        <v>10</v>
      </c>
      <c r="G489">
        <v>53</v>
      </c>
      <c r="H489">
        <v>37</v>
      </c>
    </row>
    <row r="490" spans="1:8" x14ac:dyDescent="0.25">
      <c r="A490" t="s">
        <v>1154</v>
      </c>
      <c r="B490" t="s">
        <v>118</v>
      </c>
      <c r="C490" t="s">
        <v>31</v>
      </c>
      <c r="D490" t="s">
        <v>234</v>
      </c>
      <c r="E490">
        <v>203</v>
      </c>
      <c r="F490">
        <v>17</v>
      </c>
      <c r="G490">
        <v>43</v>
      </c>
      <c r="H490">
        <v>40</v>
      </c>
    </row>
    <row r="491" spans="1:8" x14ac:dyDescent="0.25">
      <c r="A491" t="s">
        <v>1155</v>
      </c>
      <c r="B491" t="s">
        <v>118</v>
      </c>
      <c r="C491" t="s">
        <v>31</v>
      </c>
      <c r="D491" t="s">
        <v>235</v>
      </c>
      <c r="E491">
        <v>181</v>
      </c>
      <c r="F491">
        <v>18</v>
      </c>
      <c r="G491">
        <v>47</v>
      </c>
      <c r="H491">
        <v>35</v>
      </c>
    </row>
    <row r="492" spans="1:8" x14ac:dyDescent="0.25">
      <c r="A492" t="s">
        <v>1156</v>
      </c>
      <c r="B492" t="s">
        <v>118</v>
      </c>
      <c r="C492" t="s">
        <v>31</v>
      </c>
      <c r="D492" t="s">
        <v>236</v>
      </c>
      <c r="E492">
        <v>185</v>
      </c>
      <c r="F492">
        <v>16</v>
      </c>
      <c r="G492">
        <v>45</v>
      </c>
      <c r="H492">
        <v>39</v>
      </c>
    </row>
    <row r="493" spans="1:8" x14ac:dyDescent="0.25">
      <c r="A493" t="s">
        <v>1157</v>
      </c>
      <c r="B493" t="s">
        <v>118</v>
      </c>
      <c r="C493" t="s">
        <v>31</v>
      </c>
      <c r="D493" t="s">
        <v>237</v>
      </c>
      <c r="E493">
        <v>180</v>
      </c>
      <c r="F493">
        <v>14</v>
      </c>
      <c r="G493">
        <v>50</v>
      </c>
      <c r="H493">
        <v>36</v>
      </c>
    </row>
    <row r="494" spans="1:8" x14ac:dyDescent="0.25">
      <c r="A494" t="s">
        <v>1158</v>
      </c>
      <c r="B494" t="s">
        <v>118</v>
      </c>
      <c r="C494" t="s">
        <v>31</v>
      </c>
      <c r="D494" t="s">
        <v>238</v>
      </c>
      <c r="E494">
        <v>169</v>
      </c>
      <c r="F494">
        <v>14</v>
      </c>
      <c r="G494">
        <v>56</v>
      </c>
      <c r="H494">
        <v>30</v>
      </c>
    </row>
    <row r="495" spans="1:8" x14ac:dyDescent="0.25">
      <c r="A495" t="s">
        <v>1159</v>
      </c>
      <c r="B495" t="s">
        <v>118</v>
      </c>
      <c r="C495" t="s">
        <v>31</v>
      </c>
      <c r="D495" t="s">
        <v>239</v>
      </c>
      <c r="E495">
        <v>148</v>
      </c>
      <c r="F495">
        <v>16</v>
      </c>
      <c r="G495">
        <v>48</v>
      </c>
      <c r="H495">
        <v>36</v>
      </c>
    </row>
    <row r="496" spans="1:8" x14ac:dyDescent="0.25">
      <c r="A496" t="s">
        <v>1160</v>
      </c>
      <c r="B496" t="s">
        <v>118</v>
      </c>
      <c r="C496" t="s">
        <v>31</v>
      </c>
      <c r="D496" t="s">
        <v>47</v>
      </c>
      <c r="E496">
        <v>153</v>
      </c>
      <c r="F496">
        <v>20</v>
      </c>
      <c r="G496">
        <v>50</v>
      </c>
      <c r="H496">
        <v>30</v>
      </c>
    </row>
    <row r="497" spans="1:8" x14ac:dyDescent="0.25">
      <c r="A497" t="s">
        <v>1161</v>
      </c>
      <c r="B497" t="s">
        <v>138</v>
      </c>
      <c r="C497" t="s">
        <v>103</v>
      </c>
      <c r="D497" t="s">
        <v>232</v>
      </c>
      <c r="E497">
        <v>2646</v>
      </c>
      <c r="F497">
        <v>9</v>
      </c>
      <c r="G497">
        <v>68</v>
      </c>
      <c r="H497">
        <v>23</v>
      </c>
    </row>
    <row r="498" spans="1:8" x14ac:dyDescent="0.25">
      <c r="A498" t="s">
        <v>1162</v>
      </c>
      <c r="B498" t="s">
        <v>138</v>
      </c>
      <c r="C498" t="s">
        <v>103</v>
      </c>
      <c r="D498" t="s">
        <v>233</v>
      </c>
      <c r="E498">
        <v>2188</v>
      </c>
      <c r="F498">
        <v>9</v>
      </c>
      <c r="G498">
        <v>69</v>
      </c>
      <c r="H498">
        <v>22</v>
      </c>
    </row>
    <row r="499" spans="1:8" x14ac:dyDescent="0.25">
      <c r="A499" t="s">
        <v>1163</v>
      </c>
      <c r="B499" t="s">
        <v>138</v>
      </c>
      <c r="C499" t="s">
        <v>103</v>
      </c>
      <c r="D499" t="s">
        <v>234</v>
      </c>
      <c r="E499">
        <v>2295</v>
      </c>
      <c r="F499">
        <v>7</v>
      </c>
      <c r="G499">
        <v>69</v>
      </c>
      <c r="H499">
        <v>24</v>
      </c>
    </row>
    <row r="500" spans="1:8" x14ac:dyDescent="0.25">
      <c r="A500" t="s">
        <v>1164</v>
      </c>
      <c r="B500" t="s">
        <v>138</v>
      </c>
      <c r="C500" t="s">
        <v>103</v>
      </c>
      <c r="D500" t="s">
        <v>235</v>
      </c>
      <c r="E500">
        <v>2179</v>
      </c>
      <c r="F500">
        <v>9</v>
      </c>
      <c r="G500">
        <v>67</v>
      </c>
      <c r="H500">
        <v>24</v>
      </c>
    </row>
    <row r="501" spans="1:8" x14ac:dyDescent="0.25">
      <c r="A501" t="s">
        <v>1165</v>
      </c>
      <c r="B501" t="s">
        <v>138</v>
      </c>
      <c r="C501" t="s">
        <v>103</v>
      </c>
      <c r="D501" t="s">
        <v>236</v>
      </c>
      <c r="E501">
        <v>2097</v>
      </c>
      <c r="F501">
        <v>9</v>
      </c>
      <c r="G501">
        <v>68</v>
      </c>
      <c r="H501">
        <v>23</v>
      </c>
    </row>
    <row r="502" spans="1:8" x14ac:dyDescent="0.25">
      <c r="A502" t="s">
        <v>1166</v>
      </c>
      <c r="B502" t="s">
        <v>138</v>
      </c>
      <c r="C502" t="s">
        <v>103</v>
      </c>
      <c r="D502" t="s">
        <v>237</v>
      </c>
      <c r="E502">
        <v>2535</v>
      </c>
      <c r="F502">
        <v>7</v>
      </c>
      <c r="G502">
        <v>69</v>
      </c>
      <c r="H502">
        <v>24</v>
      </c>
    </row>
    <row r="503" spans="1:8" x14ac:dyDescent="0.25">
      <c r="A503" t="s">
        <v>1167</v>
      </c>
      <c r="B503" t="s">
        <v>138</v>
      </c>
      <c r="C503" t="s">
        <v>103</v>
      </c>
      <c r="D503" t="s">
        <v>238</v>
      </c>
      <c r="E503">
        <v>3142</v>
      </c>
      <c r="F503">
        <v>7</v>
      </c>
      <c r="G503">
        <v>68</v>
      </c>
      <c r="H503">
        <v>25</v>
      </c>
    </row>
    <row r="504" spans="1:8" x14ac:dyDescent="0.25">
      <c r="A504" t="s">
        <v>1168</v>
      </c>
      <c r="B504" t="s">
        <v>138</v>
      </c>
      <c r="C504" t="s">
        <v>103</v>
      </c>
      <c r="D504" t="s">
        <v>239</v>
      </c>
      <c r="E504">
        <v>2554</v>
      </c>
      <c r="F504">
        <v>5</v>
      </c>
      <c r="G504">
        <v>68</v>
      </c>
      <c r="H504">
        <v>27</v>
      </c>
    </row>
    <row r="505" spans="1:8" x14ac:dyDescent="0.25">
      <c r="A505" t="s">
        <v>1169</v>
      </c>
      <c r="B505" t="s">
        <v>138</v>
      </c>
      <c r="C505" t="s">
        <v>103</v>
      </c>
      <c r="D505" t="s">
        <v>47</v>
      </c>
      <c r="E505">
        <v>2627</v>
      </c>
      <c r="F505">
        <v>6</v>
      </c>
      <c r="G505">
        <v>66</v>
      </c>
      <c r="H505">
        <v>28</v>
      </c>
    </row>
    <row r="506" spans="1:8" x14ac:dyDescent="0.25">
      <c r="A506" t="s">
        <v>1170</v>
      </c>
      <c r="B506" t="s">
        <v>138</v>
      </c>
      <c r="C506" t="s">
        <v>100</v>
      </c>
      <c r="D506" t="s">
        <v>232</v>
      </c>
      <c r="E506">
        <v>2709</v>
      </c>
      <c r="F506">
        <v>10</v>
      </c>
      <c r="G506">
        <v>49</v>
      </c>
      <c r="H506">
        <v>41</v>
      </c>
    </row>
    <row r="507" spans="1:8" x14ac:dyDescent="0.25">
      <c r="A507" t="s">
        <v>1171</v>
      </c>
      <c r="B507" t="s">
        <v>138</v>
      </c>
      <c r="C507" t="s">
        <v>100</v>
      </c>
      <c r="D507" t="s">
        <v>233</v>
      </c>
      <c r="E507">
        <v>2264</v>
      </c>
      <c r="F507">
        <v>12</v>
      </c>
      <c r="G507">
        <v>55</v>
      </c>
      <c r="H507">
        <v>33</v>
      </c>
    </row>
    <row r="508" spans="1:8" x14ac:dyDescent="0.25">
      <c r="A508" t="s">
        <v>1172</v>
      </c>
      <c r="B508" t="s">
        <v>138</v>
      </c>
      <c r="C508" t="s">
        <v>100</v>
      </c>
      <c r="D508" t="s">
        <v>234</v>
      </c>
      <c r="E508">
        <v>2363</v>
      </c>
      <c r="F508">
        <v>11</v>
      </c>
      <c r="G508">
        <v>52</v>
      </c>
      <c r="H508">
        <v>37</v>
      </c>
    </row>
    <row r="509" spans="1:8" x14ac:dyDescent="0.25">
      <c r="A509" t="s">
        <v>1173</v>
      </c>
      <c r="B509" t="s">
        <v>138</v>
      </c>
      <c r="C509" t="s">
        <v>100</v>
      </c>
      <c r="D509" t="s">
        <v>235</v>
      </c>
      <c r="E509">
        <v>2240</v>
      </c>
      <c r="F509">
        <v>10</v>
      </c>
      <c r="G509">
        <v>54</v>
      </c>
      <c r="H509">
        <v>36</v>
      </c>
    </row>
    <row r="510" spans="1:8" x14ac:dyDescent="0.25">
      <c r="A510" t="s">
        <v>1174</v>
      </c>
      <c r="B510" t="s">
        <v>138</v>
      </c>
      <c r="C510" t="s">
        <v>100</v>
      </c>
      <c r="D510" t="s">
        <v>236</v>
      </c>
      <c r="E510">
        <v>2187</v>
      </c>
      <c r="F510">
        <v>12</v>
      </c>
      <c r="G510">
        <v>53</v>
      </c>
      <c r="H510">
        <v>35</v>
      </c>
    </row>
    <row r="511" spans="1:8" x14ac:dyDescent="0.25">
      <c r="A511" t="s">
        <v>1175</v>
      </c>
      <c r="B511" t="s">
        <v>138</v>
      </c>
      <c r="C511" t="s">
        <v>100</v>
      </c>
      <c r="D511" t="s">
        <v>237</v>
      </c>
      <c r="E511">
        <v>2609</v>
      </c>
      <c r="F511">
        <v>10</v>
      </c>
      <c r="G511">
        <v>56</v>
      </c>
      <c r="H511">
        <v>34</v>
      </c>
    </row>
    <row r="512" spans="1:8" x14ac:dyDescent="0.25">
      <c r="A512" t="s">
        <v>1176</v>
      </c>
      <c r="B512" t="s">
        <v>138</v>
      </c>
      <c r="C512" t="s">
        <v>100</v>
      </c>
      <c r="D512" t="s">
        <v>238</v>
      </c>
      <c r="E512">
        <v>3229</v>
      </c>
      <c r="F512">
        <v>11</v>
      </c>
      <c r="G512">
        <v>54</v>
      </c>
      <c r="H512">
        <v>35</v>
      </c>
    </row>
    <row r="513" spans="1:8" x14ac:dyDescent="0.25">
      <c r="A513" t="s">
        <v>1177</v>
      </c>
      <c r="B513" t="s">
        <v>138</v>
      </c>
      <c r="C513" t="s">
        <v>100</v>
      </c>
      <c r="D513" t="s">
        <v>239</v>
      </c>
      <c r="E513">
        <v>2654</v>
      </c>
      <c r="F513">
        <v>9</v>
      </c>
      <c r="G513">
        <v>46</v>
      </c>
      <c r="H513">
        <v>45</v>
      </c>
    </row>
    <row r="514" spans="1:8" x14ac:dyDescent="0.25">
      <c r="A514" t="s">
        <v>1178</v>
      </c>
      <c r="B514" t="s">
        <v>138</v>
      </c>
      <c r="C514" t="s">
        <v>100</v>
      </c>
      <c r="D514" t="s">
        <v>47</v>
      </c>
      <c r="E514">
        <v>2698</v>
      </c>
      <c r="F514">
        <v>10</v>
      </c>
      <c r="G514">
        <v>51</v>
      </c>
      <c r="H514">
        <v>39</v>
      </c>
    </row>
    <row r="515" spans="1:8" x14ac:dyDescent="0.25">
      <c r="A515" t="s">
        <v>1179</v>
      </c>
      <c r="B515" t="s">
        <v>138</v>
      </c>
      <c r="C515" t="s">
        <v>101</v>
      </c>
      <c r="D515" t="s">
        <v>232</v>
      </c>
    </row>
    <row r="516" spans="1:8" x14ac:dyDescent="0.25">
      <c r="A516" t="s">
        <v>1180</v>
      </c>
      <c r="B516" t="s">
        <v>138</v>
      </c>
      <c r="C516" t="s">
        <v>101</v>
      </c>
      <c r="D516" t="s">
        <v>233</v>
      </c>
    </row>
    <row r="517" spans="1:8" x14ac:dyDescent="0.25">
      <c r="A517" t="s">
        <v>1181</v>
      </c>
      <c r="B517" t="s">
        <v>138</v>
      </c>
      <c r="C517" t="s">
        <v>101</v>
      </c>
      <c r="D517" t="s">
        <v>234</v>
      </c>
    </row>
    <row r="518" spans="1:8" x14ac:dyDescent="0.25">
      <c r="A518" t="s">
        <v>1182</v>
      </c>
      <c r="B518" t="s">
        <v>138</v>
      </c>
      <c r="C518" t="s">
        <v>101</v>
      </c>
      <c r="D518" t="s">
        <v>235</v>
      </c>
    </row>
    <row r="519" spans="1:8" x14ac:dyDescent="0.25">
      <c r="A519" t="s">
        <v>1183</v>
      </c>
      <c r="B519" t="s">
        <v>138</v>
      </c>
      <c r="C519" t="s">
        <v>101</v>
      </c>
      <c r="D519" t="s">
        <v>236</v>
      </c>
    </row>
    <row r="520" spans="1:8" x14ac:dyDescent="0.25">
      <c r="A520" t="s">
        <v>1184</v>
      </c>
      <c r="B520" t="s">
        <v>138</v>
      </c>
      <c r="C520" t="s">
        <v>101</v>
      </c>
      <c r="D520" t="s">
        <v>237</v>
      </c>
    </row>
    <row r="521" spans="1:8" x14ac:dyDescent="0.25">
      <c r="A521" t="s">
        <v>1185</v>
      </c>
      <c r="B521" t="s">
        <v>138</v>
      </c>
      <c r="C521" t="s">
        <v>101</v>
      </c>
      <c r="D521" t="s">
        <v>238</v>
      </c>
    </row>
    <row r="522" spans="1:8" x14ac:dyDescent="0.25">
      <c r="A522" t="s">
        <v>1186</v>
      </c>
      <c r="B522" t="s">
        <v>138</v>
      </c>
      <c r="C522" t="s">
        <v>101</v>
      </c>
      <c r="D522" t="s">
        <v>239</v>
      </c>
    </row>
    <row r="523" spans="1:8" x14ac:dyDescent="0.25">
      <c r="A523" t="s">
        <v>1187</v>
      </c>
      <c r="B523" t="s">
        <v>138</v>
      </c>
      <c r="C523" t="s">
        <v>101</v>
      </c>
      <c r="D523" t="s">
        <v>47</v>
      </c>
    </row>
    <row r="524" spans="1:8" x14ac:dyDescent="0.25">
      <c r="A524" t="s">
        <v>1188</v>
      </c>
      <c r="B524" t="s">
        <v>138</v>
      </c>
      <c r="C524" t="s">
        <v>102</v>
      </c>
      <c r="D524" t="s">
        <v>232</v>
      </c>
      <c r="E524">
        <v>2176</v>
      </c>
      <c r="F524">
        <v>20</v>
      </c>
      <c r="G524">
        <v>42</v>
      </c>
      <c r="H524">
        <v>38</v>
      </c>
    </row>
    <row r="525" spans="1:8" x14ac:dyDescent="0.25">
      <c r="A525" t="s">
        <v>1189</v>
      </c>
      <c r="B525" t="s">
        <v>138</v>
      </c>
      <c r="C525" t="s">
        <v>102</v>
      </c>
      <c r="D525" t="s">
        <v>233</v>
      </c>
      <c r="E525">
        <v>1745</v>
      </c>
      <c r="F525">
        <v>20</v>
      </c>
      <c r="G525">
        <v>43</v>
      </c>
      <c r="H525">
        <v>37</v>
      </c>
    </row>
    <row r="526" spans="1:8" x14ac:dyDescent="0.25">
      <c r="A526" t="s">
        <v>1190</v>
      </c>
      <c r="B526" t="s">
        <v>138</v>
      </c>
      <c r="C526" t="s">
        <v>102</v>
      </c>
      <c r="D526" t="s">
        <v>234</v>
      </c>
      <c r="E526">
        <v>1875</v>
      </c>
      <c r="F526">
        <v>20</v>
      </c>
      <c r="G526">
        <v>43</v>
      </c>
      <c r="H526">
        <v>37</v>
      </c>
    </row>
    <row r="527" spans="1:8" x14ac:dyDescent="0.25">
      <c r="A527" t="s">
        <v>1191</v>
      </c>
      <c r="B527" t="s">
        <v>138</v>
      </c>
      <c r="C527" t="s">
        <v>102</v>
      </c>
      <c r="D527" t="s">
        <v>235</v>
      </c>
      <c r="E527">
        <v>1774</v>
      </c>
      <c r="F527">
        <v>21</v>
      </c>
      <c r="G527">
        <v>43</v>
      </c>
      <c r="H527">
        <v>36</v>
      </c>
    </row>
    <row r="528" spans="1:8" x14ac:dyDescent="0.25">
      <c r="A528" t="s">
        <v>1192</v>
      </c>
      <c r="B528" t="s">
        <v>138</v>
      </c>
      <c r="C528" t="s">
        <v>102</v>
      </c>
      <c r="D528" t="s">
        <v>236</v>
      </c>
      <c r="E528">
        <v>1693</v>
      </c>
      <c r="F528">
        <v>21</v>
      </c>
      <c r="G528">
        <v>42</v>
      </c>
      <c r="H528">
        <v>37</v>
      </c>
    </row>
    <row r="529" spans="1:8" x14ac:dyDescent="0.25">
      <c r="A529" t="s">
        <v>1193</v>
      </c>
      <c r="B529" t="s">
        <v>138</v>
      </c>
      <c r="C529" t="s">
        <v>102</v>
      </c>
      <c r="D529" t="s">
        <v>237</v>
      </c>
      <c r="E529">
        <v>2107</v>
      </c>
      <c r="F529">
        <v>21</v>
      </c>
      <c r="G529">
        <v>44</v>
      </c>
      <c r="H529">
        <v>35</v>
      </c>
    </row>
    <row r="530" spans="1:8" x14ac:dyDescent="0.25">
      <c r="A530" t="s">
        <v>1194</v>
      </c>
      <c r="B530" t="s">
        <v>138</v>
      </c>
      <c r="C530" t="s">
        <v>102</v>
      </c>
      <c r="D530" t="s">
        <v>238</v>
      </c>
      <c r="E530">
        <v>2590</v>
      </c>
      <c r="F530">
        <v>21</v>
      </c>
      <c r="G530">
        <v>43</v>
      </c>
      <c r="H530">
        <v>36</v>
      </c>
    </row>
    <row r="531" spans="1:8" x14ac:dyDescent="0.25">
      <c r="A531" t="s">
        <v>1195</v>
      </c>
      <c r="B531" t="s">
        <v>138</v>
      </c>
      <c r="C531" t="s">
        <v>102</v>
      </c>
      <c r="D531" t="s">
        <v>239</v>
      </c>
      <c r="E531">
        <v>2050</v>
      </c>
      <c r="F531">
        <v>19</v>
      </c>
      <c r="G531">
        <v>39</v>
      </c>
      <c r="H531">
        <v>42</v>
      </c>
    </row>
    <row r="532" spans="1:8" x14ac:dyDescent="0.25">
      <c r="A532" t="s">
        <v>1196</v>
      </c>
      <c r="B532" t="s">
        <v>138</v>
      </c>
      <c r="C532" t="s">
        <v>102</v>
      </c>
      <c r="D532" t="s">
        <v>47</v>
      </c>
      <c r="E532">
        <v>2155</v>
      </c>
      <c r="F532">
        <v>21</v>
      </c>
      <c r="G532">
        <v>40</v>
      </c>
      <c r="H532">
        <v>39</v>
      </c>
    </row>
    <row r="533" spans="1:8" x14ac:dyDescent="0.25">
      <c r="A533" t="s">
        <v>1197</v>
      </c>
      <c r="B533" t="s">
        <v>138</v>
      </c>
      <c r="C533" t="s">
        <v>31</v>
      </c>
      <c r="D533" t="s">
        <v>232</v>
      </c>
      <c r="E533">
        <v>2731</v>
      </c>
      <c r="F533">
        <v>21</v>
      </c>
      <c r="G533">
        <v>50</v>
      </c>
      <c r="H533">
        <v>29</v>
      </c>
    </row>
    <row r="534" spans="1:8" x14ac:dyDescent="0.25">
      <c r="A534" t="s">
        <v>1198</v>
      </c>
      <c r="B534" t="s">
        <v>138</v>
      </c>
      <c r="C534" t="s">
        <v>31</v>
      </c>
      <c r="D534" t="s">
        <v>233</v>
      </c>
      <c r="E534">
        <v>2293</v>
      </c>
      <c r="F534">
        <v>21</v>
      </c>
      <c r="G534">
        <v>52</v>
      </c>
      <c r="H534">
        <v>27</v>
      </c>
    </row>
    <row r="535" spans="1:8" x14ac:dyDescent="0.25">
      <c r="A535" t="s">
        <v>1199</v>
      </c>
      <c r="B535" t="s">
        <v>138</v>
      </c>
      <c r="C535" t="s">
        <v>31</v>
      </c>
      <c r="D535" t="s">
        <v>234</v>
      </c>
      <c r="E535">
        <v>2386</v>
      </c>
      <c r="F535">
        <v>19</v>
      </c>
      <c r="G535">
        <v>50</v>
      </c>
      <c r="H535">
        <v>31</v>
      </c>
    </row>
    <row r="536" spans="1:8" x14ac:dyDescent="0.25">
      <c r="A536" t="s">
        <v>1200</v>
      </c>
      <c r="B536" t="s">
        <v>138</v>
      </c>
      <c r="C536" t="s">
        <v>31</v>
      </c>
      <c r="D536" t="s">
        <v>235</v>
      </c>
      <c r="E536">
        <v>2258</v>
      </c>
      <c r="F536">
        <v>19</v>
      </c>
      <c r="G536">
        <v>52</v>
      </c>
      <c r="H536">
        <v>29</v>
      </c>
    </row>
    <row r="537" spans="1:8" x14ac:dyDescent="0.25">
      <c r="A537" t="s">
        <v>1201</v>
      </c>
      <c r="B537" t="s">
        <v>138</v>
      </c>
      <c r="C537" t="s">
        <v>31</v>
      </c>
      <c r="D537" t="s">
        <v>236</v>
      </c>
      <c r="E537">
        <v>2204</v>
      </c>
      <c r="F537">
        <v>18</v>
      </c>
      <c r="G537">
        <v>49</v>
      </c>
      <c r="H537">
        <v>33</v>
      </c>
    </row>
    <row r="538" spans="1:8" x14ac:dyDescent="0.25">
      <c r="A538" t="s">
        <v>1202</v>
      </c>
      <c r="B538" t="s">
        <v>138</v>
      </c>
      <c r="C538" t="s">
        <v>31</v>
      </c>
      <c r="D538" t="s">
        <v>237</v>
      </c>
      <c r="E538">
        <v>2636</v>
      </c>
      <c r="F538">
        <v>17</v>
      </c>
      <c r="G538">
        <v>52</v>
      </c>
      <c r="H538">
        <v>31</v>
      </c>
    </row>
    <row r="539" spans="1:8" x14ac:dyDescent="0.25">
      <c r="A539" t="s">
        <v>1203</v>
      </c>
      <c r="B539" t="s">
        <v>138</v>
      </c>
      <c r="C539" t="s">
        <v>31</v>
      </c>
      <c r="D539" t="s">
        <v>238</v>
      </c>
      <c r="E539">
        <v>3257</v>
      </c>
      <c r="F539">
        <v>19</v>
      </c>
      <c r="G539">
        <v>49</v>
      </c>
      <c r="H539">
        <v>32</v>
      </c>
    </row>
    <row r="540" spans="1:8" x14ac:dyDescent="0.25">
      <c r="A540" t="s">
        <v>1204</v>
      </c>
      <c r="B540" t="s">
        <v>138</v>
      </c>
      <c r="C540" t="s">
        <v>31</v>
      </c>
      <c r="D540" t="s">
        <v>239</v>
      </c>
      <c r="E540">
        <v>2676</v>
      </c>
      <c r="F540">
        <v>15</v>
      </c>
      <c r="G540">
        <v>49</v>
      </c>
      <c r="H540">
        <v>36</v>
      </c>
    </row>
    <row r="541" spans="1:8" x14ac:dyDescent="0.25">
      <c r="A541" t="s">
        <v>1205</v>
      </c>
      <c r="B541" t="s">
        <v>138</v>
      </c>
      <c r="C541" t="s">
        <v>31</v>
      </c>
      <c r="D541" t="s">
        <v>47</v>
      </c>
      <c r="E541">
        <v>2713</v>
      </c>
      <c r="F541">
        <v>16</v>
      </c>
      <c r="G541">
        <v>48</v>
      </c>
      <c r="H541">
        <v>36</v>
      </c>
    </row>
    <row r="542" spans="1:8" x14ac:dyDescent="0.25">
      <c r="A542" t="s">
        <v>1206</v>
      </c>
      <c r="B542" t="s">
        <v>127</v>
      </c>
      <c r="C542" t="s">
        <v>103</v>
      </c>
      <c r="D542" t="s">
        <v>232</v>
      </c>
      <c r="E542">
        <v>329</v>
      </c>
      <c r="F542">
        <v>20</v>
      </c>
      <c r="G542">
        <v>52</v>
      </c>
      <c r="H542">
        <v>28</v>
      </c>
    </row>
    <row r="543" spans="1:8" x14ac:dyDescent="0.25">
      <c r="A543" t="s">
        <v>1207</v>
      </c>
      <c r="B543" t="s">
        <v>127</v>
      </c>
      <c r="C543" t="s">
        <v>103</v>
      </c>
      <c r="D543" t="s">
        <v>233</v>
      </c>
      <c r="E543">
        <v>312</v>
      </c>
      <c r="F543">
        <v>18</v>
      </c>
      <c r="G543">
        <v>59</v>
      </c>
      <c r="H543">
        <v>23</v>
      </c>
    </row>
    <row r="544" spans="1:8" x14ac:dyDescent="0.25">
      <c r="A544" t="s">
        <v>1208</v>
      </c>
      <c r="B544" t="s">
        <v>127</v>
      </c>
      <c r="C544" t="s">
        <v>103</v>
      </c>
      <c r="D544" t="s">
        <v>234</v>
      </c>
      <c r="E544">
        <v>293</v>
      </c>
      <c r="F544">
        <v>16</v>
      </c>
      <c r="G544">
        <v>52</v>
      </c>
      <c r="H544">
        <v>32</v>
      </c>
    </row>
    <row r="545" spans="1:8" x14ac:dyDescent="0.25">
      <c r="A545" t="s">
        <v>1209</v>
      </c>
      <c r="B545" t="s">
        <v>127</v>
      </c>
      <c r="C545" t="s">
        <v>103</v>
      </c>
      <c r="D545" t="s">
        <v>235</v>
      </c>
      <c r="E545">
        <v>293</v>
      </c>
      <c r="F545">
        <v>16</v>
      </c>
      <c r="G545">
        <v>54</v>
      </c>
      <c r="H545">
        <v>30</v>
      </c>
    </row>
    <row r="546" spans="1:8" x14ac:dyDescent="0.25">
      <c r="A546" t="s">
        <v>1210</v>
      </c>
      <c r="B546" t="s">
        <v>127</v>
      </c>
      <c r="C546" t="s">
        <v>103</v>
      </c>
      <c r="D546" t="s">
        <v>236</v>
      </c>
      <c r="E546">
        <v>279</v>
      </c>
      <c r="F546">
        <v>15</v>
      </c>
      <c r="G546">
        <v>60</v>
      </c>
      <c r="H546">
        <v>25</v>
      </c>
    </row>
    <row r="547" spans="1:8" x14ac:dyDescent="0.25">
      <c r="A547" t="s">
        <v>1211</v>
      </c>
      <c r="B547" t="s">
        <v>127</v>
      </c>
      <c r="C547" t="s">
        <v>103</v>
      </c>
      <c r="D547" t="s">
        <v>237</v>
      </c>
      <c r="E547">
        <v>259</v>
      </c>
      <c r="F547">
        <v>18</v>
      </c>
      <c r="G547">
        <v>49</v>
      </c>
      <c r="H547">
        <v>33</v>
      </c>
    </row>
    <row r="548" spans="1:8" x14ac:dyDescent="0.25">
      <c r="A548" t="s">
        <v>1212</v>
      </c>
      <c r="B548" t="s">
        <v>127</v>
      </c>
      <c r="C548" t="s">
        <v>103</v>
      </c>
      <c r="D548" t="s">
        <v>238</v>
      </c>
      <c r="E548">
        <v>285</v>
      </c>
      <c r="F548">
        <v>16</v>
      </c>
      <c r="G548">
        <v>51</v>
      </c>
      <c r="H548">
        <v>33</v>
      </c>
    </row>
    <row r="549" spans="1:8" x14ac:dyDescent="0.25">
      <c r="A549" t="s">
        <v>1213</v>
      </c>
      <c r="B549" t="s">
        <v>127</v>
      </c>
      <c r="C549" t="s">
        <v>103</v>
      </c>
      <c r="D549" t="s">
        <v>239</v>
      </c>
      <c r="E549">
        <v>255</v>
      </c>
      <c r="F549">
        <v>16</v>
      </c>
      <c r="G549">
        <v>51</v>
      </c>
      <c r="H549">
        <v>33</v>
      </c>
    </row>
    <row r="550" spans="1:8" x14ac:dyDescent="0.25">
      <c r="A550" t="s">
        <v>1214</v>
      </c>
      <c r="B550" t="s">
        <v>127</v>
      </c>
      <c r="C550" t="s">
        <v>103</v>
      </c>
      <c r="D550" t="s">
        <v>47</v>
      </c>
      <c r="E550">
        <v>252</v>
      </c>
      <c r="F550">
        <v>16</v>
      </c>
      <c r="G550">
        <v>60</v>
      </c>
      <c r="H550">
        <v>24</v>
      </c>
    </row>
    <row r="551" spans="1:8" x14ac:dyDescent="0.25">
      <c r="A551" t="s">
        <v>1215</v>
      </c>
      <c r="B551" t="s">
        <v>127</v>
      </c>
      <c r="C551" t="s">
        <v>100</v>
      </c>
      <c r="D551" t="s">
        <v>232</v>
      </c>
      <c r="E551">
        <v>338</v>
      </c>
      <c r="F551">
        <v>22</v>
      </c>
      <c r="G551">
        <v>49</v>
      </c>
      <c r="H551">
        <v>29</v>
      </c>
    </row>
    <row r="552" spans="1:8" x14ac:dyDescent="0.25">
      <c r="A552" t="s">
        <v>1216</v>
      </c>
      <c r="B552" t="s">
        <v>127</v>
      </c>
      <c r="C552" t="s">
        <v>100</v>
      </c>
      <c r="D552" t="s">
        <v>233</v>
      </c>
      <c r="E552">
        <v>325</v>
      </c>
      <c r="F552">
        <v>28</v>
      </c>
      <c r="G552">
        <v>48</v>
      </c>
      <c r="H552">
        <v>24</v>
      </c>
    </row>
    <row r="553" spans="1:8" x14ac:dyDescent="0.25">
      <c r="A553" t="s">
        <v>1217</v>
      </c>
      <c r="B553" t="s">
        <v>127</v>
      </c>
      <c r="C553" t="s">
        <v>100</v>
      </c>
      <c r="D553" t="s">
        <v>234</v>
      </c>
      <c r="E553">
        <v>306</v>
      </c>
      <c r="F553">
        <v>18</v>
      </c>
      <c r="G553">
        <v>57</v>
      </c>
      <c r="H553">
        <v>25</v>
      </c>
    </row>
    <row r="554" spans="1:8" x14ac:dyDescent="0.25">
      <c r="A554" t="s">
        <v>1218</v>
      </c>
      <c r="B554" t="s">
        <v>127</v>
      </c>
      <c r="C554" t="s">
        <v>100</v>
      </c>
      <c r="D554" t="s">
        <v>235</v>
      </c>
      <c r="E554">
        <v>304</v>
      </c>
      <c r="F554">
        <v>17</v>
      </c>
      <c r="G554">
        <v>60</v>
      </c>
      <c r="H554">
        <v>23</v>
      </c>
    </row>
    <row r="555" spans="1:8" x14ac:dyDescent="0.25">
      <c r="A555" t="s">
        <v>1219</v>
      </c>
      <c r="B555" t="s">
        <v>127</v>
      </c>
      <c r="C555" t="s">
        <v>100</v>
      </c>
      <c r="D555" t="s">
        <v>236</v>
      </c>
      <c r="E555">
        <v>290</v>
      </c>
      <c r="F555">
        <v>26</v>
      </c>
      <c r="G555">
        <v>53</v>
      </c>
      <c r="H555">
        <v>21</v>
      </c>
    </row>
    <row r="556" spans="1:8" x14ac:dyDescent="0.25">
      <c r="A556" t="s">
        <v>1220</v>
      </c>
      <c r="B556" t="s">
        <v>127</v>
      </c>
      <c r="C556" t="s">
        <v>100</v>
      </c>
      <c r="D556" t="s">
        <v>237</v>
      </c>
      <c r="E556">
        <v>270</v>
      </c>
      <c r="F556">
        <v>18</v>
      </c>
      <c r="G556">
        <v>59</v>
      </c>
      <c r="H556">
        <v>23</v>
      </c>
    </row>
    <row r="557" spans="1:8" x14ac:dyDescent="0.25">
      <c r="A557" t="s">
        <v>1221</v>
      </c>
      <c r="B557" t="s">
        <v>127</v>
      </c>
      <c r="C557" t="s">
        <v>100</v>
      </c>
      <c r="D557" t="s">
        <v>238</v>
      </c>
      <c r="E557">
        <v>294</v>
      </c>
      <c r="F557">
        <v>22</v>
      </c>
      <c r="G557">
        <v>60</v>
      </c>
      <c r="H557">
        <v>18</v>
      </c>
    </row>
    <row r="558" spans="1:8" x14ac:dyDescent="0.25">
      <c r="A558" t="s">
        <v>1222</v>
      </c>
      <c r="B558" t="s">
        <v>127</v>
      </c>
      <c r="C558" t="s">
        <v>100</v>
      </c>
      <c r="D558" t="s">
        <v>239</v>
      </c>
      <c r="E558">
        <v>262</v>
      </c>
      <c r="F558">
        <v>18</v>
      </c>
      <c r="G558">
        <v>56</v>
      </c>
      <c r="H558">
        <v>26</v>
      </c>
    </row>
    <row r="559" spans="1:8" x14ac:dyDescent="0.25">
      <c r="A559" t="s">
        <v>1223</v>
      </c>
      <c r="B559" t="s">
        <v>127</v>
      </c>
      <c r="C559" t="s">
        <v>100</v>
      </c>
      <c r="D559" t="s">
        <v>47</v>
      </c>
      <c r="E559">
        <v>261</v>
      </c>
      <c r="F559">
        <v>20</v>
      </c>
      <c r="G559">
        <v>64</v>
      </c>
      <c r="H559">
        <v>16</v>
      </c>
    </row>
    <row r="560" spans="1:8" x14ac:dyDescent="0.25">
      <c r="A560" t="s">
        <v>1224</v>
      </c>
      <c r="B560" t="s">
        <v>127</v>
      </c>
      <c r="C560" t="s">
        <v>101</v>
      </c>
      <c r="D560" t="s">
        <v>232</v>
      </c>
      <c r="E560">
        <v>270</v>
      </c>
      <c r="F560">
        <v>29</v>
      </c>
      <c r="G560">
        <v>51</v>
      </c>
      <c r="H560">
        <v>20</v>
      </c>
    </row>
    <row r="561" spans="1:8" x14ac:dyDescent="0.25">
      <c r="A561" t="s">
        <v>1225</v>
      </c>
      <c r="B561" t="s">
        <v>127</v>
      </c>
      <c r="C561" t="s">
        <v>101</v>
      </c>
      <c r="D561" t="s">
        <v>233</v>
      </c>
      <c r="E561">
        <v>257</v>
      </c>
      <c r="F561">
        <v>25</v>
      </c>
      <c r="G561">
        <v>52</v>
      </c>
      <c r="H561">
        <v>23</v>
      </c>
    </row>
    <row r="562" spans="1:8" x14ac:dyDescent="0.25">
      <c r="A562" t="s">
        <v>1226</v>
      </c>
      <c r="B562" t="s">
        <v>127</v>
      </c>
      <c r="C562" t="s">
        <v>101</v>
      </c>
      <c r="D562" t="s">
        <v>234</v>
      </c>
      <c r="E562">
        <v>250</v>
      </c>
      <c r="F562">
        <v>20</v>
      </c>
      <c r="G562">
        <v>51</v>
      </c>
      <c r="H562">
        <v>29</v>
      </c>
    </row>
    <row r="563" spans="1:8" x14ac:dyDescent="0.25">
      <c r="A563" t="s">
        <v>1227</v>
      </c>
      <c r="B563" t="s">
        <v>127</v>
      </c>
      <c r="C563" t="s">
        <v>101</v>
      </c>
      <c r="D563" t="s">
        <v>235</v>
      </c>
      <c r="E563">
        <v>232</v>
      </c>
      <c r="F563">
        <v>29</v>
      </c>
      <c r="G563">
        <v>48</v>
      </c>
      <c r="H563">
        <v>23</v>
      </c>
    </row>
    <row r="564" spans="1:8" x14ac:dyDescent="0.25">
      <c r="A564" t="s">
        <v>1228</v>
      </c>
      <c r="B564" t="s">
        <v>127</v>
      </c>
      <c r="C564" t="s">
        <v>101</v>
      </c>
      <c r="D564" t="s">
        <v>236</v>
      </c>
      <c r="E564">
        <v>229</v>
      </c>
      <c r="F564">
        <v>23</v>
      </c>
      <c r="G564">
        <v>49</v>
      </c>
      <c r="H564">
        <v>28</v>
      </c>
    </row>
    <row r="565" spans="1:8" x14ac:dyDescent="0.25">
      <c r="A565" t="s">
        <v>1229</v>
      </c>
      <c r="B565" t="s">
        <v>127</v>
      </c>
      <c r="C565" t="s">
        <v>101</v>
      </c>
      <c r="D565" t="s">
        <v>237</v>
      </c>
      <c r="E565">
        <v>208</v>
      </c>
      <c r="F565">
        <v>23</v>
      </c>
      <c r="G565">
        <v>51</v>
      </c>
      <c r="H565">
        <v>26</v>
      </c>
    </row>
    <row r="566" spans="1:8" x14ac:dyDescent="0.25">
      <c r="A566" t="s">
        <v>1230</v>
      </c>
      <c r="B566" t="s">
        <v>127</v>
      </c>
      <c r="C566" t="s">
        <v>101</v>
      </c>
      <c r="D566" t="s">
        <v>238</v>
      </c>
      <c r="E566">
        <v>237</v>
      </c>
      <c r="F566">
        <v>28</v>
      </c>
      <c r="G566">
        <v>51</v>
      </c>
      <c r="H566">
        <v>21</v>
      </c>
    </row>
    <row r="567" spans="1:8" x14ac:dyDescent="0.25">
      <c r="A567" t="s">
        <v>1231</v>
      </c>
      <c r="B567" t="s">
        <v>127</v>
      </c>
      <c r="C567" t="s">
        <v>101</v>
      </c>
      <c r="D567" t="s">
        <v>239</v>
      </c>
      <c r="E567">
        <v>206</v>
      </c>
      <c r="F567">
        <v>25</v>
      </c>
      <c r="G567">
        <v>46</v>
      </c>
      <c r="H567">
        <v>29</v>
      </c>
    </row>
    <row r="568" spans="1:8" x14ac:dyDescent="0.25">
      <c r="A568" t="s">
        <v>1232</v>
      </c>
      <c r="B568" t="s">
        <v>127</v>
      </c>
      <c r="C568" t="s">
        <v>101</v>
      </c>
      <c r="D568" t="s">
        <v>47</v>
      </c>
      <c r="E568">
        <v>209</v>
      </c>
      <c r="F568">
        <v>29</v>
      </c>
      <c r="G568">
        <v>52</v>
      </c>
      <c r="H568">
        <v>19</v>
      </c>
    </row>
    <row r="569" spans="1:8" x14ac:dyDescent="0.25">
      <c r="A569" t="s">
        <v>1233</v>
      </c>
      <c r="B569" t="s">
        <v>127</v>
      </c>
      <c r="C569" t="s">
        <v>102</v>
      </c>
      <c r="D569" t="s">
        <v>232</v>
      </c>
      <c r="E569">
        <v>302</v>
      </c>
      <c r="F569">
        <v>26</v>
      </c>
      <c r="G569">
        <v>39</v>
      </c>
      <c r="H569">
        <v>35</v>
      </c>
    </row>
    <row r="570" spans="1:8" x14ac:dyDescent="0.25">
      <c r="A570" t="s">
        <v>1234</v>
      </c>
      <c r="B570" t="s">
        <v>127</v>
      </c>
      <c r="C570" t="s">
        <v>102</v>
      </c>
      <c r="D570" t="s">
        <v>233</v>
      </c>
      <c r="E570">
        <v>278</v>
      </c>
      <c r="F570">
        <v>24</v>
      </c>
      <c r="G570">
        <v>43</v>
      </c>
      <c r="H570">
        <v>33</v>
      </c>
    </row>
    <row r="571" spans="1:8" x14ac:dyDescent="0.25">
      <c r="A571" t="s">
        <v>1235</v>
      </c>
      <c r="B571" t="s">
        <v>127</v>
      </c>
      <c r="C571" t="s">
        <v>102</v>
      </c>
      <c r="D571" t="s">
        <v>234</v>
      </c>
      <c r="E571">
        <v>257</v>
      </c>
      <c r="F571">
        <v>21</v>
      </c>
      <c r="G571">
        <v>42</v>
      </c>
      <c r="H571">
        <v>37</v>
      </c>
    </row>
    <row r="572" spans="1:8" x14ac:dyDescent="0.25">
      <c r="A572" t="s">
        <v>1236</v>
      </c>
      <c r="B572" t="s">
        <v>127</v>
      </c>
      <c r="C572" t="s">
        <v>102</v>
      </c>
      <c r="D572" t="s">
        <v>235</v>
      </c>
      <c r="E572">
        <v>263</v>
      </c>
      <c r="F572">
        <v>18</v>
      </c>
      <c r="G572">
        <v>44</v>
      </c>
      <c r="H572">
        <v>38</v>
      </c>
    </row>
    <row r="573" spans="1:8" x14ac:dyDescent="0.25">
      <c r="A573" t="s">
        <v>1237</v>
      </c>
      <c r="B573" t="s">
        <v>127</v>
      </c>
      <c r="C573" t="s">
        <v>102</v>
      </c>
      <c r="D573" t="s">
        <v>236</v>
      </c>
      <c r="E573">
        <v>244</v>
      </c>
      <c r="F573">
        <v>23</v>
      </c>
      <c r="G573">
        <v>50</v>
      </c>
      <c r="H573">
        <v>27</v>
      </c>
    </row>
    <row r="574" spans="1:8" x14ac:dyDescent="0.25">
      <c r="A574" t="s">
        <v>1238</v>
      </c>
      <c r="B574" t="s">
        <v>127</v>
      </c>
      <c r="C574" t="s">
        <v>102</v>
      </c>
      <c r="D574" t="s">
        <v>237</v>
      </c>
      <c r="E574">
        <v>231</v>
      </c>
      <c r="F574">
        <v>22</v>
      </c>
      <c r="G574">
        <v>44</v>
      </c>
      <c r="H574">
        <v>34</v>
      </c>
    </row>
    <row r="575" spans="1:8" x14ac:dyDescent="0.25">
      <c r="A575" t="s">
        <v>1239</v>
      </c>
      <c r="B575" t="s">
        <v>127</v>
      </c>
      <c r="C575" t="s">
        <v>102</v>
      </c>
      <c r="D575" t="s">
        <v>238</v>
      </c>
      <c r="E575">
        <v>252</v>
      </c>
      <c r="F575">
        <v>26</v>
      </c>
      <c r="G575">
        <v>44</v>
      </c>
      <c r="H575">
        <v>30</v>
      </c>
    </row>
    <row r="576" spans="1:8" x14ac:dyDescent="0.25">
      <c r="A576" t="s">
        <v>1240</v>
      </c>
      <c r="B576" t="s">
        <v>127</v>
      </c>
      <c r="C576" t="s">
        <v>102</v>
      </c>
      <c r="D576" t="s">
        <v>239</v>
      </c>
      <c r="E576">
        <v>225</v>
      </c>
      <c r="F576">
        <v>22</v>
      </c>
      <c r="G576">
        <v>48</v>
      </c>
      <c r="H576">
        <v>30</v>
      </c>
    </row>
    <row r="577" spans="1:8" x14ac:dyDescent="0.25">
      <c r="A577" t="s">
        <v>1241</v>
      </c>
      <c r="B577" t="s">
        <v>127</v>
      </c>
      <c r="C577" t="s">
        <v>102</v>
      </c>
      <c r="D577" t="s">
        <v>47</v>
      </c>
      <c r="E577">
        <v>217</v>
      </c>
      <c r="F577">
        <v>24</v>
      </c>
      <c r="G577">
        <v>48</v>
      </c>
      <c r="H577">
        <v>28</v>
      </c>
    </row>
    <row r="578" spans="1:8" x14ac:dyDescent="0.25">
      <c r="A578" t="s">
        <v>1242</v>
      </c>
      <c r="B578" t="s">
        <v>127</v>
      </c>
      <c r="C578" t="s">
        <v>31</v>
      </c>
      <c r="D578" t="s">
        <v>232</v>
      </c>
      <c r="E578">
        <v>339</v>
      </c>
      <c r="F578">
        <v>30</v>
      </c>
      <c r="G578">
        <v>41</v>
      </c>
      <c r="H578">
        <v>29</v>
      </c>
    </row>
    <row r="579" spans="1:8" x14ac:dyDescent="0.25">
      <c r="A579" t="s">
        <v>1243</v>
      </c>
      <c r="B579" t="s">
        <v>127</v>
      </c>
      <c r="C579" t="s">
        <v>31</v>
      </c>
      <c r="D579" t="s">
        <v>233</v>
      </c>
      <c r="E579">
        <v>324</v>
      </c>
      <c r="F579">
        <v>29</v>
      </c>
      <c r="G579">
        <v>41</v>
      </c>
      <c r="H579">
        <v>30</v>
      </c>
    </row>
    <row r="580" spans="1:8" x14ac:dyDescent="0.25">
      <c r="A580" t="s">
        <v>1244</v>
      </c>
      <c r="B580" t="s">
        <v>127</v>
      </c>
      <c r="C580" t="s">
        <v>31</v>
      </c>
      <c r="D580" t="s">
        <v>234</v>
      </c>
      <c r="E580">
        <v>309</v>
      </c>
      <c r="F580">
        <v>21</v>
      </c>
      <c r="G580">
        <v>46</v>
      </c>
      <c r="H580">
        <v>33</v>
      </c>
    </row>
    <row r="581" spans="1:8" x14ac:dyDescent="0.25">
      <c r="A581" t="s">
        <v>1245</v>
      </c>
      <c r="B581" t="s">
        <v>127</v>
      </c>
      <c r="C581" t="s">
        <v>31</v>
      </c>
      <c r="D581" t="s">
        <v>235</v>
      </c>
      <c r="E581">
        <v>304</v>
      </c>
      <c r="F581">
        <v>27</v>
      </c>
      <c r="G581">
        <v>45</v>
      </c>
      <c r="H581">
        <v>28</v>
      </c>
    </row>
    <row r="582" spans="1:8" x14ac:dyDescent="0.25">
      <c r="A582" t="s">
        <v>1246</v>
      </c>
      <c r="B582" t="s">
        <v>127</v>
      </c>
      <c r="C582" t="s">
        <v>31</v>
      </c>
      <c r="D582" t="s">
        <v>236</v>
      </c>
      <c r="E582">
        <v>293</v>
      </c>
      <c r="F582">
        <v>25</v>
      </c>
      <c r="G582">
        <v>51</v>
      </c>
      <c r="H582">
        <v>24</v>
      </c>
    </row>
    <row r="583" spans="1:8" x14ac:dyDescent="0.25">
      <c r="A583" t="s">
        <v>1247</v>
      </c>
      <c r="B583" t="s">
        <v>127</v>
      </c>
      <c r="C583" t="s">
        <v>31</v>
      </c>
      <c r="D583" t="s">
        <v>237</v>
      </c>
      <c r="E583">
        <v>272</v>
      </c>
      <c r="F583">
        <v>24</v>
      </c>
      <c r="G583">
        <v>44</v>
      </c>
      <c r="H583">
        <v>32</v>
      </c>
    </row>
    <row r="584" spans="1:8" x14ac:dyDescent="0.25">
      <c r="A584" t="s">
        <v>1248</v>
      </c>
      <c r="B584" t="s">
        <v>127</v>
      </c>
      <c r="C584" t="s">
        <v>31</v>
      </c>
      <c r="D584" t="s">
        <v>238</v>
      </c>
      <c r="E584">
        <v>298</v>
      </c>
      <c r="F584">
        <v>26</v>
      </c>
      <c r="G584">
        <v>50</v>
      </c>
      <c r="H584">
        <v>24</v>
      </c>
    </row>
    <row r="585" spans="1:8" x14ac:dyDescent="0.25">
      <c r="A585" t="s">
        <v>1249</v>
      </c>
      <c r="B585" t="s">
        <v>127</v>
      </c>
      <c r="C585" t="s">
        <v>31</v>
      </c>
      <c r="D585" t="s">
        <v>239</v>
      </c>
      <c r="E585">
        <v>264</v>
      </c>
      <c r="F585">
        <v>26</v>
      </c>
      <c r="G585">
        <v>48</v>
      </c>
      <c r="H585">
        <v>26</v>
      </c>
    </row>
    <row r="586" spans="1:8" x14ac:dyDescent="0.25">
      <c r="A586" t="s">
        <v>1250</v>
      </c>
      <c r="B586" t="s">
        <v>127</v>
      </c>
      <c r="C586" t="s">
        <v>31</v>
      </c>
      <c r="D586" t="s">
        <v>47</v>
      </c>
      <c r="E586">
        <v>264</v>
      </c>
      <c r="F586">
        <v>30</v>
      </c>
      <c r="G586">
        <v>52</v>
      </c>
      <c r="H586">
        <v>18</v>
      </c>
    </row>
    <row r="587" spans="1:8" x14ac:dyDescent="0.25">
      <c r="A587" t="s">
        <v>1251</v>
      </c>
      <c r="B587" t="s">
        <v>125</v>
      </c>
      <c r="C587" t="s">
        <v>103</v>
      </c>
      <c r="D587" t="s">
        <v>232</v>
      </c>
      <c r="E587">
        <v>811</v>
      </c>
      <c r="F587">
        <v>20</v>
      </c>
      <c r="G587">
        <v>58</v>
      </c>
      <c r="H587">
        <v>22</v>
      </c>
    </row>
    <row r="588" spans="1:8" x14ac:dyDescent="0.25">
      <c r="A588" t="s">
        <v>1252</v>
      </c>
      <c r="B588" t="s">
        <v>125</v>
      </c>
      <c r="C588" t="s">
        <v>103</v>
      </c>
      <c r="D588" t="s">
        <v>233</v>
      </c>
      <c r="E588">
        <v>779</v>
      </c>
      <c r="F588">
        <v>19</v>
      </c>
      <c r="G588">
        <v>59</v>
      </c>
      <c r="H588">
        <v>22</v>
      </c>
    </row>
    <row r="589" spans="1:8" x14ac:dyDescent="0.25">
      <c r="A589" t="s">
        <v>1253</v>
      </c>
      <c r="B589" t="s">
        <v>125</v>
      </c>
      <c r="C589" t="s">
        <v>103</v>
      </c>
      <c r="D589" t="s">
        <v>234</v>
      </c>
      <c r="E589">
        <v>774</v>
      </c>
      <c r="F589">
        <v>15</v>
      </c>
      <c r="G589">
        <v>53</v>
      </c>
      <c r="H589">
        <v>32</v>
      </c>
    </row>
    <row r="590" spans="1:8" x14ac:dyDescent="0.25">
      <c r="A590" t="s">
        <v>1254</v>
      </c>
      <c r="B590" t="s">
        <v>125</v>
      </c>
      <c r="C590" t="s">
        <v>103</v>
      </c>
      <c r="D590" t="s">
        <v>235</v>
      </c>
      <c r="E590">
        <v>737</v>
      </c>
      <c r="F590">
        <v>14</v>
      </c>
      <c r="G590">
        <v>58</v>
      </c>
      <c r="H590">
        <v>28</v>
      </c>
    </row>
    <row r="591" spans="1:8" x14ac:dyDescent="0.25">
      <c r="A591" t="s">
        <v>1255</v>
      </c>
      <c r="B591" t="s">
        <v>125</v>
      </c>
      <c r="C591" t="s">
        <v>103</v>
      </c>
      <c r="D591" t="s">
        <v>236</v>
      </c>
      <c r="E591">
        <v>685</v>
      </c>
      <c r="F591">
        <v>15</v>
      </c>
      <c r="G591">
        <v>60</v>
      </c>
      <c r="H591">
        <v>25</v>
      </c>
    </row>
    <row r="592" spans="1:8" x14ac:dyDescent="0.25">
      <c r="A592" t="s">
        <v>1256</v>
      </c>
      <c r="B592" t="s">
        <v>125</v>
      </c>
      <c r="C592" t="s">
        <v>103</v>
      </c>
      <c r="D592" t="s">
        <v>237</v>
      </c>
      <c r="E592">
        <v>669</v>
      </c>
      <c r="F592">
        <v>17</v>
      </c>
      <c r="G592">
        <v>51</v>
      </c>
      <c r="H592">
        <v>32</v>
      </c>
    </row>
    <row r="593" spans="1:8" x14ac:dyDescent="0.25">
      <c r="A593" t="s">
        <v>1257</v>
      </c>
      <c r="B593" t="s">
        <v>125</v>
      </c>
      <c r="C593" t="s">
        <v>103</v>
      </c>
      <c r="D593" t="s">
        <v>238</v>
      </c>
      <c r="E593">
        <v>755</v>
      </c>
      <c r="F593">
        <v>17</v>
      </c>
      <c r="G593">
        <v>55</v>
      </c>
      <c r="H593">
        <v>28</v>
      </c>
    </row>
    <row r="594" spans="1:8" x14ac:dyDescent="0.25">
      <c r="A594" t="s">
        <v>1258</v>
      </c>
      <c r="B594" t="s">
        <v>125</v>
      </c>
      <c r="C594" t="s">
        <v>103</v>
      </c>
      <c r="D594" t="s">
        <v>239</v>
      </c>
      <c r="E594">
        <v>659</v>
      </c>
      <c r="F594">
        <v>18</v>
      </c>
      <c r="G594">
        <v>51</v>
      </c>
      <c r="H594">
        <v>31</v>
      </c>
    </row>
    <row r="595" spans="1:8" x14ac:dyDescent="0.25">
      <c r="A595" t="s">
        <v>1259</v>
      </c>
      <c r="B595" t="s">
        <v>125</v>
      </c>
      <c r="C595" t="s">
        <v>103</v>
      </c>
      <c r="D595" t="s">
        <v>47</v>
      </c>
      <c r="E595">
        <v>668</v>
      </c>
      <c r="F595">
        <v>17</v>
      </c>
      <c r="G595">
        <v>58</v>
      </c>
      <c r="H595">
        <v>25</v>
      </c>
    </row>
    <row r="596" spans="1:8" x14ac:dyDescent="0.25">
      <c r="A596" t="s">
        <v>1260</v>
      </c>
      <c r="B596" t="s">
        <v>125</v>
      </c>
      <c r="C596" t="s">
        <v>100</v>
      </c>
      <c r="D596" t="s">
        <v>232</v>
      </c>
      <c r="E596">
        <v>824</v>
      </c>
      <c r="F596">
        <v>21</v>
      </c>
      <c r="G596">
        <v>52</v>
      </c>
      <c r="H596">
        <v>27</v>
      </c>
    </row>
    <row r="597" spans="1:8" x14ac:dyDescent="0.25">
      <c r="A597" t="s">
        <v>1261</v>
      </c>
      <c r="B597" t="s">
        <v>125</v>
      </c>
      <c r="C597" t="s">
        <v>100</v>
      </c>
      <c r="D597" t="s">
        <v>233</v>
      </c>
      <c r="E597">
        <v>796</v>
      </c>
      <c r="F597">
        <v>26</v>
      </c>
      <c r="G597">
        <v>50</v>
      </c>
      <c r="H597">
        <v>24</v>
      </c>
    </row>
    <row r="598" spans="1:8" x14ac:dyDescent="0.25">
      <c r="A598" t="s">
        <v>1262</v>
      </c>
      <c r="B598" t="s">
        <v>125</v>
      </c>
      <c r="C598" t="s">
        <v>100</v>
      </c>
      <c r="D598" t="s">
        <v>234</v>
      </c>
      <c r="E598">
        <v>798</v>
      </c>
      <c r="F598">
        <v>19</v>
      </c>
      <c r="G598">
        <v>54</v>
      </c>
      <c r="H598">
        <v>27</v>
      </c>
    </row>
    <row r="599" spans="1:8" x14ac:dyDescent="0.25">
      <c r="A599" t="s">
        <v>1263</v>
      </c>
      <c r="B599" t="s">
        <v>125</v>
      </c>
      <c r="C599" t="s">
        <v>100</v>
      </c>
      <c r="D599" t="s">
        <v>235</v>
      </c>
      <c r="E599">
        <v>757</v>
      </c>
      <c r="F599">
        <v>18</v>
      </c>
      <c r="G599">
        <v>58</v>
      </c>
      <c r="H599">
        <v>24</v>
      </c>
    </row>
    <row r="600" spans="1:8" x14ac:dyDescent="0.25">
      <c r="A600" t="s">
        <v>1264</v>
      </c>
      <c r="B600" t="s">
        <v>125</v>
      </c>
      <c r="C600" t="s">
        <v>100</v>
      </c>
      <c r="D600" t="s">
        <v>236</v>
      </c>
      <c r="E600">
        <v>702</v>
      </c>
      <c r="F600">
        <v>24</v>
      </c>
      <c r="G600">
        <v>53</v>
      </c>
      <c r="H600">
        <v>23</v>
      </c>
    </row>
    <row r="601" spans="1:8" x14ac:dyDescent="0.25">
      <c r="A601" t="s">
        <v>1265</v>
      </c>
      <c r="B601" t="s">
        <v>125</v>
      </c>
      <c r="C601" t="s">
        <v>100</v>
      </c>
      <c r="D601" t="s">
        <v>237</v>
      </c>
      <c r="E601">
        <v>689</v>
      </c>
      <c r="F601">
        <v>23</v>
      </c>
      <c r="G601">
        <v>55</v>
      </c>
      <c r="H601">
        <v>22</v>
      </c>
    </row>
    <row r="602" spans="1:8" x14ac:dyDescent="0.25">
      <c r="A602" t="s">
        <v>1266</v>
      </c>
      <c r="B602" t="s">
        <v>125</v>
      </c>
      <c r="C602" t="s">
        <v>100</v>
      </c>
      <c r="D602" t="s">
        <v>238</v>
      </c>
      <c r="E602">
        <v>772</v>
      </c>
      <c r="F602">
        <v>23</v>
      </c>
      <c r="G602">
        <v>59</v>
      </c>
      <c r="H602">
        <v>18</v>
      </c>
    </row>
    <row r="603" spans="1:8" x14ac:dyDescent="0.25">
      <c r="A603" t="s">
        <v>1267</v>
      </c>
      <c r="B603" t="s">
        <v>125</v>
      </c>
      <c r="C603" t="s">
        <v>100</v>
      </c>
      <c r="D603" t="s">
        <v>239</v>
      </c>
      <c r="E603">
        <v>674</v>
      </c>
      <c r="F603">
        <v>22</v>
      </c>
      <c r="G603">
        <v>55</v>
      </c>
      <c r="H603">
        <v>23</v>
      </c>
    </row>
    <row r="604" spans="1:8" x14ac:dyDescent="0.25">
      <c r="A604" t="s">
        <v>1268</v>
      </c>
      <c r="B604" t="s">
        <v>125</v>
      </c>
      <c r="C604" t="s">
        <v>100</v>
      </c>
      <c r="D604" t="s">
        <v>47</v>
      </c>
      <c r="E604">
        <v>686</v>
      </c>
      <c r="F604">
        <v>25</v>
      </c>
      <c r="G604">
        <v>60</v>
      </c>
      <c r="H604">
        <v>15</v>
      </c>
    </row>
    <row r="605" spans="1:8" x14ac:dyDescent="0.25">
      <c r="A605" t="s">
        <v>1269</v>
      </c>
      <c r="B605" t="s">
        <v>125</v>
      </c>
      <c r="C605" t="s">
        <v>101</v>
      </c>
      <c r="D605" t="s">
        <v>232</v>
      </c>
      <c r="E605">
        <v>695</v>
      </c>
      <c r="F605">
        <v>28</v>
      </c>
      <c r="G605">
        <v>51</v>
      </c>
      <c r="H605">
        <v>21</v>
      </c>
    </row>
    <row r="606" spans="1:8" x14ac:dyDescent="0.25">
      <c r="A606" t="s">
        <v>1270</v>
      </c>
      <c r="B606" t="s">
        <v>125</v>
      </c>
      <c r="C606" t="s">
        <v>101</v>
      </c>
      <c r="D606" t="s">
        <v>233</v>
      </c>
      <c r="E606">
        <v>658</v>
      </c>
      <c r="F606">
        <v>28</v>
      </c>
      <c r="G606">
        <v>49</v>
      </c>
      <c r="H606">
        <v>23</v>
      </c>
    </row>
    <row r="607" spans="1:8" x14ac:dyDescent="0.25">
      <c r="A607" t="s">
        <v>1271</v>
      </c>
      <c r="B607" t="s">
        <v>125</v>
      </c>
      <c r="C607" t="s">
        <v>101</v>
      </c>
      <c r="D607" t="s">
        <v>234</v>
      </c>
      <c r="E607">
        <v>671</v>
      </c>
      <c r="F607">
        <v>25</v>
      </c>
      <c r="G607">
        <v>47</v>
      </c>
      <c r="H607">
        <v>28</v>
      </c>
    </row>
    <row r="608" spans="1:8" x14ac:dyDescent="0.25">
      <c r="A608" t="s">
        <v>1272</v>
      </c>
      <c r="B608" t="s">
        <v>125</v>
      </c>
      <c r="C608" t="s">
        <v>101</v>
      </c>
      <c r="D608" t="s">
        <v>235</v>
      </c>
      <c r="E608">
        <v>618</v>
      </c>
      <c r="F608">
        <v>27</v>
      </c>
      <c r="G608">
        <v>50</v>
      </c>
      <c r="H608">
        <v>23</v>
      </c>
    </row>
    <row r="609" spans="1:8" x14ac:dyDescent="0.25">
      <c r="A609" t="s">
        <v>1273</v>
      </c>
      <c r="B609" t="s">
        <v>125</v>
      </c>
      <c r="C609" t="s">
        <v>101</v>
      </c>
      <c r="D609" t="s">
        <v>236</v>
      </c>
      <c r="E609">
        <v>582</v>
      </c>
      <c r="F609">
        <v>25</v>
      </c>
      <c r="G609">
        <v>47</v>
      </c>
      <c r="H609">
        <v>28</v>
      </c>
    </row>
    <row r="610" spans="1:8" x14ac:dyDescent="0.25">
      <c r="A610" t="s">
        <v>1274</v>
      </c>
      <c r="B610" t="s">
        <v>125</v>
      </c>
      <c r="C610" t="s">
        <v>101</v>
      </c>
      <c r="D610" t="s">
        <v>237</v>
      </c>
      <c r="E610">
        <v>557</v>
      </c>
      <c r="F610">
        <v>28</v>
      </c>
      <c r="G610">
        <v>45</v>
      </c>
      <c r="H610">
        <v>27</v>
      </c>
    </row>
    <row r="611" spans="1:8" x14ac:dyDescent="0.25">
      <c r="A611" t="s">
        <v>1275</v>
      </c>
      <c r="B611" t="s">
        <v>125</v>
      </c>
      <c r="C611" t="s">
        <v>101</v>
      </c>
      <c r="D611" t="s">
        <v>238</v>
      </c>
      <c r="E611">
        <v>641</v>
      </c>
      <c r="F611">
        <v>31</v>
      </c>
      <c r="G611">
        <v>49</v>
      </c>
      <c r="H611">
        <v>20</v>
      </c>
    </row>
    <row r="612" spans="1:8" x14ac:dyDescent="0.25">
      <c r="A612" t="s">
        <v>1276</v>
      </c>
      <c r="B612" t="s">
        <v>125</v>
      </c>
      <c r="C612" t="s">
        <v>101</v>
      </c>
      <c r="D612" t="s">
        <v>239</v>
      </c>
      <c r="E612">
        <v>552</v>
      </c>
      <c r="F612">
        <v>29</v>
      </c>
      <c r="G612">
        <v>47</v>
      </c>
      <c r="H612">
        <v>24</v>
      </c>
    </row>
    <row r="613" spans="1:8" x14ac:dyDescent="0.25">
      <c r="A613" t="s">
        <v>1277</v>
      </c>
      <c r="B613" t="s">
        <v>125</v>
      </c>
      <c r="C613" t="s">
        <v>101</v>
      </c>
      <c r="D613" t="s">
        <v>47</v>
      </c>
      <c r="E613">
        <v>557</v>
      </c>
      <c r="F613">
        <v>32</v>
      </c>
      <c r="G613">
        <v>53</v>
      </c>
      <c r="H613">
        <v>15</v>
      </c>
    </row>
    <row r="614" spans="1:8" x14ac:dyDescent="0.25">
      <c r="A614" t="s">
        <v>1278</v>
      </c>
      <c r="B614" t="s">
        <v>125</v>
      </c>
      <c r="C614" t="s">
        <v>102</v>
      </c>
      <c r="D614" t="s">
        <v>232</v>
      </c>
      <c r="E614">
        <v>732</v>
      </c>
      <c r="F614">
        <v>24</v>
      </c>
      <c r="G614">
        <v>43</v>
      </c>
      <c r="H614">
        <v>33</v>
      </c>
    </row>
    <row r="615" spans="1:8" x14ac:dyDescent="0.25">
      <c r="A615" t="s">
        <v>1279</v>
      </c>
      <c r="B615" t="s">
        <v>125</v>
      </c>
      <c r="C615" t="s">
        <v>102</v>
      </c>
      <c r="D615" t="s">
        <v>233</v>
      </c>
      <c r="E615">
        <v>693</v>
      </c>
      <c r="F615">
        <v>25</v>
      </c>
      <c r="G615">
        <v>42</v>
      </c>
      <c r="H615">
        <v>33</v>
      </c>
    </row>
    <row r="616" spans="1:8" x14ac:dyDescent="0.25">
      <c r="A616" t="s">
        <v>1280</v>
      </c>
      <c r="B616" t="s">
        <v>125</v>
      </c>
      <c r="C616" t="s">
        <v>102</v>
      </c>
      <c r="D616" t="s">
        <v>234</v>
      </c>
      <c r="E616">
        <v>689</v>
      </c>
      <c r="F616">
        <v>18</v>
      </c>
      <c r="G616">
        <v>45</v>
      </c>
      <c r="H616">
        <v>37</v>
      </c>
    </row>
    <row r="617" spans="1:8" x14ac:dyDescent="0.25">
      <c r="A617" t="s">
        <v>1281</v>
      </c>
      <c r="B617" t="s">
        <v>125</v>
      </c>
      <c r="C617" t="s">
        <v>102</v>
      </c>
      <c r="D617" t="s">
        <v>235</v>
      </c>
      <c r="E617">
        <v>659</v>
      </c>
      <c r="F617">
        <v>19</v>
      </c>
      <c r="G617">
        <v>43</v>
      </c>
      <c r="H617">
        <v>38</v>
      </c>
    </row>
    <row r="618" spans="1:8" x14ac:dyDescent="0.25">
      <c r="A618" t="s">
        <v>1282</v>
      </c>
      <c r="B618" t="s">
        <v>125</v>
      </c>
      <c r="C618" t="s">
        <v>102</v>
      </c>
      <c r="D618" t="s">
        <v>236</v>
      </c>
      <c r="E618">
        <v>593</v>
      </c>
      <c r="F618">
        <v>19</v>
      </c>
      <c r="G618">
        <v>51</v>
      </c>
      <c r="H618">
        <v>30</v>
      </c>
    </row>
    <row r="619" spans="1:8" x14ac:dyDescent="0.25">
      <c r="A619" t="s">
        <v>1283</v>
      </c>
      <c r="B619" t="s">
        <v>125</v>
      </c>
      <c r="C619" t="s">
        <v>102</v>
      </c>
      <c r="D619" t="s">
        <v>237</v>
      </c>
      <c r="E619">
        <v>597</v>
      </c>
      <c r="F619">
        <v>22</v>
      </c>
      <c r="G619">
        <v>47</v>
      </c>
      <c r="H619">
        <v>31</v>
      </c>
    </row>
    <row r="620" spans="1:8" x14ac:dyDescent="0.25">
      <c r="A620" t="s">
        <v>1284</v>
      </c>
      <c r="B620" t="s">
        <v>125</v>
      </c>
      <c r="C620" t="s">
        <v>102</v>
      </c>
      <c r="D620" t="s">
        <v>238</v>
      </c>
      <c r="E620">
        <v>670</v>
      </c>
      <c r="F620">
        <v>24</v>
      </c>
      <c r="G620">
        <v>46</v>
      </c>
      <c r="H620">
        <v>30</v>
      </c>
    </row>
    <row r="621" spans="1:8" x14ac:dyDescent="0.25">
      <c r="A621" t="s">
        <v>1285</v>
      </c>
      <c r="B621" t="s">
        <v>125</v>
      </c>
      <c r="C621" t="s">
        <v>102</v>
      </c>
      <c r="D621" t="s">
        <v>239</v>
      </c>
      <c r="E621">
        <v>571</v>
      </c>
      <c r="F621">
        <v>26</v>
      </c>
      <c r="G621">
        <v>44</v>
      </c>
      <c r="H621">
        <v>30</v>
      </c>
    </row>
    <row r="622" spans="1:8" x14ac:dyDescent="0.25">
      <c r="A622" t="s">
        <v>1286</v>
      </c>
      <c r="B622" t="s">
        <v>125</v>
      </c>
      <c r="C622" t="s">
        <v>102</v>
      </c>
      <c r="D622" t="s">
        <v>47</v>
      </c>
      <c r="E622">
        <v>587</v>
      </c>
      <c r="F622">
        <v>22</v>
      </c>
      <c r="G622">
        <v>50</v>
      </c>
      <c r="H622">
        <v>28</v>
      </c>
    </row>
    <row r="623" spans="1:8" x14ac:dyDescent="0.25">
      <c r="A623" t="s">
        <v>1287</v>
      </c>
      <c r="B623" t="s">
        <v>125</v>
      </c>
      <c r="C623" t="s">
        <v>31</v>
      </c>
      <c r="D623" t="s">
        <v>232</v>
      </c>
      <c r="E623">
        <v>828</v>
      </c>
      <c r="F623">
        <v>31</v>
      </c>
      <c r="G623">
        <v>46</v>
      </c>
      <c r="H623">
        <v>23</v>
      </c>
    </row>
    <row r="624" spans="1:8" x14ac:dyDescent="0.25">
      <c r="A624" t="s">
        <v>1288</v>
      </c>
      <c r="B624" t="s">
        <v>125</v>
      </c>
      <c r="C624" t="s">
        <v>31</v>
      </c>
      <c r="D624" t="s">
        <v>233</v>
      </c>
      <c r="E624">
        <v>807</v>
      </c>
      <c r="F624">
        <v>27</v>
      </c>
      <c r="G624">
        <v>45</v>
      </c>
      <c r="H624">
        <v>28</v>
      </c>
    </row>
    <row r="625" spans="1:8" x14ac:dyDescent="0.25">
      <c r="A625" t="s">
        <v>1289</v>
      </c>
      <c r="B625" t="s">
        <v>125</v>
      </c>
      <c r="C625" t="s">
        <v>31</v>
      </c>
      <c r="D625" t="s">
        <v>234</v>
      </c>
      <c r="E625">
        <v>807</v>
      </c>
      <c r="F625">
        <v>22</v>
      </c>
      <c r="G625">
        <v>43</v>
      </c>
      <c r="H625">
        <v>35</v>
      </c>
    </row>
    <row r="626" spans="1:8" x14ac:dyDescent="0.25">
      <c r="A626" t="s">
        <v>1290</v>
      </c>
      <c r="B626" t="s">
        <v>125</v>
      </c>
      <c r="C626" t="s">
        <v>31</v>
      </c>
      <c r="D626" t="s">
        <v>235</v>
      </c>
      <c r="E626">
        <v>758</v>
      </c>
      <c r="F626">
        <v>23</v>
      </c>
      <c r="G626">
        <v>47</v>
      </c>
      <c r="H626">
        <v>30</v>
      </c>
    </row>
    <row r="627" spans="1:8" x14ac:dyDescent="0.25">
      <c r="A627" t="s">
        <v>1291</v>
      </c>
      <c r="B627" t="s">
        <v>125</v>
      </c>
      <c r="C627" t="s">
        <v>31</v>
      </c>
      <c r="D627" t="s">
        <v>236</v>
      </c>
      <c r="E627">
        <v>715</v>
      </c>
      <c r="F627">
        <v>24</v>
      </c>
      <c r="G627">
        <v>49</v>
      </c>
      <c r="H627">
        <v>27</v>
      </c>
    </row>
    <row r="628" spans="1:8" x14ac:dyDescent="0.25">
      <c r="A628" t="s">
        <v>1292</v>
      </c>
      <c r="B628" t="s">
        <v>125</v>
      </c>
      <c r="C628" t="s">
        <v>31</v>
      </c>
      <c r="D628" t="s">
        <v>237</v>
      </c>
      <c r="E628">
        <v>696</v>
      </c>
      <c r="F628">
        <v>24</v>
      </c>
      <c r="G628">
        <v>46</v>
      </c>
      <c r="H628">
        <v>30</v>
      </c>
    </row>
    <row r="629" spans="1:8" x14ac:dyDescent="0.25">
      <c r="A629" t="s">
        <v>1293</v>
      </c>
      <c r="B629" t="s">
        <v>125</v>
      </c>
      <c r="C629" t="s">
        <v>31</v>
      </c>
      <c r="D629" t="s">
        <v>238</v>
      </c>
      <c r="E629">
        <v>782</v>
      </c>
      <c r="F629">
        <v>27</v>
      </c>
      <c r="G629">
        <v>49</v>
      </c>
      <c r="H629">
        <v>24</v>
      </c>
    </row>
    <row r="630" spans="1:8" x14ac:dyDescent="0.25">
      <c r="A630" t="s">
        <v>1294</v>
      </c>
      <c r="B630" t="s">
        <v>125</v>
      </c>
      <c r="C630" t="s">
        <v>31</v>
      </c>
      <c r="D630" t="s">
        <v>239</v>
      </c>
      <c r="E630">
        <v>677</v>
      </c>
      <c r="F630">
        <v>28</v>
      </c>
      <c r="G630">
        <v>48</v>
      </c>
      <c r="H630">
        <v>24</v>
      </c>
    </row>
    <row r="631" spans="1:8" x14ac:dyDescent="0.25">
      <c r="A631" t="s">
        <v>1295</v>
      </c>
      <c r="B631" t="s">
        <v>125</v>
      </c>
      <c r="C631" t="s">
        <v>31</v>
      </c>
      <c r="D631" t="s">
        <v>47</v>
      </c>
      <c r="E631">
        <v>695</v>
      </c>
      <c r="F631">
        <v>35</v>
      </c>
      <c r="G631">
        <v>45</v>
      </c>
      <c r="H631">
        <v>20</v>
      </c>
    </row>
    <row r="632" spans="1:8" x14ac:dyDescent="0.25">
      <c r="A632" t="s">
        <v>1296</v>
      </c>
      <c r="B632" t="s">
        <v>132</v>
      </c>
      <c r="C632" t="s">
        <v>103</v>
      </c>
      <c r="D632" t="s">
        <v>232</v>
      </c>
      <c r="E632">
        <v>181</v>
      </c>
      <c r="F632">
        <v>39</v>
      </c>
      <c r="G632">
        <v>60</v>
      </c>
      <c r="H632">
        <v>1</v>
      </c>
    </row>
    <row r="633" spans="1:8" x14ac:dyDescent="0.25">
      <c r="A633" t="s">
        <v>1297</v>
      </c>
      <c r="B633" t="s">
        <v>132</v>
      </c>
      <c r="C633" t="s">
        <v>103</v>
      </c>
      <c r="D633" t="s">
        <v>233</v>
      </c>
      <c r="E633">
        <v>144</v>
      </c>
      <c r="F633">
        <v>39</v>
      </c>
      <c r="G633">
        <v>55</v>
      </c>
      <c r="H633">
        <v>6</v>
      </c>
    </row>
    <row r="634" spans="1:8" x14ac:dyDescent="0.25">
      <c r="A634" t="s">
        <v>1298</v>
      </c>
      <c r="B634" t="s">
        <v>132</v>
      </c>
      <c r="C634" t="s">
        <v>103</v>
      </c>
      <c r="D634" t="s">
        <v>234</v>
      </c>
      <c r="E634">
        <v>158</v>
      </c>
      <c r="F634">
        <v>43</v>
      </c>
      <c r="G634">
        <v>52</v>
      </c>
      <c r="H634">
        <v>5</v>
      </c>
    </row>
    <row r="635" spans="1:8" x14ac:dyDescent="0.25">
      <c r="A635" t="s">
        <v>1299</v>
      </c>
      <c r="B635" t="s">
        <v>132</v>
      </c>
      <c r="C635" t="s">
        <v>103</v>
      </c>
      <c r="D635" t="s">
        <v>235</v>
      </c>
      <c r="E635">
        <v>160</v>
      </c>
      <c r="F635">
        <v>34</v>
      </c>
      <c r="G635">
        <v>59</v>
      </c>
      <c r="H635">
        <v>7</v>
      </c>
    </row>
    <row r="636" spans="1:8" x14ac:dyDescent="0.25">
      <c r="A636" t="s">
        <v>1300</v>
      </c>
      <c r="B636" t="s">
        <v>132</v>
      </c>
      <c r="C636" t="s">
        <v>103</v>
      </c>
      <c r="D636" t="s">
        <v>236</v>
      </c>
      <c r="E636">
        <v>139</v>
      </c>
      <c r="F636">
        <v>31</v>
      </c>
      <c r="G636">
        <v>64</v>
      </c>
      <c r="H636">
        <v>5</v>
      </c>
    </row>
    <row r="637" spans="1:8" x14ac:dyDescent="0.25">
      <c r="A637" t="s">
        <v>1301</v>
      </c>
      <c r="B637" t="s">
        <v>132</v>
      </c>
      <c r="C637" t="s">
        <v>103</v>
      </c>
      <c r="D637" t="s">
        <v>237</v>
      </c>
      <c r="E637">
        <v>160</v>
      </c>
      <c r="F637">
        <v>20</v>
      </c>
      <c r="G637">
        <v>67</v>
      </c>
      <c r="H637">
        <v>13</v>
      </c>
    </row>
    <row r="638" spans="1:8" x14ac:dyDescent="0.25">
      <c r="A638" t="s">
        <v>1302</v>
      </c>
      <c r="B638" t="s">
        <v>132</v>
      </c>
      <c r="C638" t="s">
        <v>103</v>
      </c>
      <c r="D638" t="s">
        <v>238</v>
      </c>
      <c r="E638">
        <v>164</v>
      </c>
      <c r="F638">
        <v>27</v>
      </c>
      <c r="G638">
        <v>66</v>
      </c>
      <c r="H638">
        <v>7</v>
      </c>
    </row>
    <row r="639" spans="1:8" x14ac:dyDescent="0.25">
      <c r="A639" t="s">
        <v>1303</v>
      </c>
      <c r="B639" t="s">
        <v>132</v>
      </c>
      <c r="C639" t="s">
        <v>103</v>
      </c>
      <c r="D639" t="s">
        <v>239</v>
      </c>
      <c r="E639">
        <v>146</v>
      </c>
      <c r="F639">
        <v>17</v>
      </c>
      <c r="G639">
        <v>67</v>
      </c>
      <c r="H639">
        <v>16</v>
      </c>
    </row>
    <row r="640" spans="1:8" x14ac:dyDescent="0.25">
      <c r="A640" t="s">
        <v>1304</v>
      </c>
      <c r="B640" t="s">
        <v>132</v>
      </c>
      <c r="C640" t="s">
        <v>103</v>
      </c>
      <c r="D640" t="s">
        <v>47</v>
      </c>
      <c r="E640">
        <v>135</v>
      </c>
      <c r="F640">
        <v>16</v>
      </c>
      <c r="G640">
        <v>61</v>
      </c>
      <c r="H640">
        <v>23</v>
      </c>
    </row>
    <row r="641" spans="1:8" x14ac:dyDescent="0.25">
      <c r="A641" t="s">
        <v>1305</v>
      </c>
      <c r="B641" t="s">
        <v>132</v>
      </c>
      <c r="C641" t="s">
        <v>100</v>
      </c>
      <c r="D641" t="s">
        <v>232</v>
      </c>
      <c r="E641">
        <v>189</v>
      </c>
      <c r="F641">
        <v>14</v>
      </c>
      <c r="G641">
        <v>56</v>
      </c>
      <c r="H641">
        <v>30</v>
      </c>
    </row>
    <row r="642" spans="1:8" x14ac:dyDescent="0.25">
      <c r="A642" t="s">
        <v>1306</v>
      </c>
      <c r="B642" t="s">
        <v>132</v>
      </c>
      <c r="C642" t="s">
        <v>100</v>
      </c>
      <c r="D642" t="s">
        <v>233</v>
      </c>
      <c r="E642">
        <v>148</v>
      </c>
      <c r="F642">
        <v>6</v>
      </c>
      <c r="G642">
        <v>73</v>
      </c>
      <c r="H642">
        <v>21</v>
      </c>
    </row>
    <row r="643" spans="1:8" x14ac:dyDescent="0.25">
      <c r="A643" t="s">
        <v>1307</v>
      </c>
      <c r="B643" t="s">
        <v>132</v>
      </c>
      <c r="C643" t="s">
        <v>100</v>
      </c>
      <c r="D643" t="s">
        <v>234</v>
      </c>
      <c r="E643">
        <v>164</v>
      </c>
      <c r="F643">
        <v>21</v>
      </c>
      <c r="G643">
        <v>57</v>
      </c>
      <c r="H643">
        <v>22</v>
      </c>
    </row>
    <row r="644" spans="1:8" x14ac:dyDescent="0.25">
      <c r="A644" t="s">
        <v>1308</v>
      </c>
      <c r="B644" t="s">
        <v>132</v>
      </c>
      <c r="C644" t="s">
        <v>100</v>
      </c>
      <c r="D644" t="s">
        <v>235</v>
      </c>
      <c r="E644">
        <v>162</v>
      </c>
      <c r="F644">
        <v>17</v>
      </c>
      <c r="G644">
        <v>63</v>
      </c>
      <c r="H644">
        <v>20</v>
      </c>
    </row>
    <row r="645" spans="1:8" x14ac:dyDescent="0.25">
      <c r="A645" t="s">
        <v>1309</v>
      </c>
      <c r="B645" t="s">
        <v>132</v>
      </c>
      <c r="C645" t="s">
        <v>100</v>
      </c>
      <c r="D645" t="s">
        <v>236</v>
      </c>
      <c r="E645">
        <v>144</v>
      </c>
      <c r="F645">
        <v>17</v>
      </c>
      <c r="G645">
        <v>63</v>
      </c>
      <c r="H645">
        <v>20</v>
      </c>
    </row>
    <row r="646" spans="1:8" x14ac:dyDescent="0.25">
      <c r="A646" t="s">
        <v>1310</v>
      </c>
      <c r="B646" t="s">
        <v>132</v>
      </c>
      <c r="C646" t="s">
        <v>100</v>
      </c>
      <c r="D646" t="s">
        <v>237</v>
      </c>
      <c r="E646">
        <v>163</v>
      </c>
      <c r="F646">
        <v>14</v>
      </c>
      <c r="G646">
        <v>66</v>
      </c>
      <c r="H646">
        <v>20</v>
      </c>
    </row>
    <row r="647" spans="1:8" x14ac:dyDescent="0.25">
      <c r="A647" t="s">
        <v>1311</v>
      </c>
      <c r="B647" t="s">
        <v>132</v>
      </c>
      <c r="C647" t="s">
        <v>100</v>
      </c>
      <c r="D647" t="s">
        <v>238</v>
      </c>
      <c r="E647">
        <v>169</v>
      </c>
      <c r="F647">
        <v>10</v>
      </c>
      <c r="G647">
        <v>67</v>
      </c>
      <c r="H647">
        <v>23</v>
      </c>
    </row>
    <row r="648" spans="1:8" x14ac:dyDescent="0.25">
      <c r="A648" t="s">
        <v>1312</v>
      </c>
      <c r="B648" t="s">
        <v>132</v>
      </c>
      <c r="C648" t="s">
        <v>100</v>
      </c>
      <c r="D648" t="s">
        <v>239</v>
      </c>
      <c r="E648">
        <v>150</v>
      </c>
      <c r="F648">
        <v>8</v>
      </c>
      <c r="G648">
        <v>68</v>
      </c>
      <c r="H648">
        <v>24</v>
      </c>
    </row>
    <row r="649" spans="1:8" x14ac:dyDescent="0.25">
      <c r="A649" t="s">
        <v>1313</v>
      </c>
      <c r="B649" t="s">
        <v>132</v>
      </c>
      <c r="C649" t="s">
        <v>100</v>
      </c>
      <c r="D649" t="s">
        <v>47</v>
      </c>
      <c r="E649">
        <v>138</v>
      </c>
      <c r="F649">
        <v>10</v>
      </c>
      <c r="G649">
        <v>59</v>
      </c>
      <c r="H649">
        <v>31</v>
      </c>
    </row>
    <row r="650" spans="1:8" x14ac:dyDescent="0.25">
      <c r="A650" t="s">
        <v>1314</v>
      </c>
      <c r="B650" t="s">
        <v>132</v>
      </c>
      <c r="C650" t="s">
        <v>101</v>
      </c>
      <c r="D650" t="s">
        <v>232</v>
      </c>
      <c r="E650">
        <v>20</v>
      </c>
      <c r="F650">
        <v>7</v>
      </c>
      <c r="G650">
        <v>61</v>
      </c>
      <c r="H650">
        <v>32</v>
      </c>
    </row>
    <row r="651" spans="1:8" x14ac:dyDescent="0.25">
      <c r="A651" t="s">
        <v>1315</v>
      </c>
      <c r="B651" t="s">
        <v>132</v>
      </c>
      <c r="C651" t="s">
        <v>101</v>
      </c>
      <c r="D651" t="s">
        <v>233</v>
      </c>
      <c r="E651">
        <v>20</v>
      </c>
      <c r="F651">
        <v>9</v>
      </c>
      <c r="G651">
        <v>88</v>
      </c>
      <c r="H651">
        <v>3</v>
      </c>
    </row>
    <row r="652" spans="1:8" x14ac:dyDescent="0.25">
      <c r="A652" t="s">
        <v>1316</v>
      </c>
      <c r="B652" t="s">
        <v>132</v>
      </c>
      <c r="C652" t="s">
        <v>101</v>
      </c>
      <c r="D652" t="s">
        <v>234</v>
      </c>
      <c r="E652">
        <v>25</v>
      </c>
      <c r="F652">
        <v>3</v>
      </c>
      <c r="G652">
        <v>80</v>
      </c>
      <c r="H652">
        <v>17</v>
      </c>
    </row>
    <row r="653" spans="1:8" x14ac:dyDescent="0.25">
      <c r="A653" t="s">
        <v>1317</v>
      </c>
      <c r="B653" t="s">
        <v>132</v>
      </c>
      <c r="C653" t="s">
        <v>101</v>
      </c>
      <c r="D653" t="s">
        <v>235</v>
      </c>
      <c r="E653">
        <v>20</v>
      </c>
      <c r="F653">
        <v>11</v>
      </c>
      <c r="G653">
        <v>62</v>
      </c>
      <c r="H653">
        <v>27</v>
      </c>
    </row>
    <row r="654" spans="1:8" x14ac:dyDescent="0.25">
      <c r="A654" t="s">
        <v>1318</v>
      </c>
      <c r="B654" t="s">
        <v>132</v>
      </c>
      <c r="C654" t="s">
        <v>101</v>
      </c>
      <c r="D654" t="s">
        <v>236</v>
      </c>
      <c r="E654">
        <v>23</v>
      </c>
      <c r="F654">
        <v>18</v>
      </c>
      <c r="G654">
        <v>75</v>
      </c>
      <c r="H654">
        <v>7</v>
      </c>
    </row>
    <row r="655" spans="1:8" x14ac:dyDescent="0.25">
      <c r="A655" t="s">
        <v>1319</v>
      </c>
      <c r="B655" t="s">
        <v>132</v>
      </c>
      <c r="C655" t="s">
        <v>101</v>
      </c>
      <c r="D655" t="s">
        <v>237</v>
      </c>
      <c r="E655">
        <v>20</v>
      </c>
      <c r="F655">
        <v>17</v>
      </c>
      <c r="G655">
        <v>75</v>
      </c>
      <c r="H655">
        <v>8</v>
      </c>
    </row>
    <row r="656" spans="1:8" x14ac:dyDescent="0.25">
      <c r="A656" t="s">
        <v>1320</v>
      </c>
      <c r="B656" t="s">
        <v>132</v>
      </c>
      <c r="C656" t="s">
        <v>101</v>
      </c>
      <c r="D656" t="s">
        <v>238</v>
      </c>
      <c r="E656">
        <v>28</v>
      </c>
      <c r="F656">
        <v>14</v>
      </c>
      <c r="G656">
        <v>79</v>
      </c>
      <c r="H656">
        <v>7</v>
      </c>
    </row>
    <row r="657" spans="1:8" x14ac:dyDescent="0.25">
      <c r="A657" t="s">
        <v>1321</v>
      </c>
      <c r="B657" t="s">
        <v>132</v>
      </c>
      <c r="C657" t="s">
        <v>101</v>
      </c>
      <c r="D657" t="s">
        <v>239</v>
      </c>
      <c r="E657">
        <v>24</v>
      </c>
      <c r="F657">
        <v>17</v>
      </c>
      <c r="G657">
        <v>74</v>
      </c>
      <c r="H657">
        <v>9</v>
      </c>
    </row>
    <row r="658" spans="1:8" x14ac:dyDescent="0.25">
      <c r="A658" t="s">
        <v>1322</v>
      </c>
      <c r="B658" t="s">
        <v>132</v>
      </c>
      <c r="C658" t="s">
        <v>101</v>
      </c>
      <c r="D658" t="s">
        <v>47</v>
      </c>
      <c r="E658">
        <v>24</v>
      </c>
      <c r="F658">
        <v>17</v>
      </c>
      <c r="G658">
        <v>70</v>
      </c>
      <c r="H658">
        <v>13</v>
      </c>
    </row>
    <row r="659" spans="1:8" x14ac:dyDescent="0.25">
      <c r="A659" t="s">
        <v>1323</v>
      </c>
      <c r="B659" t="s">
        <v>132</v>
      </c>
      <c r="C659" t="s">
        <v>102</v>
      </c>
      <c r="D659" t="s">
        <v>232</v>
      </c>
      <c r="E659">
        <v>178</v>
      </c>
      <c r="F659">
        <v>65</v>
      </c>
      <c r="G659">
        <v>28</v>
      </c>
      <c r="H659">
        <v>7</v>
      </c>
    </row>
    <row r="660" spans="1:8" x14ac:dyDescent="0.25">
      <c r="A660" t="s">
        <v>1324</v>
      </c>
      <c r="B660" t="s">
        <v>132</v>
      </c>
      <c r="C660" t="s">
        <v>102</v>
      </c>
      <c r="D660" t="s">
        <v>233</v>
      </c>
      <c r="E660">
        <v>133</v>
      </c>
      <c r="F660">
        <v>65</v>
      </c>
      <c r="G660">
        <v>31</v>
      </c>
      <c r="H660">
        <v>4</v>
      </c>
    </row>
    <row r="661" spans="1:8" x14ac:dyDescent="0.25">
      <c r="A661" t="s">
        <v>1325</v>
      </c>
      <c r="B661" t="s">
        <v>132</v>
      </c>
      <c r="C661" t="s">
        <v>102</v>
      </c>
      <c r="D661" t="s">
        <v>234</v>
      </c>
      <c r="E661">
        <v>152</v>
      </c>
      <c r="F661">
        <v>63</v>
      </c>
      <c r="G661">
        <v>29</v>
      </c>
      <c r="H661">
        <v>8</v>
      </c>
    </row>
    <row r="662" spans="1:8" x14ac:dyDescent="0.25">
      <c r="A662" t="s">
        <v>1326</v>
      </c>
      <c r="B662" t="s">
        <v>132</v>
      </c>
      <c r="C662" t="s">
        <v>102</v>
      </c>
      <c r="D662" t="s">
        <v>235</v>
      </c>
      <c r="E662">
        <v>153</v>
      </c>
      <c r="F662">
        <v>64</v>
      </c>
      <c r="G662">
        <v>29</v>
      </c>
      <c r="H662">
        <v>7</v>
      </c>
    </row>
    <row r="663" spans="1:8" x14ac:dyDescent="0.25">
      <c r="A663" t="s">
        <v>1327</v>
      </c>
      <c r="B663" t="s">
        <v>132</v>
      </c>
      <c r="C663" t="s">
        <v>102</v>
      </c>
      <c r="D663" t="s">
        <v>236</v>
      </c>
      <c r="E663">
        <v>134</v>
      </c>
      <c r="F663">
        <v>61</v>
      </c>
      <c r="G663">
        <v>30</v>
      </c>
      <c r="H663">
        <v>9</v>
      </c>
    </row>
    <row r="664" spans="1:8" x14ac:dyDescent="0.25">
      <c r="A664" t="s">
        <v>1328</v>
      </c>
      <c r="B664" t="s">
        <v>132</v>
      </c>
      <c r="C664" t="s">
        <v>102</v>
      </c>
      <c r="D664" t="s">
        <v>237</v>
      </c>
      <c r="E664">
        <v>151</v>
      </c>
      <c r="F664">
        <v>49</v>
      </c>
      <c r="G664">
        <v>36</v>
      </c>
      <c r="H664">
        <v>15</v>
      </c>
    </row>
    <row r="665" spans="1:8" x14ac:dyDescent="0.25">
      <c r="A665" t="s">
        <v>1329</v>
      </c>
      <c r="B665" t="s">
        <v>132</v>
      </c>
      <c r="C665" t="s">
        <v>102</v>
      </c>
      <c r="D665" t="s">
        <v>238</v>
      </c>
      <c r="E665">
        <v>152</v>
      </c>
      <c r="F665">
        <v>53</v>
      </c>
      <c r="G665">
        <v>36</v>
      </c>
      <c r="H665">
        <v>11</v>
      </c>
    </row>
    <row r="666" spans="1:8" x14ac:dyDescent="0.25">
      <c r="A666" t="s">
        <v>1330</v>
      </c>
      <c r="B666" t="s">
        <v>132</v>
      </c>
      <c r="C666" t="s">
        <v>102</v>
      </c>
      <c r="D666" t="s">
        <v>239</v>
      </c>
      <c r="E666">
        <v>141</v>
      </c>
      <c r="F666">
        <v>48</v>
      </c>
      <c r="G666">
        <v>41</v>
      </c>
      <c r="H666">
        <v>11</v>
      </c>
    </row>
    <row r="667" spans="1:8" x14ac:dyDescent="0.25">
      <c r="A667" t="s">
        <v>1331</v>
      </c>
      <c r="B667" t="s">
        <v>132</v>
      </c>
      <c r="C667" t="s">
        <v>102</v>
      </c>
      <c r="D667" t="s">
        <v>47</v>
      </c>
      <c r="E667">
        <v>125</v>
      </c>
      <c r="F667">
        <v>53</v>
      </c>
      <c r="G667">
        <v>36</v>
      </c>
      <c r="H667">
        <v>11</v>
      </c>
    </row>
    <row r="668" spans="1:8" x14ac:dyDescent="0.25">
      <c r="A668" t="s">
        <v>1332</v>
      </c>
      <c r="B668" t="s">
        <v>132</v>
      </c>
      <c r="C668" t="s">
        <v>31</v>
      </c>
      <c r="D668" t="s">
        <v>232</v>
      </c>
      <c r="E668">
        <v>190</v>
      </c>
      <c r="F668">
        <v>51</v>
      </c>
      <c r="G668">
        <v>43</v>
      </c>
      <c r="H668">
        <v>6</v>
      </c>
    </row>
    <row r="669" spans="1:8" x14ac:dyDescent="0.25">
      <c r="A669" t="s">
        <v>1333</v>
      </c>
      <c r="B669" t="s">
        <v>132</v>
      </c>
      <c r="C669" t="s">
        <v>31</v>
      </c>
      <c r="D669" t="s">
        <v>233</v>
      </c>
      <c r="E669">
        <v>153</v>
      </c>
      <c r="F669">
        <v>52</v>
      </c>
      <c r="G669">
        <v>41</v>
      </c>
      <c r="H669">
        <v>7</v>
      </c>
    </row>
    <row r="670" spans="1:8" x14ac:dyDescent="0.25">
      <c r="A670" t="s">
        <v>1334</v>
      </c>
      <c r="B670" t="s">
        <v>132</v>
      </c>
      <c r="C670" t="s">
        <v>31</v>
      </c>
      <c r="D670" t="s">
        <v>234</v>
      </c>
      <c r="E670">
        <v>165</v>
      </c>
      <c r="F670">
        <v>44</v>
      </c>
      <c r="G670">
        <v>47</v>
      </c>
      <c r="H670">
        <v>9</v>
      </c>
    </row>
    <row r="671" spans="1:8" x14ac:dyDescent="0.25">
      <c r="A671" t="s">
        <v>1335</v>
      </c>
      <c r="B671" t="s">
        <v>132</v>
      </c>
      <c r="C671" t="s">
        <v>31</v>
      </c>
      <c r="D671" t="s">
        <v>235</v>
      </c>
      <c r="E671">
        <v>166</v>
      </c>
      <c r="F671">
        <v>44</v>
      </c>
      <c r="G671">
        <v>49</v>
      </c>
      <c r="H671">
        <v>7</v>
      </c>
    </row>
    <row r="672" spans="1:8" x14ac:dyDescent="0.25">
      <c r="A672" t="s">
        <v>1336</v>
      </c>
      <c r="B672" t="s">
        <v>132</v>
      </c>
      <c r="C672" t="s">
        <v>31</v>
      </c>
      <c r="D672" t="s">
        <v>236</v>
      </c>
      <c r="E672">
        <v>147</v>
      </c>
      <c r="F672">
        <v>44</v>
      </c>
      <c r="G672">
        <v>47</v>
      </c>
      <c r="H672">
        <v>9</v>
      </c>
    </row>
    <row r="673" spans="1:8" x14ac:dyDescent="0.25">
      <c r="A673" t="s">
        <v>1337</v>
      </c>
      <c r="B673" t="s">
        <v>132</v>
      </c>
      <c r="C673" t="s">
        <v>31</v>
      </c>
      <c r="D673" t="s">
        <v>237</v>
      </c>
      <c r="E673">
        <v>161</v>
      </c>
      <c r="F673">
        <v>40</v>
      </c>
      <c r="G673">
        <v>51</v>
      </c>
      <c r="H673">
        <v>9</v>
      </c>
    </row>
    <row r="674" spans="1:8" x14ac:dyDescent="0.25">
      <c r="A674" t="s">
        <v>1338</v>
      </c>
      <c r="B674" t="s">
        <v>132</v>
      </c>
      <c r="C674" t="s">
        <v>31</v>
      </c>
      <c r="D674" t="s">
        <v>238</v>
      </c>
      <c r="E674">
        <v>171</v>
      </c>
      <c r="F674">
        <v>48</v>
      </c>
      <c r="G674">
        <v>46</v>
      </c>
      <c r="H674">
        <v>6</v>
      </c>
    </row>
    <row r="675" spans="1:8" x14ac:dyDescent="0.25">
      <c r="A675" t="s">
        <v>1339</v>
      </c>
      <c r="B675" t="s">
        <v>132</v>
      </c>
      <c r="C675" t="s">
        <v>31</v>
      </c>
      <c r="D675" t="s">
        <v>239</v>
      </c>
      <c r="E675">
        <v>149</v>
      </c>
      <c r="F675">
        <v>44</v>
      </c>
      <c r="G675">
        <v>51</v>
      </c>
      <c r="H675">
        <v>5</v>
      </c>
    </row>
    <row r="676" spans="1:8" x14ac:dyDescent="0.25">
      <c r="A676" t="s">
        <v>1340</v>
      </c>
      <c r="B676" t="s">
        <v>132</v>
      </c>
      <c r="C676" t="s">
        <v>31</v>
      </c>
      <c r="D676" t="s">
        <v>47</v>
      </c>
      <c r="E676">
        <v>140</v>
      </c>
      <c r="F676">
        <v>37</v>
      </c>
      <c r="G676">
        <v>56</v>
      </c>
      <c r="H676">
        <v>7</v>
      </c>
    </row>
    <row r="677" spans="1:8" x14ac:dyDescent="0.25">
      <c r="A677" t="s">
        <v>1341</v>
      </c>
      <c r="B677" t="s">
        <v>150</v>
      </c>
      <c r="C677" t="s">
        <v>103</v>
      </c>
      <c r="D677" t="s">
        <v>232</v>
      </c>
      <c r="E677">
        <v>1124</v>
      </c>
      <c r="F677">
        <v>16</v>
      </c>
      <c r="G677">
        <v>68</v>
      </c>
      <c r="H677">
        <v>16</v>
      </c>
    </row>
    <row r="678" spans="1:8" x14ac:dyDescent="0.25">
      <c r="A678" t="s">
        <v>1342</v>
      </c>
      <c r="B678" t="s">
        <v>150</v>
      </c>
      <c r="C678" t="s">
        <v>103</v>
      </c>
      <c r="D678" t="s">
        <v>233</v>
      </c>
      <c r="E678">
        <v>956</v>
      </c>
      <c r="F678">
        <v>17</v>
      </c>
      <c r="G678">
        <v>69</v>
      </c>
      <c r="H678">
        <v>14</v>
      </c>
    </row>
    <row r="679" spans="1:8" x14ac:dyDescent="0.25">
      <c r="A679" t="s">
        <v>1343</v>
      </c>
      <c r="B679" t="s">
        <v>150</v>
      </c>
      <c r="C679" t="s">
        <v>103</v>
      </c>
      <c r="D679" t="s">
        <v>234</v>
      </c>
      <c r="E679">
        <v>943</v>
      </c>
      <c r="F679">
        <v>18</v>
      </c>
      <c r="G679">
        <v>69</v>
      </c>
      <c r="H679">
        <v>13</v>
      </c>
    </row>
    <row r="680" spans="1:8" x14ac:dyDescent="0.25">
      <c r="A680" t="s">
        <v>1344</v>
      </c>
      <c r="B680" t="s">
        <v>150</v>
      </c>
      <c r="C680" t="s">
        <v>103</v>
      </c>
      <c r="D680" t="s">
        <v>235</v>
      </c>
      <c r="E680">
        <v>885</v>
      </c>
      <c r="F680">
        <v>19</v>
      </c>
      <c r="G680">
        <v>68</v>
      </c>
      <c r="H680">
        <v>13</v>
      </c>
    </row>
    <row r="681" spans="1:8" x14ac:dyDescent="0.25">
      <c r="A681" t="s">
        <v>1345</v>
      </c>
      <c r="B681" t="s">
        <v>150</v>
      </c>
      <c r="C681" t="s">
        <v>103</v>
      </c>
      <c r="D681" t="s">
        <v>236</v>
      </c>
      <c r="E681">
        <v>898</v>
      </c>
      <c r="F681">
        <v>17</v>
      </c>
      <c r="G681">
        <v>72</v>
      </c>
      <c r="H681">
        <v>11</v>
      </c>
    </row>
    <row r="682" spans="1:8" x14ac:dyDescent="0.25">
      <c r="A682" t="s">
        <v>1346</v>
      </c>
      <c r="B682" t="s">
        <v>150</v>
      </c>
      <c r="C682" t="s">
        <v>103</v>
      </c>
      <c r="D682" t="s">
        <v>237</v>
      </c>
      <c r="E682">
        <v>966</v>
      </c>
      <c r="F682">
        <v>15</v>
      </c>
      <c r="G682">
        <v>71</v>
      </c>
      <c r="H682">
        <v>14</v>
      </c>
    </row>
    <row r="683" spans="1:8" x14ac:dyDescent="0.25">
      <c r="A683" t="s">
        <v>1347</v>
      </c>
      <c r="B683" t="s">
        <v>150</v>
      </c>
      <c r="C683" t="s">
        <v>103</v>
      </c>
      <c r="D683" t="s">
        <v>238</v>
      </c>
      <c r="E683">
        <v>1100</v>
      </c>
      <c r="F683">
        <v>15</v>
      </c>
      <c r="G683">
        <v>72</v>
      </c>
      <c r="H683">
        <v>13</v>
      </c>
    </row>
    <row r="684" spans="1:8" x14ac:dyDescent="0.25">
      <c r="A684" t="s">
        <v>1348</v>
      </c>
      <c r="B684" t="s">
        <v>150</v>
      </c>
      <c r="C684" t="s">
        <v>103</v>
      </c>
      <c r="D684" t="s">
        <v>239</v>
      </c>
      <c r="E684">
        <v>988</v>
      </c>
      <c r="F684">
        <v>13</v>
      </c>
      <c r="G684">
        <v>72</v>
      </c>
      <c r="H684">
        <v>15</v>
      </c>
    </row>
    <row r="685" spans="1:8" x14ac:dyDescent="0.25">
      <c r="A685" t="s">
        <v>1349</v>
      </c>
      <c r="B685" t="s">
        <v>150</v>
      </c>
      <c r="C685" t="s">
        <v>103</v>
      </c>
      <c r="D685" t="s">
        <v>47</v>
      </c>
      <c r="E685">
        <v>989</v>
      </c>
      <c r="F685">
        <v>14</v>
      </c>
      <c r="G685">
        <v>69</v>
      </c>
      <c r="H685">
        <v>17</v>
      </c>
    </row>
    <row r="686" spans="1:8" x14ac:dyDescent="0.25">
      <c r="A686" t="s">
        <v>1350</v>
      </c>
      <c r="B686" t="s">
        <v>150</v>
      </c>
      <c r="C686" t="s">
        <v>100</v>
      </c>
      <c r="D686" t="s">
        <v>232</v>
      </c>
      <c r="E686">
        <v>1160</v>
      </c>
      <c r="F686">
        <v>16</v>
      </c>
      <c r="G686">
        <v>65</v>
      </c>
      <c r="H686">
        <v>19</v>
      </c>
    </row>
    <row r="687" spans="1:8" x14ac:dyDescent="0.25">
      <c r="A687" t="s">
        <v>1351</v>
      </c>
      <c r="B687" t="s">
        <v>150</v>
      </c>
      <c r="C687" t="s">
        <v>100</v>
      </c>
      <c r="D687" t="s">
        <v>233</v>
      </c>
      <c r="E687">
        <v>985</v>
      </c>
      <c r="F687">
        <v>16</v>
      </c>
      <c r="G687">
        <v>70</v>
      </c>
      <c r="H687">
        <v>14</v>
      </c>
    </row>
    <row r="688" spans="1:8" x14ac:dyDescent="0.25">
      <c r="A688" t="s">
        <v>1352</v>
      </c>
      <c r="B688" t="s">
        <v>150</v>
      </c>
      <c r="C688" t="s">
        <v>100</v>
      </c>
      <c r="D688" t="s">
        <v>234</v>
      </c>
      <c r="E688">
        <v>968</v>
      </c>
      <c r="F688">
        <v>17</v>
      </c>
      <c r="G688">
        <v>70</v>
      </c>
      <c r="H688">
        <v>13</v>
      </c>
    </row>
    <row r="689" spans="1:8" x14ac:dyDescent="0.25">
      <c r="A689" t="s">
        <v>1353</v>
      </c>
      <c r="B689" t="s">
        <v>150</v>
      </c>
      <c r="C689" t="s">
        <v>100</v>
      </c>
      <c r="D689" t="s">
        <v>235</v>
      </c>
      <c r="E689">
        <v>917</v>
      </c>
      <c r="F689">
        <v>17</v>
      </c>
      <c r="G689">
        <v>66</v>
      </c>
      <c r="H689">
        <v>17</v>
      </c>
    </row>
    <row r="690" spans="1:8" x14ac:dyDescent="0.25">
      <c r="A690" t="s">
        <v>1354</v>
      </c>
      <c r="B690" t="s">
        <v>150</v>
      </c>
      <c r="C690" t="s">
        <v>100</v>
      </c>
      <c r="D690" t="s">
        <v>236</v>
      </c>
      <c r="E690">
        <v>933</v>
      </c>
      <c r="F690">
        <v>17</v>
      </c>
      <c r="G690">
        <v>69</v>
      </c>
      <c r="H690">
        <v>14</v>
      </c>
    </row>
    <row r="691" spans="1:8" x14ac:dyDescent="0.25">
      <c r="A691" t="s">
        <v>1355</v>
      </c>
      <c r="B691" t="s">
        <v>150</v>
      </c>
      <c r="C691" t="s">
        <v>100</v>
      </c>
      <c r="D691" t="s">
        <v>237</v>
      </c>
      <c r="E691">
        <v>999</v>
      </c>
      <c r="F691">
        <v>18</v>
      </c>
      <c r="G691">
        <v>68</v>
      </c>
      <c r="H691">
        <v>14</v>
      </c>
    </row>
    <row r="692" spans="1:8" x14ac:dyDescent="0.25">
      <c r="A692" t="s">
        <v>1356</v>
      </c>
      <c r="B692" t="s">
        <v>150</v>
      </c>
      <c r="C692" t="s">
        <v>100</v>
      </c>
      <c r="D692" t="s">
        <v>238</v>
      </c>
      <c r="E692">
        <v>1135</v>
      </c>
      <c r="F692">
        <v>17</v>
      </c>
      <c r="G692">
        <v>71</v>
      </c>
      <c r="H692">
        <v>12</v>
      </c>
    </row>
    <row r="693" spans="1:8" x14ac:dyDescent="0.25">
      <c r="A693" t="s">
        <v>1357</v>
      </c>
      <c r="B693" t="s">
        <v>150</v>
      </c>
      <c r="C693" t="s">
        <v>100</v>
      </c>
      <c r="D693" t="s">
        <v>239</v>
      </c>
      <c r="E693">
        <v>1034</v>
      </c>
      <c r="F693">
        <v>16</v>
      </c>
      <c r="G693">
        <v>67</v>
      </c>
      <c r="H693">
        <v>17</v>
      </c>
    </row>
    <row r="694" spans="1:8" x14ac:dyDescent="0.25">
      <c r="A694" t="s">
        <v>1358</v>
      </c>
      <c r="B694" t="s">
        <v>150</v>
      </c>
      <c r="C694" t="s">
        <v>100</v>
      </c>
      <c r="D694" t="s">
        <v>47</v>
      </c>
      <c r="E694">
        <v>1018</v>
      </c>
      <c r="F694">
        <v>17</v>
      </c>
      <c r="G694">
        <v>67</v>
      </c>
      <c r="H694">
        <v>16</v>
      </c>
    </row>
    <row r="695" spans="1:8" x14ac:dyDescent="0.25">
      <c r="A695" t="s">
        <v>1359</v>
      </c>
      <c r="B695" t="s">
        <v>150</v>
      </c>
      <c r="C695" t="s">
        <v>101</v>
      </c>
      <c r="D695" t="s">
        <v>232</v>
      </c>
    </row>
    <row r="696" spans="1:8" x14ac:dyDescent="0.25">
      <c r="A696" t="s">
        <v>1360</v>
      </c>
      <c r="B696" t="s">
        <v>150</v>
      </c>
      <c r="C696" t="s">
        <v>101</v>
      </c>
      <c r="D696" t="s">
        <v>233</v>
      </c>
    </row>
    <row r="697" spans="1:8" x14ac:dyDescent="0.25">
      <c r="A697" t="s">
        <v>1361</v>
      </c>
      <c r="B697" t="s">
        <v>150</v>
      </c>
      <c r="C697" t="s">
        <v>101</v>
      </c>
      <c r="D697" t="s">
        <v>234</v>
      </c>
    </row>
    <row r="698" spans="1:8" x14ac:dyDescent="0.25">
      <c r="A698" t="s">
        <v>1362</v>
      </c>
      <c r="B698" t="s">
        <v>150</v>
      </c>
      <c r="C698" t="s">
        <v>101</v>
      </c>
      <c r="D698" t="s">
        <v>235</v>
      </c>
    </row>
    <row r="699" spans="1:8" x14ac:dyDescent="0.25">
      <c r="A699" t="s">
        <v>1363</v>
      </c>
      <c r="B699" t="s">
        <v>150</v>
      </c>
      <c r="C699" t="s">
        <v>101</v>
      </c>
      <c r="D699" t="s">
        <v>236</v>
      </c>
    </row>
    <row r="700" spans="1:8" x14ac:dyDescent="0.25">
      <c r="A700" t="s">
        <v>1364</v>
      </c>
      <c r="B700" t="s">
        <v>150</v>
      </c>
      <c r="C700" t="s">
        <v>101</v>
      </c>
      <c r="D700" t="s">
        <v>237</v>
      </c>
    </row>
    <row r="701" spans="1:8" x14ac:dyDescent="0.25">
      <c r="A701" t="s">
        <v>1365</v>
      </c>
      <c r="B701" t="s">
        <v>150</v>
      </c>
      <c r="C701" t="s">
        <v>101</v>
      </c>
      <c r="D701" t="s">
        <v>238</v>
      </c>
    </row>
    <row r="702" spans="1:8" x14ac:dyDescent="0.25">
      <c r="A702" t="s">
        <v>1366</v>
      </c>
      <c r="B702" t="s">
        <v>150</v>
      </c>
      <c r="C702" t="s">
        <v>101</v>
      </c>
      <c r="D702" t="s">
        <v>239</v>
      </c>
    </row>
    <row r="703" spans="1:8" x14ac:dyDescent="0.25">
      <c r="A703" t="s">
        <v>1367</v>
      </c>
      <c r="B703" t="s">
        <v>150</v>
      </c>
      <c r="C703" t="s">
        <v>101</v>
      </c>
      <c r="D703" t="s">
        <v>47</v>
      </c>
    </row>
    <row r="704" spans="1:8" x14ac:dyDescent="0.25">
      <c r="A704" t="s">
        <v>1368</v>
      </c>
      <c r="B704" t="s">
        <v>150</v>
      </c>
      <c r="C704" t="s">
        <v>102</v>
      </c>
      <c r="D704" t="s">
        <v>232</v>
      </c>
      <c r="E704">
        <v>1027</v>
      </c>
      <c r="F704">
        <v>33</v>
      </c>
      <c r="G704">
        <v>56</v>
      </c>
      <c r="H704">
        <v>11</v>
      </c>
    </row>
    <row r="705" spans="1:8" x14ac:dyDescent="0.25">
      <c r="A705" t="s">
        <v>1369</v>
      </c>
      <c r="B705" t="s">
        <v>150</v>
      </c>
      <c r="C705" t="s">
        <v>102</v>
      </c>
      <c r="D705" t="s">
        <v>233</v>
      </c>
      <c r="E705">
        <v>855</v>
      </c>
      <c r="F705">
        <v>35</v>
      </c>
      <c r="G705">
        <v>54</v>
      </c>
      <c r="H705">
        <v>11</v>
      </c>
    </row>
    <row r="706" spans="1:8" x14ac:dyDescent="0.25">
      <c r="A706" t="s">
        <v>1370</v>
      </c>
      <c r="B706" t="s">
        <v>150</v>
      </c>
      <c r="C706" t="s">
        <v>102</v>
      </c>
      <c r="D706" t="s">
        <v>234</v>
      </c>
      <c r="E706">
        <v>853</v>
      </c>
      <c r="F706">
        <v>35</v>
      </c>
      <c r="G706">
        <v>51</v>
      </c>
      <c r="H706">
        <v>14</v>
      </c>
    </row>
    <row r="707" spans="1:8" x14ac:dyDescent="0.25">
      <c r="A707" t="s">
        <v>1371</v>
      </c>
      <c r="B707" t="s">
        <v>150</v>
      </c>
      <c r="C707" t="s">
        <v>102</v>
      </c>
      <c r="D707" t="s">
        <v>235</v>
      </c>
      <c r="E707">
        <v>808</v>
      </c>
      <c r="F707">
        <v>35</v>
      </c>
      <c r="G707">
        <v>53</v>
      </c>
      <c r="H707">
        <v>12</v>
      </c>
    </row>
    <row r="708" spans="1:8" x14ac:dyDescent="0.25">
      <c r="A708" t="s">
        <v>1372</v>
      </c>
      <c r="B708" t="s">
        <v>150</v>
      </c>
      <c r="C708" t="s">
        <v>102</v>
      </c>
      <c r="D708" t="s">
        <v>236</v>
      </c>
      <c r="E708">
        <v>799</v>
      </c>
      <c r="F708">
        <v>36</v>
      </c>
      <c r="G708">
        <v>54</v>
      </c>
      <c r="H708">
        <v>10</v>
      </c>
    </row>
    <row r="709" spans="1:8" x14ac:dyDescent="0.25">
      <c r="A709" t="s">
        <v>1373</v>
      </c>
      <c r="B709" t="s">
        <v>150</v>
      </c>
      <c r="C709" t="s">
        <v>102</v>
      </c>
      <c r="D709" t="s">
        <v>237</v>
      </c>
      <c r="E709">
        <v>883</v>
      </c>
      <c r="F709">
        <v>34</v>
      </c>
      <c r="G709">
        <v>52</v>
      </c>
      <c r="H709">
        <v>14</v>
      </c>
    </row>
    <row r="710" spans="1:8" x14ac:dyDescent="0.25">
      <c r="A710" t="s">
        <v>1374</v>
      </c>
      <c r="B710" t="s">
        <v>150</v>
      </c>
      <c r="C710" t="s">
        <v>102</v>
      </c>
      <c r="D710" t="s">
        <v>238</v>
      </c>
      <c r="E710">
        <v>1002</v>
      </c>
      <c r="F710">
        <v>33</v>
      </c>
      <c r="G710">
        <v>52</v>
      </c>
      <c r="H710">
        <v>15</v>
      </c>
    </row>
    <row r="711" spans="1:8" x14ac:dyDescent="0.25">
      <c r="A711" t="s">
        <v>1375</v>
      </c>
      <c r="B711" t="s">
        <v>150</v>
      </c>
      <c r="C711" t="s">
        <v>102</v>
      </c>
      <c r="D711" t="s">
        <v>239</v>
      </c>
      <c r="E711">
        <v>913</v>
      </c>
      <c r="F711">
        <v>31</v>
      </c>
      <c r="G711">
        <v>54</v>
      </c>
      <c r="H711">
        <v>15</v>
      </c>
    </row>
    <row r="712" spans="1:8" x14ac:dyDescent="0.25">
      <c r="A712" t="s">
        <v>1376</v>
      </c>
      <c r="B712" t="s">
        <v>150</v>
      </c>
      <c r="C712" t="s">
        <v>102</v>
      </c>
      <c r="D712" t="s">
        <v>47</v>
      </c>
      <c r="E712">
        <v>880</v>
      </c>
      <c r="F712">
        <v>31</v>
      </c>
      <c r="G712">
        <v>54</v>
      </c>
      <c r="H712">
        <v>15</v>
      </c>
    </row>
    <row r="713" spans="1:8" x14ac:dyDescent="0.25">
      <c r="A713" t="s">
        <v>1377</v>
      </c>
      <c r="B713" t="s">
        <v>150</v>
      </c>
      <c r="C713" t="s">
        <v>31</v>
      </c>
      <c r="D713" t="s">
        <v>232</v>
      </c>
      <c r="E713">
        <v>1164</v>
      </c>
      <c r="F713">
        <v>45</v>
      </c>
      <c r="G713">
        <v>49</v>
      </c>
      <c r="H713">
        <v>6</v>
      </c>
    </row>
    <row r="714" spans="1:8" x14ac:dyDescent="0.25">
      <c r="A714" t="s">
        <v>1378</v>
      </c>
      <c r="B714" t="s">
        <v>150</v>
      </c>
      <c r="C714" t="s">
        <v>31</v>
      </c>
      <c r="D714" t="s">
        <v>233</v>
      </c>
      <c r="E714">
        <v>990</v>
      </c>
      <c r="F714">
        <v>39</v>
      </c>
      <c r="G714">
        <v>56</v>
      </c>
      <c r="H714">
        <v>5</v>
      </c>
    </row>
    <row r="715" spans="1:8" x14ac:dyDescent="0.25">
      <c r="A715" t="s">
        <v>1379</v>
      </c>
      <c r="B715" t="s">
        <v>150</v>
      </c>
      <c r="C715" t="s">
        <v>31</v>
      </c>
      <c r="D715" t="s">
        <v>234</v>
      </c>
      <c r="E715">
        <v>980</v>
      </c>
      <c r="F715">
        <v>40</v>
      </c>
      <c r="G715">
        <v>55</v>
      </c>
      <c r="H715">
        <v>5</v>
      </c>
    </row>
    <row r="716" spans="1:8" x14ac:dyDescent="0.25">
      <c r="A716" t="s">
        <v>1380</v>
      </c>
      <c r="B716" t="s">
        <v>150</v>
      </c>
      <c r="C716" t="s">
        <v>31</v>
      </c>
      <c r="D716" t="s">
        <v>235</v>
      </c>
      <c r="E716">
        <v>933</v>
      </c>
      <c r="F716">
        <v>44</v>
      </c>
      <c r="G716">
        <v>51</v>
      </c>
      <c r="H716">
        <v>5</v>
      </c>
    </row>
    <row r="717" spans="1:8" x14ac:dyDescent="0.25">
      <c r="A717" t="s">
        <v>1381</v>
      </c>
      <c r="B717" t="s">
        <v>150</v>
      </c>
      <c r="C717" t="s">
        <v>31</v>
      </c>
      <c r="D717" t="s">
        <v>236</v>
      </c>
      <c r="E717">
        <v>944</v>
      </c>
      <c r="F717">
        <v>45</v>
      </c>
      <c r="G717">
        <v>51</v>
      </c>
      <c r="H717">
        <v>4</v>
      </c>
    </row>
    <row r="718" spans="1:8" x14ac:dyDescent="0.25">
      <c r="A718" t="s">
        <v>1382</v>
      </c>
      <c r="B718" t="s">
        <v>150</v>
      </c>
      <c r="C718" t="s">
        <v>31</v>
      </c>
      <c r="D718" t="s">
        <v>237</v>
      </c>
      <c r="E718">
        <v>1003</v>
      </c>
      <c r="F718">
        <v>40</v>
      </c>
      <c r="G718">
        <v>52</v>
      </c>
      <c r="H718">
        <v>8</v>
      </c>
    </row>
    <row r="719" spans="1:8" x14ac:dyDescent="0.25">
      <c r="A719" t="s">
        <v>1383</v>
      </c>
      <c r="B719" t="s">
        <v>150</v>
      </c>
      <c r="C719" t="s">
        <v>31</v>
      </c>
      <c r="D719" t="s">
        <v>238</v>
      </c>
      <c r="E719">
        <v>1153</v>
      </c>
      <c r="F719">
        <v>46</v>
      </c>
      <c r="G719">
        <v>49</v>
      </c>
      <c r="H719">
        <v>5</v>
      </c>
    </row>
    <row r="720" spans="1:8" x14ac:dyDescent="0.25">
      <c r="A720" t="s">
        <v>1384</v>
      </c>
      <c r="B720" t="s">
        <v>150</v>
      </c>
      <c r="C720" t="s">
        <v>31</v>
      </c>
      <c r="D720" t="s">
        <v>239</v>
      </c>
      <c r="E720">
        <v>1044</v>
      </c>
      <c r="F720">
        <v>42</v>
      </c>
      <c r="G720">
        <v>52</v>
      </c>
      <c r="H720">
        <v>6</v>
      </c>
    </row>
    <row r="721" spans="1:8" x14ac:dyDescent="0.25">
      <c r="A721" t="s">
        <v>1385</v>
      </c>
      <c r="B721" t="s">
        <v>150</v>
      </c>
      <c r="C721" t="s">
        <v>31</v>
      </c>
      <c r="D721" t="s">
        <v>47</v>
      </c>
      <c r="E721">
        <v>1030</v>
      </c>
      <c r="F721">
        <v>44</v>
      </c>
      <c r="G721">
        <v>49</v>
      </c>
      <c r="H721">
        <v>7</v>
      </c>
    </row>
    <row r="722" spans="1:8" x14ac:dyDescent="0.25">
      <c r="A722" t="s">
        <v>1386</v>
      </c>
      <c r="B722" t="s">
        <v>154</v>
      </c>
      <c r="C722" t="s">
        <v>103</v>
      </c>
      <c r="D722" t="s">
        <v>232</v>
      </c>
      <c r="E722">
        <v>111</v>
      </c>
      <c r="F722">
        <v>27</v>
      </c>
      <c r="G722">
        <v>58</v>
      </c>
      <c r="H722">
        <v>15</v>
      </c>
    </row>
    <row r="723" spans="1:8" x14ac:dyDescent="0.25">
      <c r="A723" t="s">
        <v>1387</v>
      </c>
      <c r="B723" t="s">
        <v>154</v>
      </c>
      <c r="C723" t="s">
        <v>103</v>
      </c>
      <c r="D723" t="s">
        <v>233</v>
      </c>
      <c r="E723">
        <v>99</v>
      </c>
      <c r="F723">
        <v>19</v>
      </c>
      <c r="G723">
        <v>72</v>
      </c>
      <c r="H723">
        <v>9</v>
      </c>
    </row>
    <row r="724" spans="1:8" x14ac:dyDescent="0.25">
      <c r="A724" t="s">
        <v>1388</v>
      </c>
      <c r="B724" t="s">
        <v>154</v>
      </c>
      <c r="C724" t="s">
        <v>103</v>
      </c>
      <c r="D724" t="s">
        <v>234</v>
      </c>
      <c r="E724">
        <v>96</v>
      </c>
      <c r="F724">
        <v>18</v>
      </c>
      <c r="G724">
        <v>62</v>
      </c>
      <c r="H724">
        <v>20</v>
      </c>
    </row>
    <row r="725" spans="1:8" x14ac:dyDescent="0.25">
      <c r="A725" t="s">
        <v>1389</v>
      </c>
      <c r="B725" t="s">
        <v>154</v>
      </c>
      <c r="C725" t="s">
        <v>103</v>
      </c>
      <c r="D725" t="s">
        <v>235</v>
      </c>
      <c r="E725">
        <v>114</v>
      </c>
      <c r="F725">
        <v>25</v>
      </c>
      <c r="G725">
        <v>66</v>
      </c>
      <c r="H725">
        <v>9</v>
      </c>
    </row>
    <row r="726" spans="1:8" x14ac:dyDescent="0.25">
      <c r="A726" t="s">
        <v>1390</v>
      </c>
      <c r="B726" t="s">
        <v>154</v>
      </c>
      <c r="C726" t="s">
        <v>103</v>
      </c>
      <c r="D726" t="s">
        <v>236</v>
      </c>
      <c r="E726">
        <v>100</v>
      </c>
      <c r="F726">
        <v>35</v>
      </c>
      <c r="G726">
        <v>52</v>
      </c>
      <c r="H726">
        <v>13</v>
      </c>
    </row>
    <row r="727" spans="1:8" x14ac:dyDescent="0.25">
      <c r="A727" t="s">
        <v>1391</v>
      </c>
      <c r="B727" t="s">
        <v>154</v>
      </c>
      <c r="C727" t="s">
        <v>103</v>
      </c>
      <c r="D727" t="s">
        <v>237</v>
      </c>
      <c r="E727">
        <v>99</v>
      </c>
      <c r="F727">
        <v>22</v>
      </c>
      <c r="G727">
        <v>60</v>
      </c>
      <c r="H727">
        <v>18</v>
      </c>
    </row>
    <row r="728" spans="1:8" x14ac:dyDescent="0.25">
      <c r="A728" t="s">
        <v>1392</v>
      </c>
      <c r="B728" t="s">
        <v>154</v>
      </c>
      <c r="C728" t="s">
        <v>103</v>
      </c>
      <c r="D728" t="s">
        <v>238</v>
      </c>
      <c r="E728">
        <v>106</v>
      </c>
      <c r="F728">
        <v>26</v>
      </c>
      <c r="G728">
        <v>58</v>
      </c>
      <c r="H728">
        <v>16</v>
      </c>
    </row>
    <row r="729" spans="1:8" x14ac:dyDescent="0.25">
      <c r="A729" t="s">
        <v>1393</v>
      </c>
      <c r="B729" t="s">
        <v>154</v>
      </c>
      <c r="C729" t="s">
        <v>103</v>
      </c>
      <c r="D729" t="s">
        <v>239</v>
      </c>
      <c r="E729">
        <v>101</v>
      </c>
      <c r="F729">
        <v>17</v>
      </c>
      <c r="G729">
        <v>66</v>
      </c>
      <c r="H729">
        <v>17</v>
      </c>
    </row>
    <row r="730" spans="1:8" x14ac:dyDescent="0.25">
      <c r="A730" t="s">
        <v>1394</v>
      </c>
      <c r="B730" t="s">
        <v>154</v>
      </c>
      <c r="C730" t="s">
        <v>103</v>
      </c>
      <c r="D730" t="s">
        <v>47</v>
      </c>
      <c r="E730">
        <v>107</v>
      </c>
      <c r="F730">
        <v>23</v>
      </c>
      <c r="G730">
        <v>66</v>
      </c>
      <c r="H730">
        <v>11</v>
      </c>
    </row>
    <row r="731" spans="1:8" x14ac:dyDescent="0.25">
      <c r="A731" t="s">
        <v>1395</v>
      </c>
      <c r="B731" t="s">
        <v>154</v>
      </c>
      <c r="C731" t="s">
        <v>100</v>
      </c>
      <c r="D731" t="s">
        <v>232</v>
      </c>
      <c r="E731">
        <v>112</v>
      </c>
      <c r="F731">
        <v>23</v>
      </c>
      <c r="G731">
        <v>53</v>
      </c>
      <c r="H731">
        <v>24</v>
      </c>
    </row>
    <row r="732" spans="1:8" x14ac:dyDescent="0.25">
      <c r="A732" t="s">
        <v>1396</v>
      </c>
      <c r="B732" t="s">
        <v>154</v>
      </c>
      <c r="C732" t="s">
        <v>100</v>
      </c>
      <c r="D732" t="s">
        <v>233</v>
      </c>
      <c r="E732">
        <v>100</v>
      </c>
      <c r="F732">
        <v>31</v>
      </c>
      <c r="G732">
        <v>53</v>
      </c>
      <c r="H732">
        <v>16</v>
      </c>
    </row>
    <row r="733" spans="1:8" x14ac:dyDescent="0.25">
      <c r="A733" t="s">
        <v>1397</v>
      </c>
      <c r="B733" t="s">
        <v>154</v>
      </c>
      <c r="C733" t="s">
        <v>100</v>
      </c>
      <c r="D733" t="s">
        <v>234</v>
      </c>
      <c r="E733">
        <v>98</v>
      </c>
      <c r="F733">
        <v>17</v>
      </c>
      <c r="G733">
        <v>56</v>
      </c>
      <c r="H733">
        <v>27</v>
      </c>
    </row>
    <row r="734" spans="1:8" x14ac:dyDescent="0.25">
      <c r="A734" t="s">
        <v>1398</v>
      </c>
      <c r="B734" t="s">
        <v>154</v>
      </c>
      <c r="C734" t="s">
        <v>100</v>
      </c>
      <c r="D734" t="s">
        <v>235</v>
      </c>
      <c r="E734">
        <v>115</v>
      </c>
      <c r="F734">
        <v>27</v>
      </c>
      <c r="G734">
        <v>55</v>
      </c>
      <c r="H734">
        <v>18</v>
      </c>
    </row>
    <row r="735" spans="1:8" x14ac:dyDescent="0.25">
      <c r="A735" t="s">
        <v>1399</v>
      </c>
      <c r="B735" t="s">
        <v>154</v>
      </c>
      <c r="C735" t="s">
        <v>100</v>
      </c>
      <c r="D735" t="s">
        <v>236</v>
      </c>
      <c r="E735">
        <v>101</v>
      </c>
      <c r="F735">
        <v>40</v>
      </c>
      <c r="G735">
        <v>42</v>
      </c>
      <c r="H735">
        <v>18</v>
      </c>
    </row>
    <row r="736" spans="1:8" x14ac:dyDescent="0.25">
      <c r="A736" t="s">
        <v>1400</v>
      </c>
      <c r="B736" t="s">
        <v>154</v>
      </c>
      <c r="C736" t="s">
        <v>100</v>
      </c>
      <c r="D736" t="s">
        <v>237</v>
      </c>
      <c r="E736">
        <v>103</v>
      </c>
      <c r="F736">
        <v>26</v>
      </c>
      <c r="G736">
        <v>57</v>
      </c>
      <c r="H736">
        <v>17</v>
      </c>
    </row>
    <row r="737" spans="1:8" x14ac:dyDescent="0.25">
      <c r="A737" t="s">
        <v>1401</v>
      </c>
      <c r="B737" t="s">
        <v>154</v>
      </c>
      <c r="C737" t="s">
        <v>100</v>
      </c>
      <c r="D737" t="s">
        <v>238</v>
      </c>
      <c r="E737">
        <v>106</v>
      </c>
      <c r="F737">
        <v>33</v>
      </c>
      <c r="G737">
        <v>48</v>
      </c>
      <c r="H737">
        <v>19</v>
      </c>
    </row>
    <row r="738" spans="1:8" x14ac:dyDescent="0.25">
      <c r="A738" t="s">
        <v>1402</v>
      </c>
      <c r="B738" t="s">
        <v>154</v>
      </c>
      <c r="C738" t="s">
        <v>100</v>
      </c>
      <c r="D738" t="s">
        <v>239</v>
      </c>
      <c r="E738">
        <v>103</v>
      </c>
      <c r="F738">
        <v>21</v>
      </c>
      <c r="G738">
        <v>59</v>
      </c>
      <c r="H738">
        <v>20</v>
      </c>
    </row>
    <row r="739" spans="1:8" x14ac:dyDescent="0.25">
      <c r="A739" t="s">
        <v>1403</v>
      </c>
      <c r="B739" t="s">
        <v>154</v>
      </c>
      <c r="C739" t="s">
        <v>100</v>
      </c>
      <c r="D739" t="s">
        <v>47</v>
      </c>
      <c r="E739">
        <v>106</v>
      </c>
      <c r="F739">
        <v>26</v>
      </c>
      <c r="G739">
        <v>52</v>
      </c>
      <c r="H739">
        <v>22</v>
      </c>
    </row>
    <row r="740" spans="1:8" x14ac:dyDescent="0.25">
      <c r="A740" t="s">
        <v>1404</v>
      </c>
      <c r="B740" t="s">
        <v>154</v>
      </c>
      <c r="C740" t="s">
        <v>101</v>
      </c>
      <c r="D740" t="s">
        <v>232</v>
      </c>
    </row>
    <row r="741" spans="1:8" x14ac:dyDescent="0.25">
      <c r="A741" t="s">
        <v>1405</v>
      </c>
      <c r="B741" t="s">
        <v>154</v>
      </c>
      <c r="C741" t="s">
        <v>101</v>
      </c>
      <c r="D741" t="s">
        <v>233</v>
      </c>
    </row>
    <row r="742" spans="1:8" x14ac:dyDescent="0.25">
      <c r="A742" t="s">
        <v>1406</v>
      </c>
      <c r="B742" t="s">
        <v>154</v>
      </c>
      <c r="C742" t="s">
        <v>101</v>
      </c>
      <c r="D742" t="s">
        <v>234</v>
      </c>
    </row>
    <row r="743" spans="1:8" x14ac:dyDescent="0.25">
      <c r="A743" t="s">
        <v>1407</v>
      </c>
      <c r="B743" t="s">
        <v>154</v>
      </c>
      <c r="C743" t="s">
        <v>101</v>
      </c>
      <c r="D743" t="s">
        <v>235</v>
      </c>
    </row>
    <row r="744" spans="1:8" x14ac:dyDescent="0.25">
      <c r="A744" t="s">
        <v>1408</v>
      </c>
      <c r="B744" t="s">
        <v>154</v>
      </c>
      <c r="C744" t="s">
        <v>101</v>
      </c>
      <c r="D744" t="s">
        <v>236</v>
      </c>
    </row>
    <row r="745" spans="1:8" x14ac:dyDescent="0.25">
      <c r="A745" t="s">
        <v>1409</v>
      </c>
      <c r="B745" t="s">
        <v>154</v>
      </c>
      <c r="C745" t="s">
        <v>101</v>
      </c>
      <c r="D745" t="s">
        <v>237</v>
      </c>
    </row>
    <row r="746" spans="1:8" x14ac:dyDescent="0.25">
      <c r="A746" t="s">
        <v>1410</v>
      </c>
      <c r="B746" t="s">
        <v>154</v>
      </c>
      <c r="C746" t="s">
        <v>101</v>
      </c>
      <c r="D746" t="s">
        <v>238</v>
      </c>
    </row>
    <row r="747" spans="1:8" x14ac:dyDescent="0.25">
      <c r="A747" t="s">
        <v>1411</v>
      </c>
      <c r="B747" t="s">
        <v>154</v>
      </c>
      <c r="C747" t="s">
        <v>101</v>
      </c>
      <c r="D747" t="s">
        <v>239</v>
      </c>
    </row>
    <row r="748" spans="1:8" x14ac:dyDescent="0.25">
      <c r="A748" t="s">
        <v>1412</v>
      </c>
      <c r="B748" t="s">
        <v>154</v>
      </c>
      <c r="C748" t="s">
        <v>101</v>
      </c>
      <c r="D748" t="s">
        <v>47</v>
      </c>
    </row>
    <row r="749" spans="1:8" x14ac:dyDescent="0.25">
      <c r="A749" t="s">
        <v>1413</v>
      </c>
      <c r="B749" t="s">
        <v>154</v>
      </c>
      <c r="C749" t="s">
        <v>102</v>
      </c>
      <c r="D749" t="s">
        <v>232</v>
      </c>
      <c r="E749">
        <v>97</v>
      </c>
      <c r="F749">
        <v>26</v>
      </c>
      <c r="G749">
        <v>41</v>
      </c>
      <c r="H749">
        <v>33</v>
      </c>
    </row>
    <row r="750" spans="1:8" x14ac:dyDescent="0.25">
      <c r="A750" t="s">
        <v>1414</v>
      </c>
      <c r="B750" t="s">
        <v>154</v>
      </c>
      <c r="C750" t="s">
        <v>102</v>
      </c>
      <c r="D750" t="s">
        <v>233</v>
      </c>
      <c r="E750">
        <v>87</v>
      </c>
      <c r="F750">
        <v>32</v>
      </c>
      <c r="G750">
        <v>43</v>
      </c>
      <c r="H750">
        <v>25</v>
      </c>
    </row>
    <row r="751" spans="1:8" x14ac:dyDescent="0.25">
      <c r="A751" t="s">
        <v>1415</v>
      </c>
      <c r="B751" t="s">
        <v>154</v>
      </c>
      <c r="C751" t="s">
        <v>102</v>
      </c>
      <c r="D751" t="s">
        <v>234</v>
      </c>
      <c r="E751">
        <v>79</v>
      </c>
      <c r="F751">
        <v>21</v>
      </c>
      <c r="G751">
        <v>52</v>
      </c>
      <c r="H751">
        <v>27</v>
      </c>
    </row>
    <row r="752" spans="1:8" x14ac:dyDescent="0.25">
      <c r="A752" t="s">
        <v>1416</v>
      </c>
      <c r="B752" t="s">
        <v>154</v>
      </c>
      <c r="C752" t="s">
        <v>102</v>
      </c>
      <c r="D752" t="s">
        <v>235</v>
      </c>
      <c r="E752">
        <v>102</v>
      </c>
      <c r="F752">
        <v>28</v>
      </c>
      <c r="G752">
        <v>43</v>
      </c>
      <c r="H752">
        <v>29</v>
      </c>
    </row>
    <row r="753" spans="1:8" x14ac:dyDescent="0.25">
      <c r="A753" t="s">
        <v>1417</v>
      </c>
      <c r="B753" t="s">
        <v>154</v>
      </c>
      <c r="C753" t="s">
        <v>102</v>
      </c>
      <c r="D753" t="s">
        <v>236</v>
      </c>
      <c r="E753">
        <v>81</v>
      </c>
      <c r="F753">
        <v>43</v>
      </c>
      <c r="G753">
        <v>35</v>
      </c>
      <c r="H753">
        <v>22</v>
      </c>
    </row>
    <row r="754" spans="1:8" x14ac:dyDescent="0.25">
      <c r="A754" t="s">
        <v>1418</v>
      </c>
      <c r="B754" t="s">
        <v>154</v>
      </c>
      <c r="C754" t="s">
        <v>102</v>
      </c>
      <c r="D754" t="s">
        <v>237</v>
      </c>
      <c r="E754">
        <v>85</v>
      </c>
      <c r="F754">
        <v>28</v>
      </c>
      <c r="G754">
        <v>49</v>
      </c>
      <c r="H754">
        <v>23</v>
      </c>
    </row>
    <row r="755" spans="1:8" x14ac:dyDescent="0.25">
      <c r="A755" t="s">
        <v>1419</v>
      </c>
      <c r="B755" t="s">
        <v>154</v>
      </c>
      <c r="C755" t="s">
        <v>102</v>
      </c>
      <c r="D755" t="s">
        <v>238</v>
      </c>
      <c r="E755">
        <v>87</v>
      </c>
      <c r="F755">
        <v>29</v>
      </c>
      <c r="G755">
        <v>50</v>
      </c>
      <c r="H755">
        <v>21</v>
      </c>
    </row>
    <row r="756" spans="1:8" x14ac:dyDescent="0.25">
      <c r="A756" t="s">
        <v>1420</v>
      </c>
      <c r="B756" t="s">
        <v>154</v>
      </c>
      <c r="C756" t="s">
        <v>102</v>
      </c>
      <c r="D756" t="s">
        <v>239</v>
      </c>
      <c r="E756">
        <v>85</v>
      </c>
      <c r="F756">
        <v>25</v>
      </c>
      <c r="G756">
        <v>43</v>
      </c>
      <c r="H756">
        <v>32</v>
      </c>
    </row>
    <row r="757" spans="1:8" x14ac:dyDescent="0.25">
      <c r="A757" t="s">
        <v>1421</v>
      </c>
      <c r="B757" t="s">
        <v>154</v>
      </c>
      <c r="C757" t="s">
        <v>102</v>
      </c>
      <c r="D757" t="s">
        <v>47</v>
      </c>
      <c r="E757">
        <v>87</v>
      </c>
      <c r="F757">
        <v>37</v>
      </c>
      <c r="G757">
        <v>32</v>
      </c>
      <c r="H757">
        <v>31</v>
      </c>
    </row>
    <row r="758" spans="1:8" x14ac:dyDescent="0.25">
      <c r="A758" t="s">
        <v>1422</v>
      </c>
      <c r="B758" t="s">
        <v>154</v>
      </c>
      <c r="C758" t="s">
        <v>31</v>
      </c>
      <c r="D758" t="s">
        <v>232</v>
      </c>
      <c r="E758">
        <v>111</v>
      </c>
      <c r="F758">
        <v>33</v>
      </c>
      <c r="G758">
        <v>45</v>
      </c>
      <c r="H758">
        <v>22</v>
      </c>
    </row>
    <row r="759" spans="1:8" x14ac:dyDescent="0.25">
      <c r="A759" t="s">
        <v>1423</v>
      </c>
      <c r="B759" t="s">
        <v>154</v>
      </c>
      <c r="C759" t="s">
        <v>31</v>
      </c>
      <c r="D759" t="s">
        <v>233</v>
      </c>
      <c r="E759">
        <v>101</v>
      </c>
      <c r="F759">
        <v>34</v>
      </c>
      <c r="G759">
        <v>45</v>
      </c>
      <c r="H759">
        <v>21</v>
      </c>
    </row>
    <row r="760" spans="1:8" x14ac:dyDescent="0.25">
      <c r="A760" t="s">
        <v>1424</v>
      </c>
      <c r="B760" t="s">
        <v>154</v>
      </c>
      <c r="C760" t="s">
        <v>31</v>
      </c>
      <c r="D760" t="s">
        <v>234</v>
      </c>
      <c r="E760">
        <v>98</v>
      </c>
      <c r="F760">
        <v>29</v>
      </c>
      <c r="G760">
        <v>44</v>
      </c>
      <c r="H760">
        <v>27</v>
      </c>
    </row>
    <row r="761" spans="1:8" x14ac:dyDescent="0.25">
      <c r="A761" t="s">
        <v>1425</v>
      </c>
      <c r="B761" t="s">
        <v>154</v>
      </c>
      <c r="C761" t="s">
        <v>31</v>
      </c>
      <c r="D761" t="s">
        <v>235</v>
      </c>
      <c r="E761">
        <v>117</v>
      </c>
      <c r="F761">
        <v>32</v>
      </c>
      <c r="G761">
        <v>46</v>
      </c>
      <c r="H761">
        <v>22</v>
      </c>
    </row>
    <row r="762" spans="1:8" x14ac:dyDescent="0.25">
      <c r="A762" t="s">
        <v>1426</v>
      </c>
      <c r="B762" t="s">
        <v>154</v>
      </c>
      <c r="C762" t="s">
        <v>31</v>
      </c>
      <c r="D762" t="s">
        <v>236</v>
      </c>
      <c r="E762">
        <v>100</v>
      </c>
      <c r="F762">
        <v>36</v>
      </c>
      <c r="G762">
        <v>51</v>
      </c>
      <c r="H762">
        <v>13</v>
      </c>
    </row>
    <row r="763" spans="1:8" x14ac:dyDescent="0.25">
      <c r="A763" t="s">
        <v>1427</v>
      </c>
      <c r="B763" t="s">
        <v>154</v>
      </c>
      <c r="C763" t="s">
        <v>31</v>
      </c>
      <c r="D763" t="s">
        <v>237</v>
      </c>
      <c r="E763">
        <v>100</v>
      </c>
      <c r="F763">
        <v>37</v>
      </c>
      <c r="G763">
        <v>51</v>
      </c>
      <c r="H763">
        <v>12</v>
      </c>
    </row>
    <row r="764" spans="1:8" x14ac:dyDescent="0.25">
      <c r="A764" t="s">
        <v>1428</v>
      </c>
      <c r="B764" t="s">
        <v>154</v>
      </c>
      <c r="C764" t="s">
        <v>31</v>
      </c>
      <c r="D764" t="s">
        <v>238</v>
      </c>
      <c r="E764">
        <v>108</v>
      </c>
      <c r="F764">
        <v>38</v>
      </c>
      <c r="G764">
        <v>45</v>
      </c>
      <c r="H764">
        <v>17</v>
      </c>
    </row>
    <row r="765" spans="1:8" x14ac:dyDescent="0.25">
      <c r="A765" t="s">
        <v>1429</v>
      </c>
      <c r="B765" t="s">
        <v>154</v>
      </c>
      <c r="C765" t="s">
        <v>31</v>
      </c>
      <c r="D765" t="s">
        <v>239</v>
      </c>
      <c r="E765">
        <v>102</v>
      </c>
      <c r="F765">
        <v>36</v>
      </c>
      <c r="G765">
        <v>46</v>
      </c>
      <c r="H765">
        <v>18</v>
      </c>
    </row>
    <row r="766" spans="1:8" x14ac:dyDescent="0.25">
      <c r="A766" t="s">
        <v>1430</v>
      </c>
      <c r="B766" t="s">
        <v>154</v>
      </c>
      <c r="C766" t="s">
        <v>31</v>
      </c>
      <c r="D766" t="s">
        <v>47</v>
      </c>
      <c r="E766">
        <v>108</v>
      </c>
      <c r="F766">
        <v>32</v>
      </c>
      <c r="G766">
        <v>54</v>
      </c>
      <c r="H766">
        <v>14</v>
      </c>
    </row>
    <row r="767" spans="1:8" x14ac:dyDescent="0.25">
      <c r="A767" t="s">
        <v>1431</v>
      </c>
      <c r="B767" t="s">
        <v>143</v>
      </c>
      <c r="C767" t="s">
        <v>103</v>
      </c>
      <c r="D767" t="s">
        <v>232</v>
      </c>
      <c r="E767">
        <v>2253</v>
      </c>
      <c r="F767">
        <v>7</v>
      </c>
      <c r="G767">
        <v>69</v>
      </c>
      <c r="H767">
        <v>24</v>
      </c>
    </row>
    <row r="768" spans="1:8" x14ac:dyDescent="0.25">
      <c r="A768" t="s">
        <v>1432</v>
      </c>
      <c r="B768" t="s">
        <v>143</v>
      </c>
      <c r="C768" t="s">
        <v>103</v>
      </c>
      <c r="D768" t="s">
        <v>233</v>
      </c>
      <c r="E768">
        <v>2322</v>
      </c>
      <c r="F768">
        <v>8</v>
      </c>
      <c r="G768">
        <v>70</v>
      </c>
      <c r="H768">
        <v>22</v>
      </c>
    </row>
    <row r="769" spans="1:8" x14ac:dyDescent="0.25">
      <c r="A769" t="s">
        <v>1433</v>
      </c>
      <c r="B769" t="s">
        <v>143</v>
      </c>
      <c r="C769" t="s">
        <v>103</v>
      </c>
      <c r="D769" t="s">
        <v>234</v>
      </c>
      <c r="E769">
        <v>2297</v>
      </c>
      <c r="F769">
        <v>7</v>
      </c>
      <c r="G769">
        <v>67</v>
      </c>
      <c r="H769">
        <v>26</v>
      </c>
    </row>
    <row r="770" spans="1:8" x14ac:dyDescent="0.25">
      <c r="A770" t="s">
        <v>1434</v>
      </c>
      <c r="B770" t="s">
        <v>143</v>
      </c>
      <c r="C770" t="s">
        <v>103</v>
      </c>
      <c r="D770" t="s">
        <v>235</v>
      </c>
      <c r="E770">
        <v>1819</v>
      </c>
      <c r="F770">
        <v>6</v>
      </c>
      <c r="G770">
        <v>71</v>
      </c>
      <c r="H770">
        <v>23</v>
      </c>
    </row>
    <row r="771" spans="1:8" x14ac:dyDescent="0.25">
      <c r="A771" t="s">
        <v>1435</v>
      </c>
      <c r="B771" t="s">
        <v>143</v>
      </c>
      <c r="C771" t="s">
        <v>103</v>
      </c>
      <c r="D771" t="s">
        <v>236</v>
      </c>
      <c r="E771">
        <v>2041</v>
      </c>
      <c r="F771">
        <v>7</v>
      </c>
      <c r="G771">
        <v>69</v>
      </c>
      <c r="H771">
        <v>24</v>
      </c>
    </row>
    <row r="772" spans="1:8" x14ac:dyDescent="0.25">
      <c r="A772" t="s">
        <v>1436</v>
      </c>
      <c r="B772" t="s">
        <v>143</v>
      </c>
      <c r="C772" t="s">
        <v>103</v>
      </c>
      <c r="D772" t="s">
        <v>237</v>
      </c>
      <c r="E772">
        <v>2048</v>
      </c>
      <c r="F772">
        <v>5</v>
      </c>
      <c r="G772">
        <v>69</v>
      </c>
      <c r="H772">
        <v>26</v>
      </c>
    </row>
    <row r="773" spans="1:8" x14ac:dyDescent="0.25">
      <c r="A773" t="s">
        <v>1437</v>
      </c>
      <c r="B773" t="s">
        <v>143</v>
      </c>
      <c r="C773" t="s">
        <v>103</v>
      </c>
      <c r="D773" t="s">
        <v>238</v>
      </c>
      <c r="E773">
        <v>2048</v>
      </c>
      <c r="F773">
        <v>6</v>
      </c>
      <c r="G773">
        <v>70</v>
      </c>
      <c r="H773">
        <v>24</v>
      </c>
    </row>
    <row r="774" spans="1:8" x14ac:dyDescent="0.25">
      <c r="A774" t="s">
        <v>1438</v>
      </c>
      <c r="B774" t="s">
        <v>143</v>
      </c>
      <c r="C774" t="s">
        <v>103</v>
      </c>
      <c r="D774" t="s">
        <v>239</v>
      </c>
      <c r="E774">
        <v>2194</v>
      </c>
      <c r="F774">
        <v>5</v>
      </c>
      <c r="G774">
        <v>70</v>
      </c>
      <c r="H774">
        <v>25</v>
      </c>
    </row>
    <row r="775" spans="1:8" x14ac:dyDescent="0.25">
      <c r="A775" t="s">
        <v>1439</v>
      </c>
      <c r="B775" t="s">
        <v>143</v>
      </c>
      <c r="C775" t="s">
        <v>103</v>
      </c>
      <c r="D775" t="s">
        <v>47</v>
      </c>
      <c r="E775">
        <v>2001</v>
      </c>
      <c r="F775">
        <v>4</v>
      </c>
      <c r="G775">
        <v>71</v>
      </c>
      <c r="H775">
        <v>25</v>
      </c>
    </row>
    <row r="776" spans="1:8" x14ac:dyDescent="0.25">
      <c r="A776" t="s">
        <v>1440</v>
      </c>
      <c r="B776" t="s">
        <v>143</v>
      </c>
      <c r="C776" t="s">
        <v>100</v>
      </c>
      <c r="D776" t="s">
        <v>232</v>
      </c>
      <c r="E776">
        <v>2306</v>
      </c>
      <c r="F776">
        <v>10</v>
      </c>
      <c r="G776">
        <v>43</v>
      </c>
      <c r="H776">
        <v>47</v>
      </c>
    </row>
    <row r="777" spans="1:8" x14ac:dyDescent="0.25">
      <c r="A777" t="s">
        <v>1441</v>
      </c>
      <c r="B777" t="s">
        <v>143</v>
      </c>
      <c r="C777" t="s">
        <v>100</v>
      </c>
      <c r="D777" t="s">
        <v>233</v>
      </c>
      <c r="E777">
        <v>2375</v>
      </c>
      <c r="F777">
        <v>19</v>
      </c>
      <c r="G777">
        <v>52</v>
      </c>
      <c r="H777">
        <v>29</v>
      </c>
    </row>
    <row r="778" spans="1:8" x14ac:dyDescent="0.25">
      <c r="A778" t="s">
        <v>1442</v>
      </c>
      <c r="B778" t="s">
        <v>143</v>
      </c>
      <c r="C778" t="s">
        <v>100</v>
      </c>
      <c r="D778" t="s">
        <v>234</v>
      </c>
      <c r="E778">
        <v>2354</v>
      </c>
      <c r="F778">
        <v>8</v>
      </c>
      <c r="G778">
        <v>52</v>
      </c>
      <c r="H778">
        <v>40</v>
      </c>
    </row>
    <row r="779" spans="1:8" x14ac:dyDescent="0.25">
      <c r="A779" t="s">
        <v>1443</v>
      </c>
      <c r="B779" t="s">
        <v>143</v>
      </c>
      <c r="C779" t="s">
        <v>100</v>
      </c>
      <c r="D779" t="s">
        <v>235</v>
      </c>
      <c r="E779">
        <v>1866</v>
      </c>
      <c r="F779">
        <v>10</v>
      </c>
      <c r="G779">
        <v>51</v>
      </c>
      <c r="H779">
        <v>39</v>
      </c>
    </row>
    <row r="780" spans="1:8" x14ac:dyDescent="0.25">
      <c r="A780" t="s">
        <v>1444</v>
      </c>
      <c r="B780" t="s">
        <v>143</v>
      </c>
      <c r="C780" t="s">
        <v>100</v>
      </c>
      <c r="D780" t="s">
        <v>236</v>
      </c>
      <c r="E780">
        <v>2101</v>
      </c>
      <c r="F780">
        <v>19</v>
      </c>
      <c r="G780">
        <v>49</v>
      </c>
      <c r="H780">
        <v>32</v>
      </c>
    </row>
    <row r="781" spans="1:8" x14ac:dyDescent="0.25">
      <c r="A781" t="s">
        <v>1445</v>
      </c>
      <c r="B781" t="s">
        <v>143</v>
      </c>
      <c r="C781" t="s">
        <v>100</v>
      </c>
      <c r="D781" t="s">
        <v>237</v>
      </c>
      <c r="E781">
        <v>2107</v>
      </c>
      <c r="F781">
        <v>9</v>
      </c>
      <c r="G781">
        <v>54</v>
      </c>
      <c r="H781">
        <v>37</v>
      </c>
    </row>
    <row r="782" spans="1:8" x14ac:dyDescent="0.25">
      <c r="A782" t="s">
        <v>1446</v>
      </c>
      <c r="B782" t="s">
        <v>143</v>
      </c>
      <c r="C782" t="s">
        <v>100</v>
      </c>
      <c r="D782" t="s">
        <v>238</v>
      </c>
      <c r="E782">
        <v>2099</v>
      </c>
      <c r="F782">
        <v>13</v>
      </c>
      <c r="G782">
        <v>59</v>
      </c>
      <c r="H782">
        <v>28</v>
      </c>
    </row>
    <row r="783" spans="1:8" x14ac:dyDescent="0.25">
      <c r="A783" t="s">
        <v>1447</v>
      </c>
      <c r="B783" t="s">
        <v>143</v>
      </c>
      <c r="C783" t="s">
        <v>100</v>
      </c>
      <c r="D783" t="s">
        <v>239</v>
      </c>
      <c r="E783">
        <v>2237</v>
      </c>
      <c r="F783">
        <v>13</v>
      </c>
      <c r="G783">
        <v>51</v>
      </c>
      <c r="H783">
        <v>36</v>
      </c>
    </row>
    <row r="784" spans="1:8" x14ac:dyDescent="0.25">
      <c r="A784" t="s">
        <v>1448</v>
      </c>
      <c r="B784" t="s">
        <v>143</v>
      </c>
      <c r="C784" t="s">
        <v>100</v>
      </c>
      <c r="D784" t="s">
        <v>47</v>
      </c>
      <c r="E784">
        <v>2063</v>
      </c>
      <c r="F784">
        <v>8</v>
      </c>
      <c r="G784">
        <v>55</v>
      </c>
      <c r="H784">
        <v>37</v>
      </c>
    </row>
    <row r="785" spans="1:8" x14ac:dyDescent="0.25">
      <c r="A785" t="s">
        <v>1449</v>
      </c>
      <c r="B785" t="s">
        <v>143</v>
      </c>
      <c r="C785" t="s">
        <v>101</v>
      </c>
      <c r="D785" t="s">
        <v>232</v>
      </c>
    </row>
    <row r="786" spans="1:8" x14ac:dyDescent="0.25">
      <c r="A786" t="s">
        <v>1450</v>
      </c>
      <c r="B786" t="s">
        <v>143</v>
      </c>
      <c r="C786" t="s">
        <v>101</v>
      </c>
      <c r="D786" t="s">
        <v>233</v>
      </c>
    </row>
    <row r="787" spans="1:8" x14ac:dyDescent="0.25">
      <c r="A787" t="s">
        <v>1451</v>
      </c>
      <c r="B787" t="s">
        <v>143</v>
      </c>
      <c r="C787" t="s">
        <v>101</v>
      </c>
      <c r="D787" t="s">
        <v>234</v>
      </c>
    </row>
    <row r="788" spans="1:8" x14ac:dyDescent="0.25">
      <c r="A788" t="s">
        <v>1452</v>
      </c>
      <c r="B788" t="s">
        <v>143</v>
      </c>
      <c r="C788" t="s">
        <v>101</v>
      </c>
      <c r="D788" t="s">
        <v>235</v>
      </c>
    </row>
    <row r="789" spans="1:8" x14ac:dyDescent="0.25">
      <c r="A789" t="s">
        <v>1453</v>
      </c>
      <c r="B789" t="s">
        <v>143</v>
      </c>
      <c r="C789" t="s">
        <v>101</v>
      </c>
      <c r="D789" t="s">
        <v>236</v>
      </c>
    </row>
    <row r="790" spans="1:8" x14ac:dyDescent="0.25">
      <c r="A790" t="s">
        <v>1454</v>
      </c>
      <c r="B790" t="s">
        <v>143</v>
      </c>
      <c r="C790" t="s">
        <v>101</v>
      </c>
      <c r="D790" t="s">
        <v>237</v>
      </c>
    </row>
    <row r="791" spans="1:8" x14ac:dyDescent="0.25">
      <c r="A791" t="s">
        <v>1455</v>
      </c>
      <c r="B791" t="s">
        <v>143</v>
      </c>
      <c r="C791" t="s">
        <v>101</v>
      </c>
      <c r="D791" t="s">
        <v>238</v>
      </c>
    </row>
    <row r="792" spans="1:8" x14ac:dyDescent="0.25">
      <c r="A792" t="s">
        <v>1456</v>
      </c>
      <c r="B792" t="s">
        <v>143</v>
      </c>
      <c r="C792" t="s">
        <v>101</v>
      </c>
      <c r="D792" t="s">
        <v>239</v>
      </c>
    </row>
    <row r="793" spans="1:8" x14ac:dyDescent="0.25">
      <c r="A793" t="s">
        <v>1457</v>
      </c>
      <c r="B793" t="s">
        <v>143</v>
      </c>
      <c r="C793" t="s">
        <v>101</v>
      </c>
      <c r="D793" t="s">
        <v>47</v>
      </c>
    </row>
    <row r="794" spans="1:8" x14ac:dyDescent="0.25">
      <c r="A794" t="s">
        <v>1458</v>
      </c>
      <c r="B794" t="s">
        <v>143</v>
      </c>
      <c r="C794" t="s">
        <v>102</v>
      </c>
      <c r="D794" t="s">
        <v>232</v>
      </c>
      <c r="E794">
        <v>1876</v>
      </c>
      <c r="F794">
        <v>24</v>
      </c>
      <c r="G794">
        <v>34</v>
      </c>
      <c r="H794">
        <v>42</v>
      </c>
    </row>
    <row r="795" spans="1:8" x14ac:dyDescent="0.25">
      <c r="A795" t="s">
        <v>1459</v>
      </c>
      <c r="B795" t="s">
        <v>143</v>
      </c>
      <c r="C795" t="s">
        <v>102</v>
      </c>
      <c r="D795" t="s">
        <v>233</v>
      </c>
      <c r="E795">
        <v>1880</v>
      </c>
      <c r="F795">
        <v>25</v>
      </c>
      <c r="G795">
        <v>35</v>
      </c>
      <c r="H795">
        <v>40</v>
      </c>
    </row>
    <row r="796" spans="1:8" x14ac:dyDescent="0.25">
      <c r="A796" t="s">
        <v>1460</v>
      </c>
      <c r="B796" t="s">
        <v>143</v>
      </c>
      <c r="C796" t="s">
        <v>102</v>
      </c>
      <c r="D796" t="s">
        <v>234</v>
      </c>
      <c r="E796">
        <v>1915</v>
      </c>
      <c r="F796">
        <v>24</v>
      </c>
      <c r="G796">
        <v>37</v>
      </c>
      <c r="H796">
        <v>39</v>
      </c>
    </row>
    <row r="797" spans="1:8" x14ac:dyDescent="0.25">
      <c r="A797" t="s">
        <v>1461</v>
      </c>
      <c r="B797" t="s">
        <v>143</v>
      </c>
      <c r="C797" t="s">
        <v>102</v>
      </c>
      <c r="D797" t="s">
        <v>235</v>
      </c>
      <c r="E797">
        <v>1528</v>
      </c>
      <c r="F797">
        <v>23</v>
      </c>
      <c r="G797">
        <v>39</v>
      </c>
      <c r="H797">
        <v>38</v>
      </c>
    </row>
    <row r="798" spans="1:8" x14ac:dyDescent="0.25">
      <c r="A798" t="s">
        <v>1462</v>
      </c>
      <c r="B798" t="s">
        <v>143</v>
      </c>
      <c r="C798" t="s">
        <v>102</v>
      </c>
      <c r="D798" t="s">
        <v>236</v>
      </c>
      <c r="E798">
        <v>1607</v>
      </c>
      <c r="F798">
        <v>23</v>
      </c>
      <c r="G798">
        <v>36</v>
      </c>
      <c r="H798">
        <v>41</v>
      </c>
    </row>
    <row r="799" spans="1:8" x14ac:dyDescent="0.25">
      <c r="A799" t="s">
        <v>1463</v>
      </c>
      <c r="B799" t="s">
        <v>143</v>
      </c>
      <c r="C799" t="s">
        <v>102</v>
      </c>
      <c r="D799" t="s">
        <v>237</v>
      </c>
      <c r="E799">
        <v>1675</v>
      </c>
      <c r="F799">
        <v>24</v>
      </c>
      <c r="G799">
        <v>39</v>
      </c>
      <c r="H799">
        <v>37</v>
      </c>
    </row>
    <row r="800" spans="1:8" x14ac:dyDescent="0.25">
      <c r="A800" t="s">
        <v>1464</v>
      </c>
      <c r="B800" t="s">
        <v>143</v>
      </c>
      <c r="C800" t="s">
        <v>102</v>
      </c>
      <c r="D800" t="s">
        <v>238</v>
      </c>
      <c r="E800">
        <v>1700</v>
      </c>
      <c r="F800">
        <v>25</v>
      </c>
      <c r="G800">
        <v>45</v>
      </c>
      <c r="H800">
        <v>30</v>
      </c>
    </row>
    <row r="801" spans="1:8" x14ac:dyDescent="0.25">
      <c r="A801" t="s">
        <v>1465</v>
      </c>
      <c r="B801" t="s">
        <v>143</v>
      </c>
      <c r="C801" t="s">
        <v>102</v>
      </c>
      <c r="D801" t="s">
        <v>239</v>
      </c>
      <c r="E801">
        <v>1751</v>
      </c>
      <c r="F801">
        <v>24</v>
      </c>
      <c r="G801">
        <v>36</v>
      </c>
      <c r="H801">
        <v>40</v>
      </c>
    </row>
    <row r="802" spans="1:8" x14ac:dyDescent="0.25">
      <c r="A802" t="s">
        <v>1466</v>
      </c>
      <c r="B802" t="s">
        <v>143</v>
      </c>
      <c r="C802" t="s">
        <v>102</v>
      </c>
      <c r="D802" t="s">
        <v>47</v>
      </c>
      <c r="E802">
        <v>1659</v>
      </c>
      <c r="F802">
        <v>26</v>
      </c>
      <c r="G802">
        <v>41</v>
      </c>
      <c r="H802">
        <v>33</v>
      </c>
    </row>
    <row r="803" spans="1:8" x14ac:dyDescent="0.25">
      <c r="A803" t="s">
        <v>1467</v>
      </c>
      <c r="B803" t="s">
        <v>143</v>
      </c>
      <c r="C803" t="s">
        <v>31</v>
      </c>
      <c r="D803" t="s">
        <v>232</v>
      </c>
      <c r="E803">
        <v>2314</v>
      </c>
      <c r="F803">
        <v>22</v>
      </c>
      <c r="G803">
        <v>52</v>
      </c>
      <c r="H803">
        <v>26</v>
      </c>
    </row>
    <row r="804" spans="1:8" x14ac:dyDescent="0.25">
      <c r="A804" t="s">
        <v>1468</v>
      </c>
      <c r="B804" t="s">
        <v>143</v>
      </c>
      <c r="C804" t="s">
        <v>31</v>
      </c>
      <c r="D804" t="s">
        <v>233</v>
      </c>
      <c r="E804">
        <v>2388</v>
      </c>
      <c r="F804">
        <v>24</v>
      </c>
      <c r="G804">
        <v>49</v>
      </c>
      <c r="H804">
        <v>27</v>
      </c>
    </row>
    <row r="805" spans="1:8" x14ac:dyDescent="0.25">
      <c r="A805" t="s">
        <v>1469</v>
      </c>
      <c r="B805" t="s">
        <v>143</v>
      </c>
      <c r="C805" t="s">
        <v>31</v>
      </c>
      <c r="D805" t="s">
        <v>234</v>
      </c>
      <c r="E805">
        <v>2369</v>
      </c>
      <c r="F805">
        <v>26</v>
      </c>
      <c r="G805">
        <v>52</v>
      </c>
      <c r="H805">
        <v>22</v>
      </c>
    </row>
    <row r="806" spans="1:8" x14ac:dyDescent="0.25">
      <c r="A806" t="s">
        <v>1470</v>
      </c>
      <c r="B806" t="s">
        <v>143</v>
      </c>
      <c r="C806" t="s">
        <v>31</v>
      </c>
      <c r="D806" t="s">
        <v>235</v>
      </c>
      <c r="E806">
        <v>1881</v>
      </c>
      <c r="F806">
        <v>21</v>
      </c>
      <c r="G806">
        <v>50</v>
      </c>
      <c r="H806">
        <v>29</v>
      </c>
    </row>
    <row r="807" spans="1:8" x14ac:dyDescent="0.25">
      <c r="A807" t="s">
        <v>1471</v>
      </c>
      <c r="B807" t="s">
        <v>143</v>
      </c>
      <c r="C807" t="s">
        <v>31</v>
      </c>
      <c r="D807" t="s">
        <v>236</v>
      </c>
      <c r="E807">
        <v>2108</v>
      </c>
      <c r="F807">
        <v>17</v>
      </c>
      <c r="G807">
        <v>48</v>
      </c>
      <c r="H807">
        <v>35</v>
      </c>
    </row>
    <row r="808" spans="1:8" x14ac:dyDescent="0.25">
      <c r="A808" t="s">
        <v>1472</v>
      </c>
      <c r="B808" t="s">
        <v>143</v>
      </c>
      <c r="C808" t="s">
        <v>31</v>
      </c>
      <c r="D808" t="s">
        <v>237</v>
      </c>
      <c r="E808">
        <v>2118</v>
      </c>
      <c r="F808">
        <v>25</v>
      </c>
      <c r="G808">
        <v>48</v>
      </c>
      <c r="H808">
        <v>27</v>
      </c>
    </row>
    <row r="809" spans="1:8" x14ac:dyDescent="0.25">
      <c r="A809" t="s">
        <v>1473</v>
      </c>
      <c r="B809" t="s">
        <v>143</v>
      </c>
      <c r="C809" t="s">
        <v>31</v>
      </c>
      <c r="D809" t="s">
        <v>238</v>
      </c>
      <c r="E809">
        <v>2085</v>
      </c>
      <c r="F809">
        <v>19</v>
      </c>
      <c r="G809">
        <v>51</v>
      </c>
      <c r="H809">
        <v>30</v>
      </c>
    </row>
    <row r="810" spans="1:8" x14ac:dyDescent="0.25">
      <c r="A810" t="s">
        <v>1474</v>
      </c>
      <c r="B810" t="s">
        <v>143</v>
      </c>
      <c r="C810" t="s">
        <v>31</v>
      </c>
      <c r="D810" t="s">
        <v>239</v>
      </c>
      <c r="E810">
        <v>2238</v>
      </c>
      <c r="F810">
        <v>18</v>
      </c>
      <c r="G810">
        <v>47</v>
      </c>
      <c r="H810">
        <v>35</v>
      </c>
    </row>
    <row r="811" spans="1:8" x14ac:dyDescent="0.25">
      <c r="A811" t="s">
        <v>1475</v>
      </c>
      <c r="B811" t="s">
        <v>143</v>
      </c>
      <c r="C811" t="s">
        <v>31</v>
      </c>
      <c r="D811" t="s">
        <v>47</v>
      </c>
      <c r="E811">
        <v>2083</v>
      </c>
      <c r="F811">
        <v>28</v>
      </c>
      <c r="G811">
        <v>50</v>
      </c>
      <c r="H811">
        <v>22</v>
      </c>
    </row>
    <row r="812" spans="1:8" x14ac:dyDescent="0.25">
      <c r="A812" t="s">
        <v>1476</v>
      </c>
      <c r="B812" t="s">
        <v>145</v>
      </c>
      <c r="C812" t="s">
        <v>103</v>
      </c>
      <c r="D812" t="s">
        <v>232</v>
      </c>
      <c r="E812">
        <v>877</v>
      </c>
      <c r="F812">
        <v>7</v>
      </c>
      <c r="G812">
        <v>67</v>
      </c>
      <c r="H812">
        <v>26</v>
      </c>
    </row>
    <row r="813" spans="1:8" x14ac:dyDescent="0.25">
      <c r="A813" t="s">
        <v>1477</v>
      </c>
      <c r="B813" t="s">
        <v>145</v>
      </c>
      <c r="C813" t="s">
        <v>103</v>
      </c>
      <c r="D813" t="s">
        <v>233</v>
      </c>
      <c r="E813">
        <v>882</v>
      </c>
      <c r="F813">
        <v>10</v>
      </c>
      <c r="G813">
        <v>68</v>
      </c>
      <c r="H813">
        <v>22</v>
      </c>
    </row>
    <row r="814" spans="1:8" x14ac:dyDescent="0.25">
      <c r="A814" t="s">
        <v>1478</v>
      </c>
      <c r="B814" t="s">
        <v>145</v>
      </c>
      <c r="C814" t="s">
        <v>103</v>
      </c>
      <c r="D814" t="s">
        <v>234</v>
      </c>
      <c r="E814">
        <v>841</v>
      </c>
      <c r="F814">
        <v>8</v>
      </c>
      <c r="G814">
        <v>63</v>
      </c>
      <c r="H814">
        <v>29</v>
      </c>
    </row>
    <row r="815" spans="1:8" x14ac:dyDescent="0.25">
      <c r="A815" t="s">
        <v>1479</v>
      </c>
      <c r="B815" t="s">
        <v>145</v>
      </c>
      <c r="C815" t="s">
        <v>103</v>
      </c>
      <c r="D815" t="s">
        <v>235</v>
      </c>
      <c r="E815">
        <v>674</v>
      </c>
      <c r="F815">
        <v>6</v>
      </c>
      <c r="G815">
        <v>67</v>
      </c>
      <c r="H815">
        <v>27</v>
      </c>
    </row>
    <row r="816" spans="1:8" x14ac:dyDescent="0.25">
      <c r="A816" t="s">
        <v>1480</v>
      </c>
      <c r="B816" t="s">
        <v>145</v>
      </c>
      <c r="C816" t="s">
        <v>103</v>
      </c>
      <c r="D816" t="s">
        <v>236</v>
      </c>
      <c r="E816">
        <v>729</v>
      </c>
      <c r="F816">
        <v>8</v>
      </c>
      <c r="G816">
        <v>69</v>
      </c>
      <c r="H816">
        <v>23</v>
      </c>
    </row>
    <row r="817" spans="1:8" x14ac:dyDescent="0.25">
      <c r="A817" t="s">
        <v>1481</v>
      </c>
      <c r="B817" t="s">
        <v>145</v>
      </c>
      <c r="C817" t="s">
        <v>103</v>
      </c>
      <c r="D817" t="s">
        <v>237</v>
      </c>
      <c r="E817">
        <v>743</v>
      </c>
      <c r="F817">
        <v>6</v>
      </c>
      <c r="G817">
        <v>68</v>
      </c>
      <c r="H817">
        <v>26</v>
      </c>
    </row>
    <row r="818" spans="1:8" x14ac:dyDescent="0.25">
      <c r="A818" t="s">
        <v>1482</v>
      </c>
      <c r="B818" t="s">
        <v>145</v>
      </c>
      <c r="C818" t="s">
        <v>103</v>
      </c>
      <c r="D818" t="s">
        <v>238</v>
      </c>
      <c r="E818">
        <v>761</v>
      </c>
      <c r="F818">
        <v>7</v>
      </c>
      <c r="G818">
        <v>69</v>
      </c>
      <c r="H818">
        <v>24</v>
      </c>
    </row>
    <row r="819" spans="1:8" x14ac:dyDescent="0.25">
      <c r="A819" t="s">
        <v>1483</v>
      </c>
      <c r="B819" t="s">
        <v>145</v>
      </c>
      <c r="C819" t="s">
        <v>103</v>
      </c>
      <c r="D819" t="s">
        <v>239</v>
      </c>
      <c r="E819">
        <v>792</v>
      </c>
      <c r="F819">
        <v>5</v>
      </c>
      <c r="G819">
        <v>69</v>
      </c>
      <c r="H819">
        <v>26</v>
      </c>
    </row>
    <row r="820" spans="1:8" x14ac:dyDescent="0.25">
      <c r="A820" t="s">
        <v>1484</v>
      </c>
      <c r="B820" t="s">
        <v>145</v>
      </c>
      <c r="C820" t="s">
        <v>103</v>
      </c>
      <c r="D820" t="s">
        <v>47</v>
      </c>
      <c r="E820">
        <v>754</v>
      </c>
      <c r="F820">
        <v>4</v>
      </c>
      <c r="G820">
        <v>67</v>
      </c>
      <c r="H820">
        <v>29</v>
      </c>
    </row>
    <row r="821" spans="1:8" x14ac:dyDescent="0.25">
      <c r="A821" t="s">
        <v>1485</v>
      </c>
      <c r="B821" t="s">
        <v>145</v>
      </c>
      <c r="C821" t="s">
        <v>100</v>
      </c>
      <c r="D821" t="s">
        <v>232</v>
      </c>
      <c r="E821">
        <v>887</v>
      </c>
      <c r="F821">
        <v>8</v>
      </c>
      <c r="G821">
        <v>41</v>
      </c>
      <c r="H821">
        <v>51</v>
      </c>
    </row>
    <row r="822" spans="1:8" x14ac:dyDescent="0.25">
      <c r="A822" t="s">
        <v>1486</v>
      </c>
      <c r="B822" t="s">
        <v>145</v>
      </c>
      <c r="C822" t="s">
        <v>100</v>
      </c>
      <c r="D822" t="s">
        <v>233</v>
      </c>
      <c r="E822">
        <v>899</v>
      </c>
      <c r="F822">
        <v>16</v>
      </c>
      <c r="G822">
        <v>54</v>
      </c>
      <c r="H822">
        <v>30</v>
      </c>
    </row>
    <row r="823" spans="1:8" x14ac:dyDescent="0.25">
      <c r="A823" t="s">
        <v>1487</v>
      </c>
      <c r="B823" t="s">
        <v>145</v>
      </c>
      <c r="C823" t="s">
        <v>100</v>
      </c>
      <c r="D823" t="s">
        <v>234</v>
      </c>
      <c r="E823">
        <v>851</v>
      </c>
      <c r="F823">
        <v>7</v>
      </c>
      <c r="G823">
        <v>55</v>
      </c>
      <c r="H823">
        <v>38</v>
      </c>
    </row>
    <row r="824" spans="1:8" x14ac:dyDescent="0.25">
      <c r="A824" t="s">
        <v>1488</v>
      </c>
      <c r="B824" t="s">
        <v>145</v>
      </c>
      <c r="C824" t="s">
        <v>100</v>
      </c>
      <c r="D824" t="s">
        <v>235</v>
      </c>
      <c r="E824">
        <v>692</v>
      </c>
      <c r="F824">
        <v>9</v>
      </c>
      <c r="G824">
        <v>52</v>
      </c>
      <c r="H824">
        <v>39</v>
      </c>
    </row>
    <row r="825" spans="1:8" x14ac:dyDescent="0.25">
      <c r="A825" t="s">
        <v>1489</v>
      </c>
      <c r="B825" t="s">
        <v>145</v>
      </c>
      <c r="C825" t="s">
        <v>100</v>
      </c>
      <c r="D825" t="s">
        <v>236</v>
      </c>
      <c r="E825">
        <v>740</v>
      </c>
      <c r="F825">
        <v>18</v>
      </c>
      <c r="G825">
        <v>50</v>
      </c>
      <c r="H825">
        <v>32</v>
      </c>
    </row>
    <row r="826" spans="1:8" x14ac:dyDescent="0.25">
      <c r="A826" t="s">
        <v>1490</v>
      </c>
      <c r="B826" t="s">
        <v>145</v>
      </c>
      <c r="C826" t="s">
        <v>100</v>
      </c>
      <c r="D826" t="s">
        <v>237</v>
      </c>
      <c r="E826">
        <v>754</v>
      </c>
      <c r="F826">
        <v>10</v>
      </c>
      <c r="G826">
        <v>54</v>
      </c>
      <c r="H826">
        <v>36</v>
      </c>
    </row>
    <row r="827" spans="1:8" x14ac:dyDescent="0.25">
      <c r="A827" t="s">
        <v>1491</v>
      </c>
      <c r="B827" t="s">
        <v>145</v>
      </c>
      <c r="C827" t="s">
        <v>100</v>
      </c>
      <c r="D827" t="s">
        <v>238</v>
      </c>
      <c r="E827">
        <v>769</v>
      </c>
      <c r="F827">
        <v>14</v>
      </c>
      <c r="G827">
        <v>59</v>
      </c>
      <c r="H827">
        <v>27</v>
      </c>
    </row>
    <row r="828" spans="1:8" x14ac:dyDescent="0.25">
      <c r="A828" t="s">
        <v>1492</v>
      </c>
      <c r="B828" t="s">
        <v>145</v>
      </c>
      <c r="C828" t="s">
        <v>100</v>
      </c>
      <c r="D828" t="s">
        <v>239</v>
      </c>
      <c r="E828">
        <v>797</v>
      </c>
      <c r="F828">
        <v>13</v>
      </c>
      <c r="G828">
        <v>52</v>
      </c>
      <c r="H828">
        <v>35</v>
      </c>
    </row>
    <row r="829" spans="1:8" x14ac:dyDescent="0.25">
      <c r="A829" t="s">
        <v>1493</v>
      </c>
      <c r="B829" t="s">
        <v>145</v>
      </c>
      <c r="C829" t="s">
        <v>100</v>
      </c>
      <c r="D829" t="s">
        <v>47</v>
      </c>
      <c r="E829">
        <v>765</v>
      </c>
      <c r="F829">
        <v>9</v>
      </c>
      <c r="G829">
        <v>55</v>
      </c>
      <c r="H829">
        <v>36</v>
      </c>
    </row>
    <row r="830" spans="1:8" x14ac:dyDescent="0.25">
      <c r="A830" t="s">
        <v>1494</v>
      </c>
      <c r="B830" t="s">
        <v>145</v>
      </c>
      <c r="C830" t="s">
        <v>101</v>
      </c>
      <c r="D830" t="s">
        <v>232</v>
      </c>
    </row>
    <row r="831" spans="1:8" x14ac:dyDescent="0.25">
      <c r="A831" t="s">
        <v>1495</v>
      </c>
      <c r="B831" t="s">
        <v>145</v>
      </c>
      <c r="C831" t="s">
        <v>101</v>
      </c>
      <c r="D831" t="s">
        <v>233</v>
      </c>
    </row>
    <row r="832" spans="1:8" x14ac:dyDescent="0.25">
      <c r="A832" t="s">
        <v>1496</v>
      </c>
      <c r="B832" t="s">
        <v>145</v>
      </c>
      <c r="C832" t="s">
        <v>101</v>
      </c>
      <c r="D832" t="s">
        <v>234</v>
      </c>
    </row>
    <row r="833" spans="1:8" x14ac:dyDescent="0.25">
      <c r="A833" t="s">
        <v>1497</v>
      </c>
      <c r="B833" t="s">
        <v>145</v>
      </c>
      <c r="C833" t="s">
        <v>101</v>
      </c>
      <c r="D833" t="s">
        <v>235</v>
      </c>
    </row>
    <row r="834" spans="1:8" x14ac:dyDescent="0.25">
      <c r="A834" t="s">
        <v>1498</v>
      </c>
      <c r="B834" t="s">
        <v>145</v>
      </c>
      <c r="C834" t="s">
        <v>101</v>
      </c>
      <c r="D834" t="s">
        <v>236</v>
      </c>
    </row>
    <row r="835" spans="1:8" x14ac:dyDescent="0.25">
      <c r="A835" t="s">
        <v>1499</v>
      </c>
      <c r="B835" t="s">
        <v>145</v>
      </c>
      <c r="C835" t="s">
        <v>101</v>
      </c>
      <c r="D835" t="s">
        <v>237</v>
      </c>
    </row>
    <row r="836" spans="1:8" x14ac:dyDescent="0.25">
      <c r="A836" t="s">
        <v>1500</v>
      </c>
      <c r="B836" t="s">
        <v>145</v>
      </c>
      <c r="C836" t="s">
        <v>101</v>
      </c>
      <c r="D836" t="s">
        <v>238</v>
      </c>
    </row>
    <row r="837" spans="1:8" x14ac:dyDescent="0.25">
      <c r="A837" t="s">
        <v>1501</v>
      </c>
      <c r="B837" t="s">
        <v>145</v>
      </c>
      <c r="C837" t="s">
        <v>101</v>
      </c>
      <c r="D837" t="s">
        <v>239</v>
      </c>
    </row>
    <row r="838" spans="1:8" x14ac:dyDescent="0.25">
      <c r="A838" t="s">
        <v>1502</v>
      </c>
      <c r="B838" t="s">
        <v>145</v>
      </c>
      <c r="C838" t="s">
        <v>101</v>
      </c>
      <c r="D838" t="s">
        <v>47</v>
      </c>
    </row>
    <row r="839" spans="1:8" x14ac:dyDescent="0.25">
      <c r="A839" t="s">
        <v>1503</v>
      </c>
      <c r="B839" t="s">
        <v>145</v>
      </c>
      <c r="C839" t="s">
        <v>102</v>
      </c>
      <c r="D839" t="s">
        <v>232</v>
      </c>
      <c r="E839">
        <v>708</v>
      </c>
      <c r="F839">
        <v>25</v>
      </c>
      <c r="G839">
        <v>32</v>
      </c>
      <c r="H839">
        <v>43</v>
      </c>
    </row>
    <row r="840" spans="1:8" x14ac:dyDescent="0.25">
      <c r="A840" t="s">
        <v>1504</v>
      </c>
      <c r="B840" t="s">
        <v>145</v>
      </c>
      <c r="C840" t="s">
        <v>102</v>
      </c>
      <c r="D840" t="s">
        <v>233</v>
      </c>
      <c r="E840">
        <v>693</v>
      </c>
      <c r="F840">
        <v>21</v>
      </c>
      <c r="G840">
        <v>38</v>
      </c>
      <c r="H840">
        <v>41</v>
      </c>
    </row>
    <row r="841" spans="1:8" x14ac:dyDescent="0.25">
      <c r="A841" t="s">
        <v>1505</v>
      </c>
      <c r="B841" t="s">
        <v>145</v>
      </c>
      <c r="C841" t="s">
        <v>102</v>
      </c>
      <c r="D841" t="s">
        <v>234</v>
      </c>
      <c r="E841">
        <v>673</v>
      </c>
      <c r="F841">
        <v>21</v>
      </c>
      <c r="G841">
        <v>38</v>
      </c>
      <c r="H841">
        <v>41</v>
      </c>
    </row>
    <row r="842" spans="1:8" x14ac:dyDescent="0.25">
      <c r="A842" t="s">
        <v>1506</v>
      </c>
      <c r="B842" t="s">
        <v>145</v>
      </c>
      <c r="C842" t="s">
        <v>102</v>
      </c>
      <c r="D842" t="s">
        <v>235</v>
      </c>
      <c r="E842">
        <v>556</v>
      </c>
      <c r="F842">
        <v>24</v>
      </c>
      <c r="G842">
        <v>38</v>
      </c>
      <c r="H842">
        <v>38</v>
      </c>
    </row>
    <row r="843" spans="1:8" x14ac:dyDescent="0.25">
      <c r="A843" t="s">
        <v>1507</v>
      </c>
      <c r="B843" t="s">
        <v>145</v>
      </c>
      <c r="C843" t="s">
        <v>102</v>
      </c>
      <c r="D843" t="s">
        <v>236</v>
      </c>
      <c r="E843">
        <v>526</v>
      </c>
      <c r="F843">
        <v>24</v>
      </c>
      <c r="G843">
        <v>36</v>
      </c>
      <c r="H843">
        <v>40</v>
      </c>
    </row>
    <row r="844" spans="1:8" x14ac:dyDescent="0.25">
      <c r="A844" t="s">
        <v>1508</v>
      </c>
      <c r="B844" t="s">
        <v>145</v>
      </c>
      <c r="C844" t="s">
        <v>102</v>
      </c>
      <c r="D844" t="s">
        <v>237</v>
      </c>
      <c r="E844">
        <v>569</v>
      </c>
      <c r="F844">
        <v>23</v>
      </c>
      <c r="G844">
        <v>40</v>
      </c>
      <c r="H844">
        <v>37</v>
      </c>
    </row>
    <row r="845" spans="1:8" x14ac:dyDescent="0.25">
      <c r="A845" t="s">
        <v>1509</v>
      </c>
      <c r="B845" t="s">
        <v>145</v>
      </c>
      <c r="C845" t="s">
        <v>102</v>
      </c>
      <c r="D845" t="s">
        <v>238</v>
      </c>
      <c r="E845">
        <v>596</v>
      </c>
      <c r="F845">
        <v>24</v>
      </c>
      <c r="G845">
        <v>50</v>
      </c>
      <c r="H845">
        <v>26</v>
      </c>
    </row>
    <row r="846" spans="1:8" x14ac:dyDescent="0.25">
      <c r="A846" t="s">
        <v>1510</v>
      </c>
      <c r="B846" t="s">
        <v>145</v>
      </c>
      <c r="C846" t="s">
        <v>102</v>
      </c>
      <c r="D846" t="s">
        <v>239</v>
      </c>
      <c r="E846">
        <v>600</v>
      </c>
      <c r="F846">
        <v>27</v>
      </c>
      <c r="G846">
        <v>36</v>
      </c>
      <c r="H846">
        <v>37</v>
      </c>
    </row>
    <row r="847" spans="1:8" x14ac:dyDescent="0.25">
      <c r="A847" t="s">
        <v>1511</v>
      </c>
      <c r="B847" t="s">
        <v>145</v>
      </c>
      <c r="C847" t="s">
        <v>102</v>
      </c>
      <c r="D847" t="s">
        <v>47</v>
      </c>
      <c r="E847">
        <v>583</v>
      </c>
      <c r="F847">
        <v>25</v>
      </c>
      <c r="G847">
        <v>42</v>
      </c>
      <c r="H847">
        <v>33</v>
      </c>
    </row>
    <row r="848" spans="1:8" x14ac:dyDescent="0.25">
      <c r="A848" t="s">
        <v>1512</v>
      </c>
      <c r="B848" t="s">
        <v>145</v>
      </c>
      <c r="C848" t="s">
        <v>31</v>
      </c>
      <c r="D848" t="s">
        <v>232</v>
      </c>
      <c r="E848">
        <v>897</v>
      </c>
      <c r="F848">
        <v>20</v>
      </c>
      <c r="G848">
        <v>53</v>
      </c>
      <c r="H848">
        <v>27</v>
      </c>
    </row>
    <row r="849" spans="1:8" x14ac:dyDescent="0.25">
      <c r="A849" t="s">
        <v>1513</v>
      </c>
      <c r="B849" t="s">
        <v>145</v>
      </c>
      <c r="C849" t="s">
        <v>31</v>
      </c>
      <c r="D849" t="s">
        <v>233</v>
      </c>
      <c r="E849">
        <v>903</v>
      </c>
      <c r="F849">
        <v>25</v>
      </c>
      <c r="G849">
        <v>49</v>
      </c>
      <c r="H849">
        <v>26</v>
      </c>
    </row>
    <row r="850" spans="1:8" x14ac:dyDescent="0.25">
      <c r="A850" t="s">
        <v>1514</v>
      </c>
      <c r="B850" t="s">
        <v>145</v>
      </c>
      <c r="C850" t="s">
        <v>31</v>
      </c>
      <c r="D850" t="s">
        <v>234</v>
      </c>
      <c r="E850">
        <v>859</v>
      </c>
      <c r="F850">
        <v>24</v>
      </c>
      <c r="G850">
        <v>51</v>
      </c>
      <c r="H850">
        <v>25</v>
      </c>
    </row>
    <row r="851" spans="1:8" x14ac:dyDescent="0.25">
      <c r="A851" t="s">
        <v>1515</v>
      </c>
      <c r="B851" t="s">
        <v>145</v>
      </c>
      <c r="C851" t="s">
        <v>31</v>
      </c>
      <c r="D851" t="s">
        <v>235</v>
      </c>
      <c r="E851">
        <v>694</v>
      </c>
      <c r="F851">
        <v>20</v>
      </c>
      <c r="G851">
        <v>53</v>
      </c>
      <c r="H851">
        <v>27</v>
      </c>
    </row>
    <row r="852" spans="1:8" x14ac:dyDescent="0.25">
      <c r="A852" t="s">
        <v>1516</v>
      </c>
      <c r="B852" t="s">
        <v>145</v>
      </c>
      <c r="C852" t="s">
        <v>31</v>
      </c>
      <c r="D852" t="s">
        <v>236</v>
      </c>
      <c r="E852">
        <v>748</v>
      </c>
      <c r="F852">
        <v>19</v>
      </c>
      <c r="G852">
        <v>48</v>
      </c>
      <c r="H852">
        <v>33</v>
      </c>
    </row>
    <row r="853" spans="1:8" x14ac:dyDescent="0.25">
      <c r="A853" t="s">
        <v>1517</v>
      </c>
      <c r="B853" t="s">
        <v>145</v>
      </c>
      <c r="C853" t="s">
        <v>31</v>
      </c>
      <c r="D853" t="s">
        <v>237</v>
      </c>
      <c r="E853">
        <v>761</v>
      </c>
      <c r="F853">
        <v>24</v>
      </c>
      <c r="G853">
        <v>48</v>
      </c>
      <c r="H853">
        <v>28</v>
      </c>
    </row>
    <row r="854" spans="1:8" x14ac:dyDescent="0.25">
      <c r="A854" t="s">
        <v>1518</v>
      </c>
      <c r="B854" t="s">
        <v>145</v>
      </c>
      <c r="C854" t="s">
        <v>31</v>
      </c>
      <c r="D854" t="s">
        <v>238</v>
      </c>
      <c r="E854">
        <v>768</v>
      </c>
      <c r="F854">
        <v>20</v>
      </c>
      <c r="G854">
        <v>50</v>
      </c>
      <c r="H854">
        <v>30</v>
      </c>
    </row>
    <row r="855" spans="1:8" x14ac:dyDescent="0.25">
      <c r="A855" t="s">
        <v>1519</v>
      </c>
      <c r="B855" t="s">
        <v>145</v>
      </c>
      <c r="C855" t="s">
        <v>31</v>
      </c>
      <c r="D855" t="s">
        <v>239</v>
      </c>
      <c r="E855">
        <v>801</v>
      </c>
      <c r="F855">
        <v>21</v>
      </c>
      <c r="G855">
        <v>46</v>
      </c>
      <c r="H855">
        <v>33</v>
      </c>
    </row>
    <row r="856" spans="1:8" x14ac:dyDescent="0.25">
      <c r="A856" t="s">
        <v>1520</v>
      </c>
      <c r="B856" t="s">
        <v>145</v>
      </c>
      <c r="C856" t="s">
        <v>31</v>
      </c>
      <c r="D856" t="s">
        <v>47</v>
      </c>
      <c r="E856">
        <v>774</v>
      </c>
      <c r="F856">
        <v>25</v>
      </c>
      <c r="G856">
        <v>50</v>
      </c>
      <c r="H856">
        <v>25</v>
      </c>
    </row>
    <row r="857" spans="1:8" x14ac:dyDescent="0.25">
      <c r="A857" t="s">
        <v>1521</v>
      </c>
      <c r="B857" t="s">
        <v>165</v>
      </c>
      <c r="C857" t="s">
        <v>103</v>
      </c>
      <c r="D857" t="s">
        <v>232</v>
      </c>
      <c r="E857">
        <v>270</v>
      </c>
      <c r="F857">
        <v>12</v>
      </c>
      <c r="G857">
        <v>66</v>
      </c>
      <c r="H857">
        <v>22</v>
      </c>
    </row>
    <row r="858" spans="1:8" x14ac:dyDescent="0.25">
      <c r="A858" t="s">
        <v>1522</v>
      </c>
      <c r="B858" t="s">
        <v>165</v>
      </c>
      <c r="C858" t="s">
        <v>103</v>
      </c>
      <c r="D858" t="s">
        <v>233</v>
      </c>
      <c r="E858">
        <v>229</v>
      </c>
      <c r="F858">
        <v>8</v>
      </c>
      <c r="G858">
        <v>65</v>
      </c>
      <c r="H858">
        <v>27</v>
      </c>
    </row>
    <row r="859" spans="1:8" x14ac:dyDescent="0.25">
      <c r="A859" t="s">
        <v>1523</v>
      </c>
      <c r="B859" t="s">
        <v>165</v>
      </c>
      <c r="C859" t="s">
        <v>103</v>
      </c>
      <c r="D859" t="s">
        <v>234</v>
      </c>
      <c r="E859">
        <v>237</v>
      </c>
      <c r="F859">
        <v>10</v>
      </c>
      <c r="G859">
        <v>64</v>
      </c>
      <c r="H859">
        <v>26</v>
      </c>
    </row>
    <row r="860" spans="1:8" x14ac:dyDescent="0.25">
      <c r="A860" t="s">
        <v>1524</v>
      </c>
      <c r="B860" t="s">
        <v>165</v>
      </c>
      <c r="C860" t="s">
        <v>103</v>
      </c>
      <c r="D860" t="s">
        <v>235</v>
      </c>
      <c r="E860">
        <v>226</v>
      </c>
      <c r="F860">
        <v>10</v>
      </c>
      <c r="G860">
        <v>65</v>
      </c>
      <c r="H860">
        <v>25</v>
      </c>
    </row>
    <row r="861" spans="1:8" x14ac:dyDescent="0.25">
      <c r="A861" t="s">
        <v>1525</v>
      </c>
      <c r="B861" t="s">
        <v>165</v>
      </c>
      <c r="C861" t="s">
        <v>103</v>
      </c>
      <c r="D861" t="s">
        <v>236</v>
      </c>
      <c r="E861">
        <v>216</v>
      </c>
      <c r="F861">
        <v>13</v>
      </c>
      <c r="G861">
        <v>68</v>
      </c>
      <c r="H861">
        <v>19</v>
      </c>
    </row>
    <row r="862" spans="1:8" x14ac:dyDescent="0.25">
      <c r="A862" t="s">
        <v>1526</v>
      </c>
      <c r="B862" t="s">
        <v>165</v>
      </c>
      <c r="C862" t="s">
        <v>103</v>
      </c>
      <c r="D862" t="s">
        <v>237</v>
      </c>
      <c r="E862">
        <v>238</v>
      </c>
      <c r="F862">
        <v>10</v>
      </c>
      <c r="G862">
        <v>69</v>
      </c>
      <c r="H862">
        <v>21</v>
      </c>
    </row>
    <row r="863" spans="1:8" x14ac:dyDescent="0.25">
      <c r="A863" t="s">
        <v>1527</v>
      </c>
      <c r="B863" t="s">
        <v>165</v>
      </c>
      <c r="C863" t="s">
        <v>103</v>
      </c>
      <c r="D863" t="s">
        <v>238</v>
      </c>
      <c r="E863">
        <v>276</v>
      </c>
      <c r="F863">
        <v>9</v>
      </c>
      <c r="G863">
        <v>68</v>
      </c>
      <c r="H863">
        <v>23</v>
      </c>
    </row>
    <row r="864" spans="1:8" x14ac:dyDescent="0.25">
      <c r="A864" t="s">
        <v>1528</v>
      </c>
      <c r="B864" t="s">
        <v>165</v>
      </c>
      <c r="C864" t="s">
        <v>103</v>
      </c>
      <c r="D864" t="s">
        <v>239</v>
      </c>
      <c r="E864">
        <v>234</v>
      </c>
      <c r="F864">
        <v>10</v>
      </c>
      <c r="G864">
        <v>65</v>
      </c>
      <c r="H864">
        <v>25</v>
      </c>
    </row>
    <row r="865" spans="1:8" x14ac:dyDescent="0.25">
      <c r="A865" t="s">
        <v>1529</v>
      </c>
      <c r="B865" t="s">
        <v>165</v>
      </c>
      <c r="C865" t="s">
        <v>103</v>
      </c>
      <c r="D865" t="s">
        <v>47</v>
      </c>
      <c r="E865">
        <v>261</v>
      </c>
      <c r="F865">
        <v>11</v>
      </c>
      <c r="G865">
        <v>64</v>
      </c>
      <c r="H865">
        <v>25</v>
      </c>
    </row>
    <row r="866" spans="1:8" x14ac:dyDescent="0.25">
      <c r="A866" t="s">
        <v>1530</v>
      </c>
      <c r="B866" t="s">
        <v>165</v>
      </c>
      <c r="C866" t="s">
        <v>100</v>
      </c>
      <c r="D866" t="s">
        <v>232</v>
      </c>
      <c r="E866">
        <v>275</v>
      </c>
      <c r="F866">
        <v>10</v>
      </c>
      <c r="G866">
        <v>50</v>
      </c>
      <c r="H866">
        <v>40</v>
      </c>
    </row>
    <row r="867" spans="1:8" x14ac:dyDescent="0.25">
      <c r="A867" t="s">
        <v>1531</v>
      </c>
      <c r="B867" t="s">
        <v>165</v>
      </c>
      <c r="C867" t="s">
        <v>100</v>
      </c>
      <c r="D867" t="s">
        <v>233</v>
      </c>
      <c r="E867">
        <v>234</v>
      </c>
      <c r="F867">
        <v>10</v>
      </c>
      <c r="G867">
        <v>56</v>
      </c>
      <c r="H867">
        <v>34</v>
      </c>
    </row>
    <row r="868" spans="1:8" x14ac:dyDescent="0.25">
      <c r="A868" t="s">
        <v>1532</v>
      </c>
      <c r="B868" t="s">
        <v>165</v>
      </c>
      <c r="C868" t="s">
        <v>100</v>
      </c>
      <c r="D868" t="s">
        <v>234</v>
      </c>
      <c r="E868">
        <v>239</v>
      </c>
      <c r="F868">
        <v>15</v>
      </c>
      <c r="G868">
        <v>50</v>
      </c>
      <c r="H868">
        <v>35</v>
      </c>
    </row>
    <row r="869" spans="1:8" x14ac:dyDescent="0.25">
      <c r="A869" t="s">
        <v>1533</v>
      </c>
      <c r="B869" t="s">
        <v>165</v>
      </c>
      <c r="C869" t="s">
        <v>100</v>
      </c>
      <c r="D869" t="s">
        <v>235</v>
      </c>
      <c r="E869">
        <v>233</v>
      </c>
      <c r="F869">
        <v>10</v>
      </c>
      <c r="G869">
        <v>55</v>
      </c>
      <c r="H869">
        <v>35</v>
      </c>
    </row>
    <row r="870" spans="1:8" x14ac:dyDescent="0.25">
      <c r="A870" t="s">
        <v>1534</v>
      </c>
      <c r="B870" t="s">
        <v>165</v>
      </c>
      <c r="C870" t="s">
        <v>100</v>
      </c>
      <c r="D870" t="s">
        <v>236</v>
      </c>
      <c r="E870">
        <v>221</v>
      </c>
      <c r="F870">
        <v>12</v>
      </c>
      <c r="G870">
        <v>59</v>
      </c>
      <c r="H870">
        <v>29</v>
      </c>
    </row>
    <row r="871" spans="1:8" x14ac:dyDescent="0.25">
      <c r="A871" t="s">
        <v>1535</v>
      </c>
      <c r="B871" t="s">
        <v>165</v>
      </c>
      <c r="C871" t="s">
        <v>100</v>
      </c>
      <c r="D871" t="s">
        <v>237</v>
      </c>
      <c r="E871">
        <v>241</v>
      </c>
      <c r="F871">
        <v>11</v>
      </c>
      <c r="G871">
        <v>60</v>
      </c>
      <c r="H871">
        <v>29</v>
      </c>
    </row>
    <row r="872" spans="1:8" x14ac:dyDescent="0.25">
      <c r="A872" t="s">
        <v>1536</v>
      </c>
      <c r="B872" t="s">
        <v>165</v>
      </c>
      <c r="C872" t="s">
        <v>100</v>
      </c>
      <c r="D872" t="s">
        <v>238</v>
      </c>
      <c r="E872">
        <v>281</v>
      </c>
      <c r="F872">
        <v>11</v>
      </c>
      <c r="G872">
        <v>62</v>
      </c>
      <c r="H872">
        <v>27</v>
      </c>
    </row>
    <row r="873" spans="1:8" x14ac:dyDescent="0.25">
      <c r="A873" t="s">
        <v>1537</v>
      </c>
      <c r="B873" t="s">
        <v>165</v>
      </c>
      <c r="C873" t="s">
        <v>100</v>
      </c>
      <c r="D873" t="s">
        <v>239</v>
      </c>
      <c r="E873">
        <v>240</v>
      </c>
      <c r="F873">
        <v>13</v>
      </c>
      <c r="G873">
        <v>49</v>
      </c>
      <c r="H873">
        <v>38</v>
      </c>
    </row>
    <row r="874" spans="1:8" x14ac:dyDescent="0.25">
      <c r="A874" t="s">
        <v>1538</v>
      </c>
      <c r="B874" t="s">
        <v>165</v>
      </c>
      <c r="C874" t="s">
        <v>100</v>
      </c>
      <c r="D874" t="s">
        <v>47</v>
      </c>
      <c r="E874">
        <v>266</v>
      </c>
      <c r="F874">
        <v>15</v>
      </c>
      <c r="G874">
        <v>57</v>
      </c>
      <c r="H874">
        <v>28</v>
      </c>
    </row>
    <row r="875" spans="1:8" x14ac:dyDescent="0.25">
      <c r="A875" t="s">
        <v>1539</v>
      </c>
      <c r="B875" t="s">
        <v>165</v>
      </c>
      <c r="C875" t="s">
        <v>101</v>
      </c>
      <c r="D875" t="s">
        <v>232</v>
      </c>
    </row>
    <row r="876" spans="1:8" x14ac:dyDescent="0.25">
      <c r="A876" t="s">
        <v>1540</v>
      </c>
      <c r="B876" t="s">
        <v>165</v>
      </c>
      <c r="C876" t="s">
        <v>101</v>
      </c>
      <c r="D876" t="s">
        <v>233</v>
      </c>
    </row>
    <row r="877" spans="1:8" x14ac:dyDescent="0.25">
      <c r="A877" t="s">
        <v>1541</v>
      </c>
      <c r="B877" t="s">
        <v>165</v>
      </c>
      <c r="C877" t="s">
        <v>101</v>
      </c>
      <c r="D877" t="s">
        <v>234</v>
      </c>
    </row>
    <row r="878" spans="1:8" x14ac:dyDescent="0.25">
      <c r="A878" t="s">
        <v>1542</v>
      </c>
      <c r="B878" t="s">
        <v>165</v>
      </c>
      <c r="C878" t="s">
        <v>101</v>
      </c>
      <c r="D878" t="s">
        <v>235</v>
      </c>
    </row>
    <row r="879" spans="1:8" x14ac:dyDescent="0.25">
      <c r="A879" t="s">
        <v>1543</v>
      </c>
      <c r="B879" t="s">
        <v>165</v>
      </c>
      <c r="C879" t="s">
        <v>101</v>
      </c>
      <c r="D879" t="s">
        <v>236</v>
      </c>
    </row>
    <row r="880" spans="1:8" x14ac:dyDescent="0.25">
      <c r="A880" t="s">
        <v>1544</v>
      </c>
      <c r="B880" t="s">
        <v>165</v>
      </c>
      <c r="C880" t="s">
        <v>101</v>
      </c>
      <c r="D880" t="s">
        <v>237</v>
      </c>
    </row>
    <row r="881" spans="1:8" x14ac:dyDescent="0.25">
      <c r="A881" t="s">
        <v>1545</v>
      </c>
      <c r="B881" t="s">
        <v>165</v>
      </c>
      <c r="C881" t="s">
        <v>101</v>
      </c>
      <c r="D881" t="s">
        <v>238</v>
      </c>
    </row>
    <row r="882" spans="1:8" x14ac:dyDescent="0.25">
      <c r="A882" t="s">
        <v>1546</v>
      </c>
      <c r="B882" t="s">
        <v>165</v>
      </c>
      <c r="C882" t="s">
        <v>101</v>
      </c>
      <c r="D882" t="s">
        <v>239</v>
      </c>
    </row>
    <row r="883" spans="1:8" x14ac:dyDescent="0.25">
      <c r="A883" t="s">
        <v>1547</v>
      </c>
      <c r="B883" t="s">
        <v>165</v>
      </c>
      <c r="C883" t="s">
        <v>101</v>
      </c>
      <c r="D883" t="s">
        <v>47</v>
      </c>
    </row>
    <row r="884" spans="1:8" x14ac:dyDescent="0.25">
      <c r="A884" t="s">
        <v>1548</v>
      </c>
      <c r="B884" t="s">
        <v>165</v>
      </c>
      <c r="C884" t="s">
        <v>102</v>
      </c>
      <c r="D884" t="s">
        <v>232</v>
      </c>
      <c r="E884">
        <v>231</v>
      </c>
      <c r="F884">
        <v>19</v>
      </c>
      <c r="G884">
        <v>41</v>
      </c>
      <c r="H884">
        <v>40</v>
      </c>
    </row>
    <row r="885" spans="1:8" x14ac:dyDescent="0.25">
      <c r="A885" t="s">
        <v>1549</v>
      </c>
      <c r="B885" t="s">
        <v>165</v>
      </c>
      <c r="C885" t="s">
        <v>102</v>
      </c>
      <c r="D885" t="s">
        <v>233</v>
      </c>
      <c r="E885">
        <v>193</v>
      </c>
      <c r="F885">
        <v>22</v>
      </c>
      <c r="G885">
        <v>49</v>
      </c>
      <c r="H885">
        <v>29</v>
      </c>
    </row>
    <row r="886" spans="1:8" x14ac:dyDescent="0.25">
      <c r="A886" t="s">
        <v>1550</v>
      </c>
      <c r="B886" t="s">
        <v>165</v>
      </c>
      <c r="C886" t="s">
        <v>102</v>
      </c>
      <c r="D886" t="s">
        <v>234</v>
      </c>
      <c r="E886">
        <v>207</v>
      </c>
      <c r="F886">
        <v>19</v>
      </c>
      <c r="G886">
        <v>50</v>
      </c>
      <c r="H886">
        <v>31</v>
      </c>
    </row>
    <row r="887" spans="1:8" x14ac:dyDescent="0.25">
      <c r="A887" t="s">
        <v>1551</v>
      </c>
      <c r="B887" t="s">
        <v>165</v>
      </c>
      <c r="C887" t="s">
        <v>102</v>
      </c>
      <c r="D887" t="s">
        <v>235</v>
      </c>
      <c r="E887">
        <v>203</v>
      </c>
      <c r="F887">
        <v>24</v>
      </c>
      <c r="G887">
        <v>44</v>
      </c>
      <c r="H887">
        <v>32</v>
      </c>
    </row>
    <row r="888" spans="1:8" x14ac:dyDescent="0.25">
      <c r="A888" t="s">
        <v>1552</v>
      </c>
      <c r="B888" t="s">
        <v>165</v>
      </c>
      <c r="C888" t="s">
        <v>102</v>
      </c>
      <c r="D888" t="s">
        <v>236</v>
      </c>
      <c r="E888">
        <v>176</v>
      </c>
      <c r="F888">
        <v>25</v>
      </c>
      <c r="G888">
        <v>47</v>
      </c>
      <c r="H888">
        <v>28</v>
      </c>
    </row>
    <row r="889" spans="1:8" x14ac:dyDescent="0.25">
      <c r="A889" t="s">
        <v>1553</v>
      </c>
      <c r="B889" t="s">
        <v>165</v>
      </c>
      <c r="C889" t="s">
        <v>102</v>
      </c>
      <c r="D889" t="s">
        <v>237</v>
      </c>
      <c r="E889">
        <v>209</v>
      </c>
      <c r="F889">
        <v>26</v>
      </c>
      <c r="G889">
        <v>48</v>
      </c>
      <c r="H889">
        <v>26</v>
      </c>
    </row>
    <row r="890" spans="1:8" x14ac:dyDescent="0.25">
      <c r="A890" t="s">
        <v>1554</v>
      </c>
      <c r="B890" t="s">
        <v>165</v>
      </c>
      <c r="C890" t="s">
        <v>102</v>
      </c>
      <c r="D890" t="s">
        <v>238</v>
      </c>
      <c r="E890">
        <v>235</v>
      </c>
      <c r="F890">
        <v>21</v>
      </c>
      <c r="G890">
        <v>51</v>
      </c>
      <c r="H890">
        <v>28</v>
      </c>
    </row>
    <row r="891" spans="1:8" x14ac:dyDescent="0.25">
      <c r="A891" t="s">
        <v>1555</v>
      </c>
      <c r="B891" t="s">
        <v>165</v>
      </c>
      <c r="C891" t="s">
        <v>102</v>
      </c>
      <c r="D891" t="s">
        <v>239</v>
      </c>
      <c r="E891">
        <v>187</v>
      </c>
      <c r="F891">
        <v>30</v>
      </c>
      <c r="G891">
        <v>44</v>
      </c>
      <c r="H891">
        <v>26</v>
      </c>
    </row>
    <row r="892" spans="1:8" x14ac:dyDescent="0.25">
      <c r="A892" t="s">
        <v>1556</v>
      </c>
      <c r="B892" t="s">
        <v>165</v>
      </c>
      <c r="C892" t="s">
        <v>102</v>
      </c>
      <c r="D892" t="s">
        <v>47</v>
      </c>
      <c r="E892">
        <v>211</v>
      </c>
      <c r="F892">
        <v>25</v>
      </c>
      <c r="G892">
        <v>43</v>
      </c>
      <c r="H892">
        <v>32</v>
      </c>
    </row>
    <row r="893" spans="1:8" x14ac:dyDescent="0.25">
      <c r="A893" t="s">
        <v>1557</v>
      </c>
      <c r="B893" t="s">
        <v>165</v>
      </c>
      <c r="C893" t="s">
        <v>31</v>
      </c>
      <c r="D893" t="s">
        <v>232</v>
      </c>
      <c r="E893">
        <v>276</v>
      </c>
      <c r="F893">
        <v>31</v>
      </c>
      <c r="G893">
        <v>56</v>
      </c>
      <c r="H893">
        <v>13</v>
      </c>
    </row>
    <row r="894" spans="1:8" x14ac:dyDescent="0.25">
      <c r="A894" t="s">
        <v>1558</v>
      </c>
      <c r="B894" t="s">
        <v>165</v>
      </c>
      <c r="C894" t="s">
        <v>31</v>
      </c>
      <c r="D894" t="s">
        <v>233</v>
      </c>
      <c r="E894">
        <v>238</v>
      </c>
      <c r="F894">
        <v>36</v>
      </c>
      <c r="G894">
        <v>50</v>
      </c>
      <c r="H894">
        <v>14</v>
      </c>
    </row>
    <row r="895" spans="1:8" x14ac:dyDescent="0.25">
      <c r="A895" t="s">
        <v>1559</v>
      </c>
      <c r="B895" t="s">
        <v>165</v>
      </c>
      <c r="C895" t="s">
        <v>31</v>
      </c>
      <c r="D895" t="s">
        <v>234</v>
      </c>
      <c r="E895">
        <v>241</v>
      </c>
      <c r="F895">
        <v>31</v>
      </c>
      <c r="G895">
        <v>53</v>
      </c>
      <c r="H895">
        <v>16</v>
      </c>
    </row>
    <row r="896" spans="1:8" x14ac:dyDescent="0.25">
      <c r="A896" t="s">
        <v>1560</v>
      </c>
      <c r="B896" t="s">
        <v>165</v>
      </c>
      <c r="C896" t="s">
        <v>31</v>
      </c>
      <c r="D896" t="s">
        <v>235</v>
      </c>
      <c r="E896">
        <v>236</v>
      </c>
      <c r="F896">
        <v>29</v>
      </c>
      <c r="G896">
        <v>55</v>
      </c>
      <c r="H896">
        <v>16</v>
      </c>
    </row>
    <row r="897" spans="1:8" x14ac:dyDescent="0.25">
      <c r="A897" t="s">
        <v>1561</v>
      </c>
      <c r="B897" t="s">
        <v>165</v>
      </c>
      <c r="C897" t="s">
        <v>31</v>
      </c>
      <c r="D897" t="s">
        <v>236</v>
      </c>
      <c r="E897">
        <v>222</v>
      </c>
      <c r="F897">
        <v>29</v>
      </c>
      <c r="G897">
        <v>58</v>
      </c>
      <c r="H897">
        <v>13</v>
      </c>
    </row>
    <row r="898" spans="1:8" x14ac:dyDescent="0.25">
      <c r="A898" t="s">
        <v>1562</v>
      </c>
      <c r="B898" t="s">
        <v>165</v>
      </c>
      <c r="C898" t="s">
        <v>31</v>
      </c>
      <c r="D898" t="s">
        <v>237</v>
      </c>
      <c r="E898">
        <v>244</v>
      </c>
      <c r="F898">
        <v>32</v>
      </c>
      <c r="G898">
        <v>56</v>
      </c>
      <c r="H898">
        <v>12</v>
      </c>
    </row>
    <row r="899" spans="1:8" x14ac:dyDescent="0.25">
      <c r="A899" t="s">
        <v>1563</v>
      </c>
      <c r="B899" t="s">
        <v>165</v>
      </c>
      <c r="C899" t="s">
        <v>31</v>
      </c>
      <c r="D899" t="s">
        <v>238</v>
      </c>
      <c r="E899">
        <v>284</v>
      </c>
      <c r="F899">
        <v>34</v>
      </c>
      <c r="G899">
        <v>52</v>
      </c>
      <c r="H899">
        <v>14</v>
      </c>
    </row>
    <row r="900" spans="1:8" x14ac:dyDescent="0.25">
      <c r="A900" t="s">
        <v>1564</v>
      </c>
      <c r="B900" t="s">
        <v>165</v>
      </c>
      <c r="C900" t="s">
        <v>31</v>
      </c>
      <c r="D900" t="s">
        <v>239</v>
      </c>
      <c r="E900">
        <v>243</v>
      </c>
      <c r="F900">
        <v>29</v>
      </c>
      <c r="G900">
        <v>54</v>
      </c>
      <c r="H900">
        <v>17</v>
      </c>
    </row>
    <row r="901" spans="1:8" x14ac:dyDescent="0.25">
      <c r="A901" t="s">
        <v>1565</v>
      </c>
      <c r="B901" t="s">
        <v>165</v>
      </c>
      <c r="C901" t="s">
        <v>31</v>
      </c>
      <c r="D901" t="s">
        <v>47</v>
      </c>
      <c r="E901">
        <v>269</v>
      </c>
      <c r="F901">
        <v>35</v>
      </c>
      <c r="G901">
        <v>49</v>
      </c>
      <c r="H901">
        <v>16</v>
      </c>
    </row>
    <row r="902" spans="1:8" x14ac:dyDescent="0.25">
      <c r="A902" t="s">
        <v>1566</v>
      </c>
      <c r="B902" t="s">
        <v>167</v>
      </c>
      <c r="C902" t="s">
        <v>103</v>
      </c>
      <c r="D902" t="s">
        <v>232</v>
      </c>
      <c r="E902">
        <v>262</v>
      </c>
      <c r="F902">
        <v>18</v>
      </c>
      <c r="G902">
        <v>67</v>
      </c>
      <c r="H902">
        <v>15</v>
      </c>
    </row>
    <row r="903" spans="1:8" x14ac:dyDescent="0.25">
      <c r="A903" t="s">
        <v>1567</v>
      </c>
      <c r="B903" t="s">
        <v>167</v>
      </c>
      <c r="C903" t="s">
        <v>103</v>
      </c>
      <c r="D903" t="s">
        <v>233</v>
      </c>
      <c r="E903">
        <v>212</v>
      </c>
      <c r="F903">
        <v>23</v>
      </c>
      <c r="G903">
        <v>67</v>
      </c>
      <c r="H903">
        <v>10</v>
      </c>
    </row>
    <row r="904" spans="1:8" x14ac:dyDescent="0.25">
      <c r="A904" t="s">
        <v>1568</v>
      </c>
      <c r="B904" t="s">
        <v>167</v>
      </c>
      <c r="C904" t="s">
        <v>103</v>
      </c>
      <c r="D904" t="s">
        <v>234</v>
      </c>
      <c r="E904">
        <v>217</v>
      </c>
      <c r="F904">
        <v>26</v>
      </c>
      <c r="G904">
        <v>63</v>
      </c>
      <c r="H904">
        <v>11</v>
      </c>
    </row>
    <row r="905" spans="1:8" x14ac:dyDescent="0.25">
      <c r="A905" t="s">
        <v>1569</v>
      </c>
      <c r="B905" t="s">
        <v>167</v>
      </c>
      <c r="C905" t="s">
        <v>103</v>
      </c>
      <c r="D905" t="s">
        <v>235</v>
      </c>
      <c r="E905">
        <v>203</v>
      </c>
      <c r="F905">
        <v>25</v>
      </c>
      <c r="G905">
        <v>65</v>
      </c>
      <c r="H905">
        <v>10</v>
      </c>
    </row>
    <row r="906" spans="1:8" x14ac:dyDescent="0.25">
      <c r="A906" t="s">
        <v>1570</v>
      </c>
      <c r="B906" t="s">
        <v>167</v>
      </c>
      <c r="C906" t="s">
        <v>103</v>
      </c>
      <c r="D906" t="s">
        <v>236</v>
      </c>
      <c r="E906">
        <v>217</v>
      </c>
      <c r="F906">
        <v>26</v>
      </c>
      <c r="G906">
        <v>65</v>
      </c>
      <c r="H906">
        <v>9</v>
      </c>
    </row>
    <row r="907" spans="1:8" x14ac:dyDescent="0.25">
      <c r="A907" t="s">
        <v>1571</v>
      </c>
      <c r="B907" t="s">
        <v>167</v>
      </c>
      <c r="C907" t="s">
        <v>103</v>
      </c>
      <c r="D907" t="s">
        <v>237</v>
      </c>
      <c r="E907">
        <v>217</v>
      </c>
      <c r="F907">
        <v>19</v>
      </c>
      <c r="G907">
        <v>70</v>
      </c>
      <c r="H907">
        <v>11</v>
      </c>
    </row>
    <row r="908" spans="1:8" x14ac:dyDescent="0.25">
      <c r="A908" t="s">
        <v>1572</v>
      </c>
      <c r="B908" t="s">
        <v>167</v>
      </c>
      <c r="C908" t="s">
        <v>103</v>
      </c>
      <c r="D908" t="s">
        <v>238</v>
      </c>
      <c r="E908">
        <v>244</v>
      </c>
      <c r="F908">
        <v>24</v>
      </c>
      <c r="G908">
        <v>62</v>
      </c>
      <c r="H908">
        <v>14</v>
      </c>
    </row>
    <row r="909" spans="1:8" x14ac:dyDescent="0.25">
      <c r="A909" t="s">
        <v>1573</v>
      </c>
      <c r="B909" t="s">
        <v>167</v>
      </c>
      <c r="C909" t="s">
        <v>103</v>
      </c>
      <c r="D909" t="s">
        <v>239</v>
      </c>
      <c r="E909">
        <v>229</v>
      </c>
      <c r="F909">
        <v>18</v>
      </c>
      <c r="G909">
        <v>70</v>
      </c>
      <c r="H909">
        <v>12</v>
      </c>
    </row>
    <row r="910" spans="1:8" x14ac:dyDescent="0.25">
      <c r="A910" t="s">
        <v>1574</v>
      </c>
      <c r="B910" t="s">
        <v>167</v>
      </c>
      <c r="C910" t="s">
        <v>103</v>
      </c>
      <c r="D910" t="s">
        <v>47</v>
      </c>
      <c r="E910">
        <v>282</v>
      </c>
      <c r="F910">
        <v>14</v>
      </c>
      <c r="G910">
        <v>64</v>
      </c>
      <c r="H910">
        <v>22</v>
      </c>
    </row>
    <row r="911" spans="1:8" x14ac:dyDescent="0.25">
      <c r="A911" t="s">
        <v>1575</v>
      </c>
      <c r="B911" t="s">
        <v>167</v>
      </c>
      <c r="C911" t="s">
        <v>100</v>
      </c>
      <c r="D911" t="s">
        <v>232</v>
      </c>
      <c r="E911">
        <v>264</v>
      </c>
      <c r="F911">
        <v>19</v>
      </c>
      <c r="G911">
        <v>50</v>
      </c>
      <c r="H911">
        <v>31</v>
      </c>
    </row>
    <row r="912" spans="1:8" x14ac:dyDescent="0.25">
      <c r="A912" t="s">
        <v>1576</v>
      </c>
      <c r="B912" t="s">
        <v>167</v>
      </c>
      <c r="C912" t="s">
        <v>100</v>
      </c>
      <c r="D912" t="s">
        <v>233</v>
      </c>
      <c r="E912">
        <v>214</v>
      </c>
      <c r="F912">
        <v>12</v>
      </c>
      <c r="G912">
        <v>70</v>
      </c>
      <c r="H912">
        <v>18</v>
      </c>
    </row>
    <row r="913" spans="1:8" x14ac:dyDescent="0.25">
      <c r="A913" t="s">
        <v>1577</v>
      </c>
      <c r="B913" t="s">
        <v>167</v>
      </c>
      <c r="C913" t="s">
        <v>100</v>
      </c>
      <c r="D913" t="s">
        <v>234</v>
      </c>
      <c r="E913">
        <v>222</v>
      </c>
      <c r="F913">
        <v>15</v>
      </c>
      <c r="G913">
        <v>66</v>
      </c>
      <c r="H913">
        <v>19</v>
      </c>
    </row>
    <row r="914" spans="1:8" x14ac:dyDescent="0.25">
      <c r="A914" t="s">
        <v>1578</v>
      </c>
      <c r="B914" t="s">
        <v>167</v>
      </c>
      <c r="C914" t="s">
        <v>100</v>
      </c>
      <c r="D914" t="s">
        <v>235</v>
      </c>
      <c r="E914">
        <v>204</v>
      </c>
      <c r="F914">
        <v>10</v>
      </c>
      <c r="G914">
        <v>67</v>
      </c>
      <c r="H914">
        <v>23</v>
      </c>
    </row>
    <row r="915" spans="1:8" x14ac:dyDescent="0.25">
      <c r="A915" t="s">
        <v>1579</v>
      </c>
      <c r="B915" t="s">
        <v>167</v>
      </c>
      <c r="C915" t="s">
        <v>100</v>
      </c>
      <c r="D915" t="s">
        <v>236</v>
      </c>
      <c r="E915">
        <v>222</v>
      </c>
      <c r="F915">
        <v>18</v>
      </c>
      <c r="G915">
        <v>63</v>
      </c>
      <c r="H915">
        <v>19</v>
      </c>
    </row>
    <row r="916" spans="1:8" x14ac:dyDescent="0.25">
      <c r="A916" t="s">
        <v>1580</v>
      </c>
      <c r="B916" t="s">
        <v>167</v>
      </c>
      <c r="C916" t="s">
        <v>100</v>
      </c>
      <c r="D916" t="s">
        <v>237</v>
      </c>
      <c r="E916">
        <v>226</v>
      </c>
      <c r="F916">
        <v>17</v>
      </c>
      <c r="G916">
        <v>65</v>
      </c>
      <c r="H916">
        <v>18</v>
      </c>
    </row>
    <row r="917" spans="1:8" x14ac:dyDescent="0.25">
      <c r="A917" t="s">
        <v>1581</v>
      </c>
      <c r="B917" t="s">
        <v>167</v>
      </c>
      <c r="C917" t="s">
        <v>100</v>
      </c>
      <c r="D917" t="s">
        <v>238</v>
      </c>
      <c r="E917">
        <v>256</v>
      </c>
      <c r="F917">
        <v>19</v>
      </c>
      <c r="G917">
        <v>62</v>
      </c>
      <c r="H917">
        <v>19</v>
      </c>
    </row>
    <row r="918" spans="1:8" x14ac:dyDescent="0.25">
      <c r="A918" t="s">
        <v>1582</v>
      </c>
      <c r="B918" t="s">
        <v>167</v>
      </c>
      <c r="C918" t="s">
        <v>100</v>
      </c>
      <c r="D918" t="s">
        <v>239</v>
      </c>
      <c r="E918">
        <v>235</v>
      </c>
      <c r="F918">
        <v>15</v>
      </c>
      <c r="G918">
        <v>53</v>
      </c>
      <c r="H918">
        <v>32</v>
      </c>
    </row>
    <row r="919" spans="1:8" x14ac:dyDescent="0.25">
      <c r="A919" t="s">
        <v>1583</v>
      </c>
      <c r="B919" t="s">
        <v>167</v>
      </c>
      <c r="C919" t="s">
        <v>100</v>
      </c>
      <c r="D919" t="s">
        <v>47</v>
      </c>
      <c r="E919">
        <v>291</v>
      </c>
      <c r="F919">
        <v>12</v>
      </c>
      <c r="G919">
        <v>49</v>
      </c>
      <c r="H919">
        <v>39</v>
      </c>
    </row>
    <row r="920" spans="1:8" x14ac:dyDescent="0.25">
      <c r="A920" t="s">
        <v>1584</v>
      </c>
      <c r="B920" t="s">
        <v>167</v>
      </c>
      <c r="C920" t="s">
        <v>101</v>
      </c>
      <c r="D920" t="s">
        <v>232</v>
      </c>
    </row>
    <row r="921" spans="1:8" x14ac:dyDescent="0.25">
      <c r="A921" t="s">
        <v>1585</v>
      </c>
      <c r="B921" t="s">
        <v>167</v>
      </c>
      <c r="C921" t="s">
        <v>101</v>
      </c>
      <c r="D921" t="s">
        <v>233</v>
      </c>
    </row>
    <row r="922" spans="1:8" x14ac:dyDescent="0.25">
      <c r="A922" t="s">
        <v>1586</v>
      </c>
      <c r="B922" t="s">
        <v>167</v>
      </c>
      <c r="C922" t="s">
        <v>101</v>
      </c>
      <c r="D922" t="s">
        <v>234</v>
      </c>
    </row>
    <row r="923" spans="1:8" x14ac:dyDescent="0.25">
      <c r="A923" t="s">
        <v>1587</v>
      </c>
      <c r="B923" t="s">
        <v>167</v>
      </c>
      <c r="C923" t="s">
        <v>101</v>
      </c>
      <c r="D923" t="s">
        <v>235</v>
      </c>
    </row>
    <row r="924" spans="1:8" x14ac:dyDescent="0.25">
      <c r="A924" t="s">
        <v>1588</v>
      </c>
      <c r="B924" t="s">
        <v>167</v>
      </c>
      <c r="C924" t="s">
        <v>101</v>
      </c>
      <c r="D924" t="s">
        <v>236</v>
      </c>
    </row>
    <row r="925" spans="1:8" x14ac:dyDescent="0.25">
      <c r="A925" t="s">
        <v>1589</v>
      </c>
      <c r="B925" t="s">
        <v>167</v>
      </c>
      <c r="C925" t="s">
        <v>101</v>
      </c>
      <c r="D925" t="s">
        <v>237</v>
      </c>
    </row>
    <row r="926" spans="1:8" x14ac:dyDescent="0.25">
      <c r="A926" t="s">
        <v>1590</v>
      </c>
      <c r="B926" t="s">
        <v>167</v>
      </c>
      <c r="C926" t="s">
        <v>101</v>
      </c>
      <c r="D926" t="s">
        <v>238</v>
      </c>
    </row>
    <row r="927" spans="1:8" x14ac:dyDescent="0.25">
      <c r="A927" t="s">
        <v>1591</v>
      </c>
      <c r="B927" t="s">
        <v>167</v>
      </c>
      <c r="C927" t="s">
        <v>101</v>
      </c>
      <c r="D927" t="s">
        <v>239</v>
      </c>
    </row>
    <row r="928" spans="1:8" x14ac:dyDescent="0.25">
      <c r="A928" t="s">
        <v>1592</v>
      </c>
      <c r="B928" t="s">
        <v>167</v>
      </c>
      <c r="C928" t="s">
        <v>101</v>
      </c>
      <c r="D928" t="s">
        <v>47</v>
      </c>
    </row>
    <row r="929" spans="1:8" x14ac:dyDescent="0.25">
      <c r="A929" t="s">
        <v>1593</v>
      </c>
      <c r="B929" t="s">
        <v>167</v>
      </c>
      <c r="C929" t="s">
        <v>102</v>
      </c>
      <c r="D929" t="s">
        <v>232</v>
      </c>
      <c r="E929">
        <v>241</v>
      </c>
      <c r="F929">
        <v>35</v>
      </c>
      <c r="G929">
        <v>40</v>
      </c>
      <c r="H929">
        <v>25</v>
      </c>
    </row>
    <row r="930" spans="1:8" x14ac:dyDescent="0.25">
      <c r="A930" t="s">
        <v>1594</v>
      </c>
      <c r="B930" t="s">
        <v>167</v>
      </c>
      <c r="C930" t="s">
        <v>102</v>
      </c>
      <c r="D930" t="s">
        <v>233</v>
      </c>
      <c r="E930">
        <v>193</v>
      </c>
      <c r="F930">
        <v>35</v>
      </c>
      <c r="G930">
        <v>47</v>
      </c>
      <c r="H930">
        <v>18</v>
      </c>
    </row>
    <row r="931" spans="1:8" x14ac:dyDescent="0.25">
      <c r="A931" t="s">
        <v>1595</v>
      </c>
      <c r="B931" t="s">
        <v>167</v>
      </c>
      <c r="C931" t="s">
        <v>102</v>
      </c>
      <c r="D931" t="s">
        <v>234</v>
      </c>
      <c r="E931">
        <v>202</v>
      </c>
      <c r="F931">
        <v>35</v>
      </c>
      <c r="G931">
        <v>52</v>
      </c>
      <c r="H931">
        <v>13</v>
      </c>
    </row>
    <row r="932" spans="1:8" x14ac:dyDescent="0.25">
      <c r="A932" t="s">
        <v>1596</v>
      </c>
      <c r="B932" t="s">
        <v>167</v>
      </c>
      <c r="C932" t="s">
        <v>102</v>
      </c>
      <c r="D932" t="s">
        <v>235</v>
      </c>
      <c r="E932">
        <v>180</v>
      </c>
      <c r="F932">
        <v>43</v>
      </c>
      <c r="G932">
        <v>43</v>
      </c>
      <c r="H932">
        <v>14</v>
      </c>
    </row>
    <row r="933" spans="1:8" x14ac:dyDescent="0.25">
      <c r="A933" t="s">
        <v>1597</v>
      </c>
      <c r="B933" t="s">
        <v>167</v>
      </c>
      <c r="C933" t="s">
        <v>102</v>
      </c>
      <c r="D933" t="s">
        <v>236</v>
      </c>
      <c r="E933">
        <v>191</v>
      </c>
      <c r="F933">
        <v>35</v>
      </c>
      <c r="G933">
        <v>53</v>
      </c>
      <c r="H933">
        <v>12</v>
      </c>
    </row>
    <row r="934" spans="1:8" x14ac:dyDescent="0.25">
      <c r="A934" t="s">
        <v>1598</v>
      </c>
      <c r="B934" t="s">
        <v>167</v>
      </c>
      <c r="C934" t="s">
        <v>102</v>
      </c>
      <c r="D934" t="s">
        <v>237</v>
      </c>
      <c r="E934">
        <v>205</v>
      </c>
      <c r="F934">
        <v>40</v>
      </c>
      <c r="G934">
        <v>41</v>
      </c>
      <c r="H934">
        <v>19</v>
      </c>
    </row>
    <row r="935" spans="1:8" x14ac:dyDescent="0.25">
      <c r="A935" t="s">
        <v>1599</v>
      </c>
      <c r="B935" t="s">
        <v>167</v>
      </c>
      <c r="C935" t="s">
        <v>102</v>
      </c>
      <c r="D935" t="s">
        <v>238</v>
      </c>
      <c r="E935">
        <v>222</v>
      </c>
      <c r="F935">
        <v>34</v>
      </c>
      <c r="G935">
        <v>44</v>
      </c>
      <c r="H935">
        <v>22</v>
      </c>
    </row>
    <row r="936" spans="1:8" x14ac:dyDescent="0.25">
      <c r="A936" t="s">
        <v>1600</v>
      </c>
      <c r="B936" t="s">
        <v>167</v>
      </c>
      <c r="C936" t="s">
        <v>102</v>
      </c>
      <c r="D936" t="s">
        <v>239</v>
      </c>
      <c r="E936">
        <v>202</v>
      </c>
      <c r="F936">
        <v>38</v>
      </c>
      <c r="G936">
        <v>42</v>
      </c>
      <c r="H936">
        <v>20</v>
      </c>
    </row>
    <row r="937" spans="1:8" x14ac:dyDescent="0.25">
      <c r="A937" t="s">
        <v>1601</v>
      </c>
      <c r="B937" t="s">
        <v>167</v>
      </c>
      <c r="C937" t="s">
        <v>102</v>
      </c>
      <c r="D937" t="s">
        <v>47</v>
      </c>
      <c r="E937">
        <v>256</v>
      </c>
      <c r="F937">
        <v>37</v>
      </c>
      <c r="G937">
        <v>38</v>
      </c>
      <c r="H937">
        <v>25</v>
      </c>
    </row>
    <row r="938" spans="1:8" x14ac:dyDescent="0.25">
      <c r="A938" t="s">
        <v>1602</v>
      </c>
      <c r="B938" t="s">
        <v>167</v>
      </c>
      <c r="C938" t="s">
        <v>31</v>
      </c>
      <c r="D938" t="s">
        <v>232</v>
      </c>
      <c r="E938">
        <v>268</v>
      </c>
      <c r="F938">
        <v>19</v>
      </c>
      <c r="G938">
        <v>54</v>
      </c>
      <c r="H938">
        <v>27</v>
      </c>
    </row>
    <row r="939" spans="1:8" x14ac:dyDescent="0.25">
      <c r="A939" t="s">
        <v>1603</v>
      </c>
      <c r="B939" t="s">
        <v>167</v>
      </c>
      <c r="C939" t="s">
        <v>31</v>
      </c>
      <c r="D939" t="s">
        <v>233</v>
      </c>
      <c r="E939">
        <v>216</v>
      </c>
      <c r="F939">
        <v>28</v>
      </c>
      <c r="G939">
        <v>53</v>
      </c>
      <c r="H939">
        <v>19</v>
      </c>
    </row>
    <row r="940" spans="1:8" x14ac:dyDescent="0.25">
      <c r="A940" t="s">
        <v>1604</v>
      </c>
      <c r="B940" t="s">
        <v>167</v>
      </c>
      <c r="C940" t="s">
        <v>31</v>
      </c>
      <c r="D940" t="s">
        <v>234</v>
      </c>
      <c r="E940">
        <v>224</v>
      </c>
      <c r="F940">
        <v>36</v>
      </c>
      <c r="G940">
        <v>47</v>
      </c>
      <c r="H940">
        <v>17</v>
      </c>
    </row>
    <row r="941" spans="1:8" x14ac:dyDescent="0.25">
      <c r="A941" t="s">
        <v>1605</v>
      </c>
      <c r="B941" t="s">
        <v>167</v>
      </c>
      <c r="C941" t="s">
        <v>31</v>
      </c>
      <c r="D941" t="s">
        <v>235</v>
      </c>
      <c r="E941">
        <v>204</v>
      </c>
      <c r="F941">
        <v>30</v>
      </c>
      <c r="G941">
        <v>54</v>
      </c>
      <c r="H941">
        <v>16</v>
      </c>
    </row>
    <row r="942" spans="1:8" x14ac:dyDescent="0.25">
      <c r="A942" t="s">
        <v>1606</v>
      </c>
      <c r="B942" t="s">
        <v>167</v>
      </c>
      <c r="C942" t="s">
        <v>31</v>
      </c>
      <c r="D942" t="s">
        <v>236</v>
      </c>
      <c r="E942">
        <v>226</v>
      </c>
      <c r="F942">
        <v>29</v>
      </c>
      <c r="G942">
        <v>58</v>
      </c>
      <c r="H942">
        <v>13</v>
      </c>
    </row>
    <row r="943" spans="1:8" x14ac:dyDescent="0.25">
      <c r="A943" t="s">
        <v>1607</v>
      </c>
      <c r="B943" t="s">
        <v>167</v>
      </c>
      <c r="C943" t="s">
        <v>31</v>
      </c>
      <c r="D943" t="s">
        <v>237</v>
      </c>
      <c r="E943">
        <v>232</v>
      </c>
      <c r="F943">
        <v>31</v>
      </c>
      <c r="G943">
        <v>54</v>
      </c>
      <c r="H943">
        <v>15</v>
      </c>
    </row>
    <row r="944" spans="1:8" x14ac:dyDescent="0.25">
      <c r="A944" t="s">
        <v>1608</v>
      </c>
      <c r="B944" t="s">
        <v>167</v>
      </c>
      <c r="C944" t="s">
        <v>31</v>
      </c>
      <c r="D944" t="s">
        <v>238</v>
      </c>
      <c r="E944">
        <v>258</v>
      </c>
      <c r="F944">
        <v>32</v>
      </c>
      <c r="G944">
        <v>55</v>
      </c>
      <c r="H944">
        <v>13</v>
      </c>
    </row>
    <row r="945" spans="1:8" x14ac:dyDescent="0.25">
      <c r="A945" t="s">
        <v>1609</v>
      </c>
      <c r="B945" t="s">
        <v>167</v>
      </c>
      <c r="C945" t="s">
        <v>31</v>
      </c>
      <c r="D945" t="s">
        <v>239</v>
      </c>
      <c r="E945">
        <v>235</v>
      </c>
      <c r="F945">
        <v>29</v>
      </c>
      <c r="G945">
        <v>55</v>
      </c>
      <c r="H945">
        <v>16</v>
      </c>
    </row>
    <row r="946" spans="1:8" x14ac:dyDescent="0.25">
      <c r="A946" t="s">
        <v>1610</v>
      </c>
      <c r="B946" t="s">
        <v>167</v>
      </c>
      <c r="C946" t="s">
        <v>31</v>
      </c>
      <c r="D946" t="s">
        <v>47</v>
      </c>
      <c r="E946">
        <v>296</v>
      </c>
      <c r="F946">
        <v>26</v>
      </c>
      <c r="G946">
        <v>55</v>
      </c>
      <c r="H946">
        <v>19</v>
      </c>
    </row>
    <row r="947" spans="1:8" x14ac:dyDescent="0.25">
      <c r="A947" t="s">
        <v>1611</v>
      </c>
      <c r="B947" t="s">
        <v>113</v>
      </c>
      <c r="C947" t="s">
        <v>103</v>
      </c>
      <c r="D947" t="s">
        <v>232</v>
      </c>
      <c r="E947">
        <v>129</v>
      </c>
      <c r="F947">
        <v>12</v>
      </c>
      <c r="G947">
        <v>64</v>
      </c>
      <c r="H947">
        <v>24</v>
      </c>
    </row>
    <row r="948" spans="1:8" x14ac:dyDescent="0.25">
      <c r="A948" t="s">
        <v>1612</v>
      </c>
      <c r="B948" t="s">
        <v>113</v>
      </c>
      <c r="C948" t="s">
        <v>103</v>
      </c>
      <c r="D948" t="s">
        <v>233</v>
      </c>
      <c r="E948">
        <v>110</v>
      </c>
      <c r="F948">
        <v>10</v>
      </c>
      <c r="G948">
        <v>78</v>
      </c>
      <c r="H948">
        <v>12</v>
      </c>
    </row>
    <row r="949" spans="1:8" x14ac:dyDescent="0.25">
      <c r="A949" t="s">
        <v>1613</v>
      </c>
      <c r="B949" t="s">
        <v>113</v>
      </c>
      <c r="C949" t="s">
        <v>103</v>
      </c>
      <c r="D949" t="s">
        <v>234</v>
      </c>
      <c r="E949">
        <v>110</v>
      </c>
      <c r="F949">
        <v>9</v>
      </c>
      <c r="G949">
        <v>70</v>
      </c>
      <c r="H949">
        <v>21</v>
      </c>
    </row>
    <row r="950" spans="1:8" x14ac:dyDescent="0.25">
      <c r="A950" t="s">
        <v>1614</v>
      </c>
      <c r="B950" t="s">
        <v>113</v>
      </c>
      <c r="C950" t="s">
        <v>103</v>
      </c>
      <c r="D950" t="s">
        <v>235</v>
      </c>
      <c r="E950">
        <v>126</v>
      </c>
      <c r="F950">
        <v>5</v>
      </c>
      <c r="G950">
        <v>74</v>
      </c>
      <c r="H950">
        <v>21</v>
      </c>
    </row>
    <row r="951" spans="1:8" x14ac:dyDescent="0.25">
      <c r="A951" t="s">
        <v>1615</v>
      </c>
      <c r="B951" t="s">
        <v>113</v>
      </c>
      <c r="C951" t="s">
        <v>103</v>
      </c>
      <c r="D951" t="s">
        <v>236</v>
      </c>
      <c r="E951">
        <v>99</v>
      </c>
      <c r="F951">
        <v>9</v>
      </c>
      <c r="G951">
        <v>60</v>
      </c>
      <c r="H951">
        <v>31</v>
      </c>
    </row>
    <row r="952" spans="1:8" x14ac:dyDescent="0.25">
      <c r="A952" t="s">
        <v>1616</v>
      </c>
      <c r="B952" t="s">
        <v>113</v>
      </c>
      <c r="C952" t="s">
        <v>103</v>
      </c>
      <c r="D952" t="s">
        <v>237</v>
      </c>
      <c r="E952">
        <v>112</v>
      </c>
      <c r="F952">
        <v>8</v>
      </c>
      <c r="G952">
        <v>60</v>
      </c>
      <c r="H952">
        <v>32</v>
      </c>
    </row>
    <row r="953" spans="1:8" x14ac:dyDescent="0.25">
      <c r="A953" t="s">
        <v>1617</v>
      </c>
      <c r="B953" t="s">
        <v>113</v>
      </c>
      <c r="C953" t="s">
        <v>103</v>
      </c>
      <c r="D953" t="s">
        <v>238</v>
      </c>
      <c r="E953">
        <v>111</v>
      </c>
      <c r="F953">
        <v>6</v>
      </c>
      <c r="G953">
        <v>68</v>
      </c>
      <c r="H953">
        <v>26</v>
      </c>
    </row>
    <row r="954" spans="1:8" x14ac:dyDescent="0.25">
      <c r="A954" t="s">
        <v>1618</v>
      </c>
      <c r="B954" t="s">
        <v>113</v>
      </c>
      <c r="C954" t="s">
        <v>103</v>
      </c>
      <c r="D954" t="s">
        <v>239</v>
      </c>
      <c r="E954">
        <v>103</v>
      </c>
      <c r="F954">
        <v>5</v>
      </c>
      <c r="G954">
        <v>70</v>
      </c>
      <c r="H954">
        <v>25</v>
      </c>
    </row>
    <row r="955" spans="1:8" x14ac:dyDescent="0.25">
      <c r="A955" t="s">
        <v>1619</v>
      </c>
      <c r="B955" t="s">
        <v>113</v>
      </c>
      <c r="C955" t="s">
        <v>103</v>
      </c>
      <c r="D955" t="s">
        <v>47</v>
      </c>
      <c r="E955">
        <v>106</v>
      </c>
      <c r="F955">
        <v>11</v>
      </c>
      <c r="G955">
        <v>59</v>
      </c>
      <c r="H955">
        <v>30</v>
      </c>
    </row>
    <row r="956" spans="1:8" x14ac:dyDescent="0.25">
      <c r="A956" t="s">
        <v>1620</v>
      </c>
      <c r="B956" t="s">
        <v>113</v>
      </c>
      <c r="C956" t="s">
        <v>100</v>
      </c>
      <c r="D956" t="s">
        <v>232</v>
      </c>
      <c r="E956">
        <v>131</v>
      </c>
      <c r="F956">
        <v>13</v>
      </c>
      <c r="G956">
        <v>54</v>
      </c>
      <c r="H956">
        <v>33</v>
      </c>
    </row>
    <row r="957" spans="1:8" x14ac:dyDescent="0.25">
      <c r="A957" t="s">
        <v>1621</v>
      </c>
      <c r="B957" t="s">
        <v>113</v>
      </c>
      <c r="C957" t="s">
        <v>100</v>
      </c>
      <c r="D957" t="s">
        <v>233</v>
      </c>
      <c r="E957">
        <v>115</v>
      </c>
      <c r="F957">
        <v>18</v>
      </c>
      <c r="G957">
        <v>62</v>
      </c>
      <c r="H957">
        <v>20</v>
      </c>
    </row>
    <row r="958" spans="1:8" x14ac:dyDescent="0.25">
      <c r="A958" t="s">
        <v>1622</v>
      </c>
      <c r="B958" t="s">
        <v>113</v>
      </c>
      <c r="C958" t="s">
        <v>100</v>
      </c>
      <c r="D958" t="s">
        <v>234</v>
      </c>
      <c r="E958">
        <v>113</v>
      </c>
      <c r="F958">
        <v>9</v>
      </c>
      <c r="G958">
        <v>59</v>
      </c>
      <c r="H958">
        <v>32</v>
      </c>
    </row>
    <row r="959" spans="1:8" x14ac:dyDescent="0.25">
      <c r="A959" t="s">
        <v>1623</v>
      </c>
      <c r="B959" t="s">
        <v>113</v>
      </c>
      <c r="C959" t="s">
        <v>100</v>
      </c>
      <c r="D959" t="s">
        <v>235</v>
      </c>
      <c r="E959">
        <v>127</v>
      </c>
      <c r="F959">
        <v>10</v>
      </c>
      <c r="G959">
        <v>64</v>
      </c>
      <c r="H959">
        <v>26</v>
      </c>
    </row>
    <row r="960" spans="1:8" x14ac:dyDescent="0.25">
      <c r="A960" t="s">
        <v>1624</v>
      </c>
      <c r="B960" t="s">
        <v>113</v>
      </c>
      <c r="C960" t="s">
        <v>100</v>
      </c>
      <c r="D960" t="s">
        <v>236</v>
      </c>
      <c r="E960">
        <v>102</v>
      </c>
      <c r="F960">
        <v>16</v>
      </c>
      <c r="G960">
        <v>51</v>
      </c>
      <c r="H960">
        <v>33</v>
      </c>
    </row>
    <row r="961" spans="1:8" x14ac:dyDescent="0.25">
      <c r="A961" t="s">
        <v>1625</v>
      </c>
      <c r="B961" t="s">
        <v>113</v>
      </c>
      <c r="C961" t="s">
        <v>100</v>
      </c>
      <c r="D961" t="s">
        <v>237</v>
      </c>
      <c r="E961">
        <v>114</v>
      </c>
      <c r="F961">
        <v>13</v>
      </c>
      <c r="G961">
        <v>62</v>
      </c>
      <c r="H961">
        <v>25</v>
      </c>
    </row>
    <row r="962" spans="1:8" x14ac:dyDescent="0.25">
      <c r="A962" t="s">
        <v>1626</v>
      </c>
      <c r="B962" t="s">
        <v>113</v>
      </c>
      <c r="C962" t="s">
        <v>100</v>
      </c>
      <c r="D962" t="s">
        <v>238</v>
      </c>
      <c r="E962">
        <v>113</v>
      </c>
      <c r="F962">
        <v>13</v>
      </c>
      <c r="G962">
        <v>58</v>
      </c>
      <c r="H962">
        <v>29</v>
      </c>
    </row>
    <row r="963" spans="1:8" x14ac:dyDescent="0.25">
      <c r="A963" t="s">
        <v>1627</v>
      </c>
      <c r="B963" t="s">
        <v>113</v>
      </c>
      <c r="C963" t="s">
        <v>100</v>
      </c>
      <c r="D963" t="s">
        <v>239</v>
      </c>
      <c r="E963">
        <v>106</v>
      </c>
      <c r="F963">
        <v>11</v>
      </c>
      <c r="G963">
        <v>57</v>
      </c>
      <c r="H963">
        <v>32</v>
      </c>
    </row>
    <row r="964" spans="1:8" x14ac:dyDescent="0.25">
      <c r="A964" t="s">
        <v>1628</v>
      </c>
      <c r="B964" t="s">
        <v>113</v>
      </c>
      <c r="C964" t="s">
        <v>100</v>
      </c>
      <c r="D964" t="s">
        <v>47</v>
      </c>
      <c r="E964">
        <v>108</v>
      </c>
      <c r="F964">
        <v>10</v>
      </c>
      <c r="G964">
        <v>60</v>
      </c>
      <c r="H964">
        <v>30</v>
      </c>
    </row>
    <row r="965" spans="1:8" x14ac:dyDescent="0.25">
      <c r="A965" t="s">
        <v>1629</v>
      </c>
      <c r="B965" t="s">
        <v>113</v>
      </c>
      <c r="C965" t="s">
        <v>101</v>
      </c>
      <c r="D965" t="s">
        <v>232</v>
      </c>
      <c r="E965">
        <v>73</v>
      </c>
      <c r="F965">
        <v>21</v>
      </c>
      <c r="G965">
        <v>53</v>
      </c>
      <c r="H965">
        <v>26</v>
      </c>
    </row>
    <row r="966" spans="1:8" x14ac:dyDescent="0.25">
      <c r="A966" t="s">
        <v>1630</v>
      </c>
      <c r="B966" t="s">
        <v>113</v>
      </c>
      <c r="C966" t="s">
        <v>101</v>
      </c>
      <c r="D966" t="s">
        <v>233</v>
      </c>
      <c r="E966">
        <v>61</v>
      </c>
      <c r="F966">
        <v>36</v>
      </c>
      <c r="G966">
        <v>47</v>
      </c>
      <c r="H966">
        <v>17</v>
      </c>
    </row>
    <row r="967" spans="1:8" x14ac:dyDescent="0.25">
      <c r="A967" t="s">
        <v>1631</v>
      </c>
      <c r="B967" t="s">
        <v>113</v>
      </c>
      <c r="C967" t="s">
        <v>101</v>
      </c>
      <c r="D967" t="s">
        <v>234</v>
      </c>
      <c r="E967">
        <v>56</v>
      </c>
      <c r="F967">
        <v>15</v>
      </c>
      <c r="G967">
        <v>64</v>
      </c>
      <c r="H967">
        <v>21</v>
      </c>
    </row>
    <row r="968" spans="1:8" x14ac:dyDescent="0.25">
      <c r="A968" t="s">
        <v>1632</v>
      </c>
      <c r="B968" t="s">
        <v>113</v>
      </c>
      <c r="C968" t="s">
        <v>101</v>
      </c>
      <c r="D968" t="s">
        <v>235</v>
      </c>
      <c r="E968">
        <v>66</v>
      </c>
      <c r="F968">
        <v>28</v>
      </c>
      <c r="G968">
        <v>58</v>
      </c>
      <c r="H968">
        <v>14</v>
      </c>
    </row>
    <row r="969" spans="1:8" x14ac:dyDescent="0.25">
      <c r="A969" t="s">
        <v>1633</v>
      </c>
      <c r="B969" t="s">
        <v>113</v>
      </c>
      <c r="C969" t="s">
        <v>101</v>
      </c>
      <c r="D969" t="s">
        <v>236</v>
      </c>
      <c r="E969">
        <v>50</v>
      </c>
      <c r="F969">
        <v>20</v>
      </c>
      <c r="G969">
        <v>58</v>
      </c>
      <c r="H969">
        <v>22</v>
      </c>
    </row>
    <row r="970" spans="1:8" x14ac:dyDescent="0.25">
      <c r="A970" t="s">
        <v>1634</v>
      </c>
      <c r="B970" t="s">
        <v>113</v>
      </c>
      <c r="C970" t="s">
        <v>101</v>
      </c>
      <c r="D970" t="s">
        <v>237</v>
      </c>
      <c r="E970">
        <v>57</v>
      </c>
      <c r="F970">
        <v>16</v>
      </c>
      <c r="G970">
        <v>59</v>
      </c>
      <c r="H970">
        <v>25</v>
      </c>
    </row>
    <row r="971" spans="1:8" x14ac:dyDescent="0.25">
      <c r="A971" t="s">
        <v>1635</v>
      </c>
      <c r="B971" t="s">
        <v>113</v>
      </c>
      <c r="C971" t="s">
        <v>101</v>
      </c>
      <c r="D971" t="s">
        <v>238</v>
      </c>
      <c r="E971">
        <v>57</v>
      </c>
      <c r="F971">
        <v>24</v>
      </c>
      <c r="G971">
        <v>54</v>
      </c>
      <c r="H971">
        <v>22</v>
      </c>
    </row>
    <row r="972" spans="1:8" x14ac:dyDescent="0.25">
      <c r="A972" t="s">
        <v>1636</v>
      </c>
      <c r="B972" t="s">
        <v>113</v>
      </c>
      <c r="C972" t="s">
        <v>101</v>
      </c>
      <c r="D972" t="s">
        <v>239</v>
      </c>
      <c r="E972">
        <v>56</v>
      </c>
      <c r="F972">
        <v>11</v>
      </c>
      <c r="G972">
        <v>60</v>
      </c>
      <c r="H972">
        <v>29</v>
      </c>
    </row>
    <row r="973" spans="1:8" x14ac:dyDescent="0.25">
      <c r="A973" t="s">
        <v>1637</v>
      </c>
      <c r="B973" t="s">
        <v>113</v>
      </c>
      <c r="C973" t="s">
        <v>101</v>
      </c>
      <c r="D973" t="s">
        <v>47</v>
      </c>
      <c r="E973">
        <v>54</v>
      </c>
      <c r="F973">
        <v>26</v>
      </c>
      <c r="G973">
        <v>47</v>
      </c>
      <c r="H973">
        <v>27</v>
      </c>
    </row>
    <row r="974" spans="1:8" x14ac:dyDescent="0.25">
      <c r="A974" t="s">
        <v>1638</v>
      </c>
      <c r="B974" t="s">
        <v>113</v>
      </c>
      <c r="C974" t="s">
        <v>102</v>
      </c>
      <c r="D974" t="s">
        <v>232</v>
      </c>
      <c r="E974">
        <v>123</v>
      </c>
      <c r="F974">
        <v>27</v>
      </c>
      <c r="G974">
        <v>39</v>
      </c>
      <c r="H974">
        <v>34</v>
      </c>
    </row>
    <row r="975" spans="1:8" x14ac:dyDescent="0.25">
      <c r="A975" t="s">
        <v>1639</v>
      </c>
      <c r="B975" t="s">
        <v>113</v>
      </c>
      <c r="C975" t="s">
        <v>102</v>
      </c>
      <c r="D975" t="s">
        <v>233</v>
      </c>
      <c r="E975">
        <v>101</v>
      </c>
      <c r="F975">
        <v>23</v>
      </c>
      <c r="G975">
        <v>44</v>
      </c>
      <c r="H975">
        <v>33</v>
      </c>
    </row>
    <row r="976" spans="1:8" x14ac:dyDescent="0.25">
      <c r="A976" t="s">
        <v>1640</v>
      </c>
      <c r="B976" t="s">
        <v>113</v>
      </c>
      <c r="C976" t="s">
        <v>102</v>
      </c>
      <c r="D976" t="s">
        <v>234</v>
      </c>
      <c r="E976">
        <v>104</v>
      </c>
      <c r="F976">
        <v>27</v>
      </c>
      <c r="G976">
        <v>45</v>
      </c>
      <c r="H976">
        <v>28</v>
      </c>
    </row>
    <row r="977" spans="1:8" x14ac:dyDescent="0.25">
      <c r="A977" t="s">
        <v>1641</v>
      </c>
      <c r="B977" t="s">
        <v>113</v>
      </c>
      <c r="C977" t="s">
        <v>102</v>
      </c>
      <c r="D977" t="s">
        <v>235</v>
      </c>
      <c r="E977">
        <v>115</v>
      </c>
      <c r="F977">
        <v>25</v>
      </c>
      <c r="G977">
        <v>45</v>
      </c>
      <c r="H977">
        <v>30</v>
      </c>
    </row>
    <row r="978" spans="1:8" x14ac:dyDescent="0.25">
      <c r="A978" t="s">
        <v>1642</v>
      </c>
      <c r="B978" t="s">
        <v>113</v>
      </c>
      <c r="C978" t="s">
        <v>102</v>
      </c>
      <c r="D978" t="s">
        <v>236</v>
      </c>
      <c r="E978">
        <v>93</v>
      </c>
      <c r="F978">
        <v>19</v>
      </c>
      <c r="G978">
        <v>38</v>
      </c>
      <c r="H978">
        <v>43</v>
      </c>
    </row>
    <row r="979" spans="1:8" x14ac:dyDescent="0.25">
      <c r="A979" t="s">
        <v>1643</v>
      </c>
      <c r="B979" t="s">
        <v>113</v>
      </c>
      <c r="C979" t="s">
        <v>102</v>
      </c>
      <c r="D979" t="s">
        <v>237</v>
      </c>
      <c r="E979">
        <v>95</v>
      </c>
      <c r="F979">
        <v>24</v>
      </c>
      <c r="G979">
        <v>51</v>
      </c>
      <c r="H979">
        <v>25</v>
      </c>
    </row>
    <row r="980" spans="1:8" x14ac:dyDescent="0.25">
      <c r="A980" t="s">
        <v>1644</v>
      </c>
      <c r="B980" t="s">
        <v>113</v>
      </c>
      <c r="C980" t="s">
        <v>102</v>
      </c>
      <c r="D980" t="s">
        <v>238</v>
      </c>
      <c r="E980">
        <v>105</v>
      </c>
      <c r="F980">
        <v>20</v>
      </c>
      <c r="G980">
        <v>49</v>
      </c>
      <c r="H980">
        <v>31</v>
      </c>
    </row>
    <row r="981" spans="1:8" x14ac:dyDescent="0.25">
      <c r="A981" t="s">
        <v>1645</v>
      </c>
      <c r="B981" t="s">
        <v>113</v>
      </c>
      <c r="C981" t="s">
        <v>102</v>
      </c>
      <c r="D981" t="s">
        <v>239</v>
      </c>
      <c r="E981">
        <v>90</v>
      </c>
      <c r="F981">
        <v>17</v>
      </c>
      <c r="G981">
        <v>40</v>
      </c>
      <c r="H981">
        <v>43</v>
      </c>
    </row>
    <row r="982" spans="1:8" x14ac:dyDescent="0.25">
      <c r="A982" t="s">
        <v>1646</v>
      </c>
      <c r="B982" t="s">
        <v>113</v>
      </c>
      <c r="C982" t="s">
        <v>102</v>
      </c>
      <c r="D982" t="s">
        <v>47</v>
      </c>
      <c r="E982">
        <v>95</v>
      </c>
      <c r="F982">
        <v>16</v>
      </c>
      <c r="G982">
        <v>51</v>
      </c>
      <c r="H982">
        <v>33</v>
      </c>
    </row>
    <row r="983" spans="1:8" x14ac:dyDescent="0.25">
      <c r="A983" t="s">
        <v>1647</v>
      </c>
      <c r="B983" t="s">
        <v>113</v>
      </c>
      <c r="C983" t="s">
        <v>31</v>
      </c>
      <c r="D983" t="s">
        <v>232</v>
      </c>
      <c r="E983">
        <v>131</v>
      </c>
      <c r="F983">
        <v>14</v>
      </c>
      <c r="G983">
        <v>63</v>
      </c>
      <c r="H983">
        <v>23</v>
      </c>
    </row>
    <row r="984" spans="1:8" x14ac:dyDescent="0.25">
      <c r="A984" t="s">
        <v>1648</v>
      </c>
      <c r="B984" t="s">
        <v>113</v>
      </c>
      <c r="C984" t="s">
        <v>31</v>
      </c>
      <c r="D984" t="s">
        <v>233</v>
      </c>
      <c r="E984">
        <v>116</v>
      </c>
      <c r="F984">
        <v>21</v>
      </c>
      <c r="G984">
        <v>61</v>
      </c>
      <c r="H984">
        <v>18</v>
      </c>
    </row>
    <row r="985" spans="1:8" x14ac:dyDescent="0.25">
      <c r="A985" t="s">
        <v>1649</v>
      </c>
      <c r="B985" t="s">
        <v>113</v>
      </c>
      <c r="C985" t="s">
        <v>31</v>
      </c>
      <c r="D985" t="s">
        <v>234</v>
      </c>
      <c r="E985">
        <v>113</v>
      </c>
      <c r="F985">
        <v>16</v>
      </c>
      <c r="G985">
        <v>61</v>
      </c>
      <c r="H985">
        <v>23</v>
      </c>
    </row>
    <row r="986" spans="1:8" x14ac:dyDescent="0.25">
      <c r="A986" t="s">
        <v>1650</v>
      </c>
      <c r="B986" t="s">
        <v>113</v>
      </c>
      <c r="C986" t="s">
        <v>31</v>
      </c>
      <c r="D986" t="s">
        <v>235</v>
      </c>
      <c r="E986">
        <v>125</v>
      </c>
      <c r="F986">
        <v>17</v>
      </c>
      <c r="G986">
        <v>53</v>
      </c>
      <c r="H986">
        <v>30</v>
      </c>
    </row>
    <row r="987" spans="1:8" x14ac:dyDescent="0.25">
      <c r="A987" t="s">
        <v>1651</v>
      </c>
      <c r="B987" t="s">
        <v>113</v>
      </c>
      <c r="C987" t="s">
        <v>31</v>
      </c>
      <c r="D987" t="s">
        <v>236</v>
      </c>
      <c r="E987">
        <v>102</v>
      </c>
      <c r="F987">
        <v>14</v>
      </c>
      <c r="G987">
        <v>53</v>
      </c>
      <c r="H987">
        <v>33</v>
      </c>
    </row>
    <row r="988" spans="1:8" x14ac:dyDescent="0.25">
      <c r="A988" t="s">
        <v>1652</v>
      </c>
      <c r="B988" t="s">
        <v>113</v>
      </c>
      <c r="C988" t="s">
        <v>31</v>
      </c>
      <c r="D988" t="s">
        <v>237</v>
      </c>
      <c r="E988">
        <v>117</v>
      </c>
      <c r="F988">
        <v>17</v>
      </c>
      <c r="G988">
        <v>53</v>
      </c>
      <c r="H988">
        <v>30</v>
      </c>
    </row>
    <row r="989" spans="1:8" x14ac:dyDescent="0.25">
      <c r="A989" t="s">
        <v>1653</v>
      </c>
      <c r="B989" t="s">
        <v>113</v>
      </c>
      <c r="C989" t="s">
        <v>31</v>
      </c>
      <c r="D989" t="s">
        <v>238</v>
      </c>
      <c r="E989">
        <v>114</v>
      </c>
      <c r="F989">
        <v>15</v>
      </c>
      <c r="G989">
        <v>60</v>
      </c>
      <c r="H989">
        <v>25</v>
      </c>
    </row>
    <row r="990" spans="1:8" x14ac:dyDescent="0.25">
      <c r="A990" t="s">
        <v>1654</v>
      </c>
      <c r="B990" t="s">
        <v>113</v>
      </c>
      <c r="C990" t="s">
        <v>31</v>
      </c>
      <c r="D990" t="s">
        <v>239</v>
      </c>
      <c r="E990">
        <v>106</v>
      </c>
      <c r="F990">
        <v>20</v>
      </c>
      <c r="G990">
        <v>41</v>
      </c>
      <c r="H990">
        <v>39</v>
      </c>
    </row>
    <row r="991" spans="1:8" x14ac:dyDescent="0.25">
      <c r="A991" t="s">
        <v>1655</v>
      </c>
      <c r="B991" t="s">
        <v>113</v>
      </c>
      <c r="C991" t="s">
        <v>31</v>
      </c>
      <c r="D991" t="s">
        <v>47</v>
      </c>
      <c r="E991">
        <v>107</v>
      </c>
      <c r="F991">
        <v>25</v>
      </c>
      <c r="G991">
        <v>43</v>
      </c>
      <c r="H991">
        <v>32</v>
      </c>
    </row>
    <row r="992" spans="1:8" x14ac:dyDescent="0.25">
      <c r="A992" t="s">
        <v>1656</v>
      </c>
      <c r="B992" t="s">
        <v>111</v>
      </c>
      <c r="C992" t="s">
        <v>103</v>
      </c>
      <c r="D992" t="s">
        <v>232</v>
      </c>
      <c r="E992">
        <v>80</v>
      </c>
      <c r="F992">
        <v>2</v>
      </c>
      <c r="G992">
        <v>76</v>
      </c>
      <c r="H992">
        <v>22</v>
      </c>
    </row>
    <row r="993" spans="1:8" x14ac:dyDescent="0.25">
      <c r="A993" t="s">
        <v>1657</v>
      </c>
      <c r="B993" t="s">
        <v>111</v>
      </c>
      <c r="C993" t="s">
        <v>103</v>
      </c>
      <c r="D993" t="s">
        <v>233</v>
      </c>
      <c r="E993">
        <v>75</v>
      </c>
      <c r="F993">
        <v>7</v>
      </c>
      <c r="G993">
        <v>74</v>
      </c>
      <c r="H993">
        <v>19</v>
      </c>
    </row>
    <row r="994" spans="1:8" x14ac:dyDescent="0.25">
      <c r="A994" t="s">
        <v>1658</v>
      </c>
      <c r="B994" t="s">
        <v>111</v>
      </c>
      <c r="C994" t="s">
        <v>103</v>
      </c>
      <c r="D994" t="s">
        <v>234</v>
      </c>
      <c r="E994">
        <v>72</v>
      </c>
      <c r="F994">
        <v>3</v>
      </c>
      <c r="G994">
        <v>81</v>
      </c>
      <c r="H994">
        <v>16</v>
      </c>
    </row>
    <row r="995" spans="1:8" x14ac:dyDescent="0.25">
      <c r="A995" t="s">
        <v>1659</v>
      </c>
      <c r="B995" t="s">
        <v>111</v>
      </c>
      <c r="C995" t="s">
        <v>103</v>
      </c>
      <c r="D995" t="s">
        <v>235</v>
      </c>
      <c r="E995">
        <v>74</v>
      </c>
      <c r="F995">
        <v>1</v>
      </c>
      <c r="G995">
        <v>72</v>
      </c>
      <c r="H995">
        <v>27</v>
      </c>
    </row>
    <row r="996" spans="1:8" x14ac:dyDescent="0.25">
      <c r="A996" t="s">
        <v>1660</v>
      </c>
      <c r="B996" t="s">
        <v>111</v>
      </c>
      <c r="C996" t="s">
        <v>103</v>
      </c>
      <c r="D996" t="s">
        <v>236</v>
      </c>
      <c r="E996">
        <v>64</v>
      </c>
      <c r="F996">
        <v>3</v>
      </c>
      <c r="G996">
        <v>82</v>
      </c>
      <c r="H996">
        <v>15</v>
      </c>
    </row>
    <row r="997" spans="1:8" x14ac:dyDescent="0.25">
      <c r="A997" t="s">
        <v>1661</v>
      </c>
      <c r="B997" t="s">
        <v>111</v>
      </c>
      <c r="C997" t="s">
        <v>103</v>
      </c>
      <c r="D997" t="s">
        <v>237</v>
      </c>
      <c r="E997">
        <v>66</v>
      </c>
      <c r="F997">
        <v>4</v>
      </c>
      <c r="G997">
        <v>79</v>
      </c>
      <c r="H997">
        <v>17</v>
      </c>
    </row>
    <row r="998" spans="1:8" x14ac:dyDescent="0.25">
      <c r="A998" t="s">
        <v>1662</v>
      </c>
      <c r="B998" t="s">
        <v>111</v>
      </c>
      <c r="C998" t="s">
        <v>103</v>
      </c>
      <c r="D998" t="s">
        <v>238</v>
      </c>
      <c r="E998">
        <v>85</v>
      </c>
      <c r="F998">
        <v>3</v>
      </c>
      <c r="G998">
        <v>73</v>
      </c>
      <c r="H998">
        <v>24</v>
      </c>
    </row>
    <row r="999" spans="1:8" x14ac:dyDescent="0.25">
      <c r="A999" t="s">
        <v>1663</v>
      </c>
      <c r="B999" t="s">
        <v>111</v>
      </c>
      <c r="C999" t="s">
        <v>103</v>
      </c>
      <c r="D999" t="s">
        <v>239</v>
      </c>
      <c r="E999">
        <v>70</v>
      </c>
      <c r="F999">
        <v>2</v>
      </c>
      <c r="G999">
        <v>85</v>
      </c>
      <c r="H999">
        <v>13</v>
      </c>
    </row>
    <row r="1000" spans="1:8" x14ac:dyDescent="0.25">
      <c r="A1000" t="s">
        <v>1664</v>
      </c>
      <c r="B1000" t="s">
        <v>111</v>
      </c>
      <c r="C1000" t="s">
        <v>103</v>
      </c>
      <c r="D1000" t="s">
        <v>47</v>
      </c>
      <c r="E1000">
        <v>63</v>
      </c>
      <c r="F1000">
        <v>7</v>
      </c>
      <c r="G1000">
        <v>73</v>
      </c>
      <c r="H1000">
        <v>20</v>
      </c>
    </row>
    <row r="1001" spans="1:8" x14ac:dyDescent="0.25">
      <c r="A1001" t="s">
        <v>1665</v>
      </c>
      <c r="B1001" t="s">
        <v>111</v>
      </c>
      <c r="C1001" t="s">
        <v>100</v>
      </c>
      <c r="D1001" t="s">
        <v>232</v>
      </c>
      <c r="E1001">
        <v>80</v>
      </c>
      <c r="F1001">
        <v>8</v>
      </c>
      <c r="G1001">
        <v>37</v>
      </c>
      <c r="H1001">
        <v>55</v>
      </c>
    </row>
    <row r="1002" spans="1:8" x14ac:dyDescent="0.25">
      <c r="A1002" t="s">
        <v>1666</v>
      </c>
      <c r="B1002" t="s">
        <v>111</v>
      </c>
      <c r="C1002" t="s">
        <v>100</v>
      </c>
      <c r="D1002" t="s">
        <v>233</v>
      </c>
      <c r="E1002">
        <v>74</v>
      </c>
      <c r="F1002">
        <v>8</v>
      </c>
      <c r="G1002">
        <v>60</v>
      </c>
      <c r="H1002">
        <v>32</v>
      </c>
    </row>
    <row r="1003" spans="1:8" x14ac:dyDescent="0.25">
      <c r="A1003" t="s">
        <v>1667</v>
      </c>
      <c r="B1003" t="s">
        <v>111</v>
      </c>
      <c r="C1003" t="s">
        <v>100</v>
      </c>
      <c r="D1003" t="s">
        <v>234</v>
      </c>
      <c r="E1003">
        <v>71</v>
      </c>
      <c r="F1003">
        <v>3</v>
      </c>
      <c r="G1003">
        <v>56</v>
      </c>
      <c r="H1003">
        <v>41</v>
      </c>
    </row>
    <row r="1004" spans="1:8" x14ac:dyDescent="0.25">
      <c r="A1004" t="s">
        <v>1668</v>
      </c>
      <c r="B1004" t="s">
        <v>111</v>
      </c>
      <c r="C1004" t="s">
        <v>100</v>
      </c>
      <c r="D1004" t="s">
        <v>235</v>
      </c>
      <c r="E1004">
        <v>73</v>
      </c>
      <c r="F1004">
        <v>7</v>
      </c>
      <c r="G1004">
        <v>42</v>
      </c>
      <c r="H1004">
        <v>51</v>
      </c>
    </row>
    <row r="1005" spans="1:8" x14ac:dyDescent="0.25">
      <c r="A1005" t="s">
        <v>1669</v>
      </c>
      <c r="B1005" t="s">
        <v>111</v>
      </c>
      <c r="C1005" t="s">
        <v>100</v>
      </c>
      <c r="D1005" t="s">
        <v>236</v>
      </c>
      <c r="E1005">
        <v>65</v>
      </c>
      <c r="F1005">
        <v>17</v>
      </c>
      <c r="G1005">
        <v>65</v>
      </c>
      <c r="H1005">
        <v>18</v>
      </c>
    </row>
    <row r="1006" spans="1:8" x14ac:dyDescent="0.25">
      <c r="A1006" t="s">
        <v>1670</v>
      </c>
      <c r="B1006" t="s">
        <v>111</v>
      </c>
      <c r="C1006" t="s">
        <v>100</v>
      </c>
      <c r="D1006" t="s">
        <v>237</v>
      </c>
      <c r="E1006">
        <v>64</v>
      </c>
      <c r="F1006">
        <v>13</v>
      </c>
      <c r="G1006">
        <v>66</v>
      </c>
      <c r="H1006">
        <v>21</v>
      </c>
    </row>
    <row r="1007" spans="1:8" x14ac:dyDescent="0.25">
      <c r="A1007" t="s">
        <v>1671</v>
      </c>
      <c r="B1007" t="s">
        <v>111</v>
      </c>
      <c r="C1007" t="s">
        <v>100</v>
      </c>
      <c r="D1007" t="s">
        <v>238</v>
      </c>
      <c r="E1007">
        <v>84</v>
      </c>
      <c r="F1007">
        <v>16</v>
      </c>
      <c r="G1007">
        <v>61</v>
      </c>
      <c r="H1007">
        <v>23</v>
      </c>
    </row>
    <row r="1008" spans="1:8" x14ac:dyDescent="0.25">
      <c r="A1008" t="s">
        <v>1672</v>
      </c>
      <c r="B1008" t="s">
        <v>111</v>
      </c>
      <c r="C1008" t="s">
        <v>100</v>
      </c>
      <c r="D1008" t="s">
        <v>239</v>
      </c>
      <c r="E1008">
        <v>71</v>
      </c>
      <c r="F1008">
        <v>10</v>
      </c>
      <c r="G1008">
        <v>63</v>
      </c>
      <c r="H1008">
        <v>27</v>
      </c>
    </row>
    <row r="1009" spans="1:8" x14ac:dyDescent="0.25">
      <c r="A1009" t="s">
        <v>1673</v>
      </c>
      <c r="B1009" t="s">
        <v>111</v>
      </c>
      <c r="C1009" t="s">
        <v>100</v>
      </c>
      <c r="D1009" t="s">
        <v>47</v>
      </c>
      <c r="E1009">
        <v>65</v>
      </c>
      <c r="F1009">
        <v>6</v>
      </c>
      <c r="G1009">
        <v>62</v>
      </c>
      <c r="H1009">
        <v>32</v>
      </c>
    </row>
    <row r="1010" spans="1:8" x14ac:dyDescent="0.25">
      <c r="A1010" t="s">
        <v>1674</v>
      </c>
      <c r="B1010" t="s">
        <v>111</v>
      </c>
      <c r="C1010" t="s">
        <v>101</v>
      </c>
      <c r="D1010" t="s">
        <v>232</v>
      </c>
      <c r="E1010">
        <v>37</v>
      </c>
      <c r="F1010">
        <v>7</v>
      </c>
      <c r="G1010">
        <v>53</v>
      </c>
      <c r="H1010">
        <v>40</v>
      </c>
    </row>
    <row r="1011" spans="1:8" x14ac:dyDescent="0.25">
      <c r="A1011" t="s">
        <v>1675</v>
      </c>
      <c r="B1011" t="s">
        <v>111</v>
      </c>
      <c r="C1011" t="s">
        <v>101</v>
      </c>
      <c r="D1011" t="s">
        <v>233</v>
      </c>
      <c r="E1011">
        <v>32</v>
      </c>
      <c r="F1011">
        <v>5</v>
      </c>
      <c r="G1011">
        <v>73</v>
      </c>
      <c r="H1011">
        <v>22</v>
      </c>
    </row>
    <row r="1012" spans="1:8" x14ac:dyDescent="0.25">
      <c r="A1012" t="s">
        <v>1676</v>
      </c>
      <c r="B1012" t="s">
        <v>111</v>
      </c>
      <c r="C1012" t="s">
        <v>101</v>
      </c>
      <c r="D1012" t="s">
        <v>234</v>
      </c>
      <c r="E1012">
        <v>26</v>
      </c>
      <c r="F1012">
        <v>4</v>
      </c>
      <c r="G1012">
        <v>64</v>
      </c>
      <c r="H1012">
        <v>32</v>
      </c>
    </row>
    <row r="1013" spans="1:8" x14ac:dyDescent="0.25">
      <c r="A1013" t="s">
        <v>1677</v>
      </c>
      <c r="B1013" t="s">
        <v>111</v>
      </c>
      <c r="C1013" t="s">
        <v>101</v>
      </c>
      <c r="D1013" t="s">
        <v>235</v>
      </c>
      <c r="E1013">
        <v>25</v>
      </c>
      <c r="F1013">
        <v>0</v>
      </c>
      <c r="G1013">
        <v>71</v>
      </c>
      <c r="H1013">
        <v>29</v>
      </c>
    </row>
    <row r="1014" spans="1:8" x14ac:dyDescent="0.25">
      <c r="A1014" t="s">
        <v>1678</v>
      </c>
      <c r="B1014" t="s">
        <v>111</v>
      </c>
      <c r="C1014" t="s">
        <v>101</v>
      </c>
      <c r="D1014" t="s">
        <v>236</v>
      </c>
      <c r="E1014">
        <v>29</v>
      </c>
      <c r="F1014">
        <v>3</v>
      </c>
      <c r="G1014">
        <v>73</v>
      </c>
      <c r="H1014">
        <v>24</v>
      </c>
    </row>
    <row r="1015" spans="1:8" x14ac:dyDescent="0.25">
      <c r="A1015" t="s">
        <v>1679</v>
      </c>
      <c r="B1015" t="s">
        <v>111</v>
      </c>
      <c r="C1015" t="s">
        <v>101</v>
      </c>
      <c r="D1015" t="s">
        <v>237</v>
      </c>
      <c r="E1015">
        <v>25</v>
      </c>
      <c r="F1015">
        <v>3</v>
      </c>
      <c r="G1015">
        <v>87</v>
      </c>
      <c r="H1015">
        <v>10</v>
      </c>
    </row>
    <row r="1016" spans="1:8" x14ac:dyDescent="0.25">
      <c r="A1016" t="s">
        <v>1680</v>
      </c>
      <c r="B1016" t="s">
        <v>111</v>
      </c>
      <c r="C1016" t="s">
        <v>101</v>
      </c>
      <c r="D1016" t="s">
        <v>238</v>
      </c>
      <c r="E1016">
        <v>37</v>
      </c>
      <c r="F1016">
        <v>4</v>
      </c>
      <c r="G1016">
        <v>73</v>
      </c>
      <c r="H1016">
        <v>23</v>
      </c>
    </row>
    <row r="1017" spans="1:8" x14ac:dyDescent="0.25">
      <c r="A1017" t="s">
        <v>1681</v>
      </c>
      <c r="B1017" t="s">
        <v>111</v>
      </c>
      <c r="C1017" t="s">
        <v>101</v>
      </c>
      <c r="D1017" t="s">
        <v>239</v>
      </c>
      <c r="E1017">
        <v>30</v>
      </c>
      <c r="F1017">
        <v>0</v>
      </c>
      <c r="G1017">
        <v>78</v>
      </c>
      <c r="H1017">
        <v>22</v>
      </c>
    </row>
    <row r="1018" spans="1:8" x14ac:dyDescent="0.25">
      <c r="A1018" t="s">
        <v>1682</v>
      </c>
      <c r="B1018" t="s">
        <v>111</v>
      </c>
      <c r="C1018" t="s">
        <v>101</v>
      </c>
      <c r="D1018" t="s">
        <v>47</v>
      </c>
      <c r="E1018">
        <v>22</v>
      </c>
      <c r="F1018">
        <v>3</v>
      </c>
      <c r="G1018">
        <v>67</v>
      </c>
      <c r="H1018">
        <v>30</v>
      </c>
    </row>
    <row r="1019" spans="1:8" x14ac:dyDescent="0.25">
      <c r="A1019" t="s">
        <v>1683</v>
      </c>
      <c r="B1019" t="s">
        <v>111</v>
      </c>
      <c r="C1019" t="s">
        <v>102</v>
      </c>
      <c r="D1019" t="s">
        <v>232</v>
      </c>
      <c r="E1019">
        <v>72</v>
      </c>
      <c r="F1019">
        <v>21</v>
      </c>
      <c r="G1019">
        <v>38</v>
      </c>
      <c r="H1019">
        <v>41</v>
      </c>
    </row>
    <row r="1020" spans="1:8" x14ac:dyDescent="0.25">
      <c r="A1020" t="s">
        <v>1684</v>
      </c>
      <c r="B1020" t="s">
        <v>111</v>
      </c>
      <c r="C1020" t="s">
        <v>102</v>
      </c>
      <c r="D1020" t="s">
        <v>233</v>
      </c>
      <c r="E1020">
        <v>67</v>
      </c>
      <c r="F1020">
        <v>27</v>
      </c>
      <c r="G1020">
        <v>38</v>
      </c>
      <c r="H1020">
        <v>35</v>
      </c>
    </row>
    <row r="1021" spans="1:8" x14ac:dyDescent="0.25">
      <c r="A1021" t="s">
        <v>1685</v>
      </c>
      <c r="B1021" t="s">
        <v>111</v>
      </c>
      <c r="C1021" t="s">
        <v>102</v>
      </c>
      <c r="D1021" t="s">
        <v>234</v>
      </c>
      <c r="E1021">
        <v>67</v>
      </c>
      <c r="F1021">
        <v>12</v>
      </c>
      <c r="G1021">
        <v>49</v>
      </c>
      <c r="H1021">
        <v>39</v>
      </c>
    </row>
    <row r="1022" spans="1:8" x14ac:dyDescent="0.25">
      <c r="A1022" t="s">
        <v>1686</v>
      </c>
      <c r="B1022" t="s">
        <v>111</v>
      </c>
      <c r="C1022" t="s">
        <v>102</v>
      </c>
      <c r="D1022" t="s">
        <v>235</v>
      </c>
      <c r="E1022">
        <v>67</v>
      </c>
      <c r="F1022">
        <v>14</v>
      </c>
      <c r="G1022">
        <v>47</v>
      </c>
      <c r="H1022">
        <v>39</v>
      </c>
    </row>
    <row r="1023" spans="1:8" x14ac:dyDescent="0.25">
      <c r="A1023" t="s">
        <v>1687</v>
      </c>
      <c r="B1023" t="s">
        <v>111</v>
      </c>
      <c r="C1023" t="s">
        <v>102</v>
      </c>
      <c r="D1023" t="s">
        <v>236</v>
      </c>
      <c r="E1023">
        <v>62</v>
      </c>
      <c r="F1023">
        <v>12</v>
      </c>
      <c r="G1023">
        <v>60</v>
      </c>
      <c r="H1023">
        <v>28</v>
      </c>
    </row>
    <row r="1024" spans="1:8" x14ac:dyDescent="0.25">
      <c r="A1024" t="s">
        <v>1688</v>
      </c>
      <c r="B1024" t="s">
        <v>111</v>
      </c>
      <c r="C1024" t="s">
        <v>102</v>
      </c>
      <c r="D1024" t="s">
        <v>237</v>
      </c>
      <c r="E1024">
        <v>61</v>
      </c>
      <c r="F1024">
        <v>11</v>
      </c>
      <c r="G1024">
        <v>48</v>
      </c>
      <c r="H1024">
        <v>41</v>
      </c>
    </row>
    <row r="1025" spans="1:8" x14ac:dyDescent="0.25">
      <c r="A1025" t="s">
        <v>1689</v>
      </c>
      <c r="B1025" t="s">
        <v>111</v>
      </c>
      <c r="C1025" t="s">
        <v>102</v>
      </c>
      <c r="D1025" t="s">
        <v>238</v>
      </c>
      <c r="E1025">
        <v>80</v>
      </c>
      <c r="F1025">
        <v>12</v>
      </c>
      <c r="G1025">
        <v>48</v>
      </c>
      <c r="H1025">
        <v>40</v>
      </c>
    </row>
    <row r="1026" spans="1:8" x14ac:dyDescent="0.25">
      <c r="A1026" t="s">
        <v>1690</v>
      </c>
      <c r="B1026" t="s">
        <v>111</v>
      </c>
      <c r="C1026" t="s">
        <v>102</v>
      </c>
      <c r="D1026" t="s">
        <v>239</v>
      </c>
      <c r="E1026">
        <v>68</v>
      </c>
      <c r="F1026">
        <v>16</v>
      </c>
      <c r="G1026">
        <v>45</v>
      </c>
      <c r="H1026">
        <v>39</v>
      </c>
    </row>
    <row r="1027" spans="1:8" x14ac:dyDescent="0.25">
      <c r="A1027" t="s">
        <v>1691</v>
      </c>
      <c r="B1027" t="s">
        <v>111</v>
      </c>
      <c r="C1027" t="s">
        <v>102</v>
      </c>
      <c r="D1027" t="s">
        <v>47</v>
      </c>
      <c r="E1027">
        <v>61</v>
      </c>
      <c r="F1027">
        <v>14</v>
      </c>
      <c r="G1027">
        <v>53</v>
      </c>
      <c r="H1027">
        <v>33</v>
      </c>
    </row>
    <row r="1028" spans="1:8" x14ac:dyDescent="0.25">
      <c r="A1028" t="s">
        <v>1692</v>
      </c>
      <c r="B1028" t="s">
        <v>111</v>
      </c>
      <c r="C1028" t="s">
        <v>31</v>
      </c>
      <c r="D1028" t="s">
        <v>232</v>
      </c>
      <c r="E1028">
        <v>81</v>
      </c>
      <c r="F1028">
        <v>15</v>
      </c>
      <c r="G1028">
        <v>57</v>
      </c>
      <c r="H1028">
        <v>28</v>
      </c>
    </row>
    <row r="1029" spans="1:8" x14ac:dyDescent="0.25">
      <c r="A1029" t="s">
        <v>1693</v>
      </c>
      <c r="B1029" t="s">
        <v>111</v>
      </c>
      <c r="C1029" t="s">
        <v>31</v>
      </c>
      <c r="D1029" t="s">
        <v>233</v>
      </c>
      <c r="E1029">
        <v>75</v>
      </c>
      <c r="F1029">
        <v>9</v>
      </c>
      <c r="G1029">
        <v>74</v>
      </c>
      <c r="H1029">
        <v>17</v>
      </c>
    </row>
    <row r="1030" spans="1:8" x14ac:dyDescent="0.25">
      <c r="A1030" t="s">
        <v>1694</v>
      </c>
      <c r="B1030" t="s">
        <v>111</v>
      </c>
      <c r="C1030" t="s">
        <v>31</v>
      </c>
      <c r="D1030" t="s">
        <v>234</v>
      </c>
      <c r="E1030">
        <v>73</v>
      </c>
      <c r="F1030">
        <v>11</v>
      </c>
      <c r="G1030">
        <v>63</v>
      </c>
      <c r="H1030">
        <v>26</v>
      </c>
    </row>
    <row r="1031" spans="1:8" x14ac:dyDescent="0.25">
      <c r="A1031" t="s">
        <v>1695</v>
      </c>
      <c r="B1031" t="s">
        <v>111</v>
      </c>
      <c r="C1031" t="s">
        <v>31</v>
      </c>
      <c r="D1031" t="s">
        <v>235</v>
      </c>
      <c r="E1031">
        <v>73</v>
      </c>
      <c r="F1031">
        <v>9</v>
      </c>
      <c r="G1031">
        <v>62</v>
      </c>
      <c r="H1031">
        <v>29</v>
      </c>
    </row>
    <row r="1032" spans="1:8" x14ac:dyDescent="0.25">
      <c r="A1032" t="s">
        <v>1696</v>
      </c>
      <c r="B1032" t="s">
        <v>111</v>
      </c>
      <c r="C1032" t="s">
        <v>31</v>
      </c>
      <c r="D1032" t="s">
        <v>236</v>
      </c>
      <c r="E1032">
        <v>66</v>
      </c>
      <c r="F1032">
        <v>14</v>
      </c>
      <c r="G1032">
        <v>70</v>
      </c>
      <c r="H1032">
        <v>16</v>
      </c>
    </row>
    <row r="1033" spans="1:8" x14ac:dyDescent="0.25">
      <c r="A1033" t="s">
        <v>1697</v>
      </c>
      <c r="B1033" t="s">
        <v>111</v>
      </c>
      <c r="C1033" t="s">
        <v>31</v>
      </c>
      <c r="D1033" t="s">
        <v>237</v>
      </c>
      <c r="E1033">
        <v>66</v>
      </c>
      <c r="F1033">
        <v>13</v>
      </c>
      <c r="G1033">
        <v>59</v>
      </c>
      <c r="H1033">
        <v>28</v>
      </c>
    </row>
    <row r="1034" spans="1:8" x14ac:dyDescent="0.25">
      <c r="A1034" t="s">
        <v>1698</v>
      </c>
      <c r="B1034" t="s">
        <v>111</v>
      </c>
      <c r="C1034" t="s">
        <v>31</v>
      </c>
      <c r="D1034" t="s">
        <v>238</v>
      </c>
      <c r="E1034">
        <v>84</v>
      </c>
      <c r="F1034">
        <v>12</v>
      </c>
      <c r="G1034">
        <v>61</v>
      </c>
      <c r="H1034">
        <v>27</v>
      </c>
    </row>
    <row r="1035" spans="1:8" x14ac:dyDescent="0.25">
      <c r="A1035" t="s">
        <v>1699</v>
      </c>
      <c r="B1035" t="s">
        <v>111</v>
      </c>
      <c r="C1035" t="s">
        <v>31</v>
      </c>
      <c r="D1035" t="s">
        <v>239</v>
      </c>
      <c r="E1035">
        <v>70</v>
      </c>
      <c r="F1035">
        <v>10</v>
      </c>
      <c r="G1035">
        <v>68</v>
      </c>
      <c r="H1035">
        <v>22</v>
      </c>
    </row>
    <row r="1036" spans="1:8" x14ac:dyDescent="0.25">
      <c r="A1036" t="s">
        <v>1700</v>
      </c>
      <c r="B1036" t="s">
        <v>111</v>
      </c>
      <c r="C1036" t="s">
        <v>31</v>
      </c>
      <c r="D1036" t="s">
        <v>47</v>
      </c>
      <c r="E1036">
        <v>66</v>
      </c>
      <c r="F1036">
        <v>9</v>
      </c>
      <c r="G1036">
        <v>63</v>
      </c>
      <c r="H1036">
        <v>28</v>
      </c>
    </row>
    <row r="1037" spans="1:8" x14ac:dyDescent="0.25">
      <c r="A1037" t="s">
        <v>1701</v>
      </c>
      <c r="B1037" t="s">
        <v>122</v>
      </c>
      <c r="C1037" t="s">
        <v>103</v>
      </c>
      <c r="D1037" t="s">
        <v>232</v>
      </c>
      <c r="E1037">
        <v>291</v>
      </c>
      <c r="F1037">
        <v>5</v>
      </c>
      <c r="G1037">
        <v>58</v>
      </c>
      <c r="H1037">
        <v>37</v>
      </c>
    </row>
    <row r="1038" spans="1:8" x14ac:dyDescent="0.25">
      <c r="A1038" t="s">
        <v>1702</v>
      </c>
      <c r="B1038" t="s">
        <v>122</v>
      </c>
      <c r="C1038" t="s">
        <v>103</v>
      </c>
      <c r="D1038" t="s">
        <v>233</v>
      </c>
      <c r="E1038">
        <v>295</v>
      </c>
      <c r="F1038">
        <v>4</v>
      </c>
      <c r="G1038">
        <v>63</v>
      </c>
      <c r="H1038">
        <v>33</v>
      </c>
    </row>
    <row r="1039" spans="1:8" x14ac:dyDescent="0.25">
      <c r="A1039" t="s">
        <v>1703</v>
      </c>
      <c r="B1039" t="s">
        <v>122</v>
      </c>
      <c r="C1039" t="s">
        <v>103</v>
      </c>
      <c r="D1039" t="s">
        <v>234</v>
      </c>
      <c r="E1039">
        <v>259</v>
      </c>
      <c r="F1039">
        <v>4</v>
      </c>
      <c r="G1039">
        <v>56</v>
      </c>
      <c r="H1039">
        <v>40</v>
      </c>
    </row>
    <row r="1040" spans="1:8" x14ac:dyDescent="0.25">
      <c r="A1040" t="s">
        <v>1704</v>
      </c>
      <c r="B1040" t="s">
        <v>122</v>
      </c>
      <c r="C1040" t="s">
        <v>103</v>
      </c>
      <c r="D1040" t="s">
        <v>235</v>
      </c>
      <c r="E1040">
        <v>263</v>
      </c>
      <c r="F1040">
        <v>5</v>
      </c>
      <c r="G1040">
        <v>61</v>
      </c>
      <c r="H1040">
        <v>34</v>
      </c>
    </row>
    <row r="1041" spans="1:8" x14ac:dyDescent="0.25">
      <c r="A1041" t="s">
        <v>1705</v>
      </c>
      <c r="B1041" t="s">
        <v>122</v>
      </c>
      <c r="C1041" t="s">
        <v>103</v>
      </c>
      <c r="D1041" t="s">
        <v>236</v>
      </c>
      <c r="E1041">
        <v>253</v>
      </c>
      <c r="F1041">
        <v>7</v>
      </c>
      <c r="G1041">
        <v>62</v>
      </c>
      <c r="H1041">
        <v>31</v>
      </c>
    </row>
    <row r="1042" spans="1:8" x14ac:dyDescent="0.25">
      <c r="A1042" t="s">
        <v>1706</v>
      </c>
      <c r="B1042" t="s">
        <v>122</v>
      </c>
      <c r="C1042" t="s">
        <v>103</v>
      </c>
      <c r="D1042" t="s">
        <v>237</v>
      </c>
      <c r="E1042">
        <v>251</v>
      </c>
      <c r="F1042">
        <v>7</v>
      </c>
      <c r="G1042">
        <v>53</v>
      </c>
      <c r="H1042">
        <v>40</v>
      </c>
    </row>
    <row r="1043" spans="1:8" x14ac:dyDescent="0.25">
      <c r="A1043" t="s">
        <v>1707</v>
      </c>
      <c r="B1043" t="s">
        <v>122</v>
      </c>
      <c r="C1043" t="s">
        <v>103</v>
      </c>
      <c r="D1043" t="s">
        <v>238</v>
      </c>
      <c r="E1043">
        <v>296</v>
      </c>
      <c r="F1043">
        <v>11</v>
      </c>
      <c r="G1043">
        <v>65</v>
      </c>
      <c r="H1043">
        <v>24</v>
      </c>
    </row>
    <row r="1044" spans="1:8" x14ac:dyDescent="0.25">
      <c r="A1044" t="s">
        <v>1708</v>
      </c>
      <c r="B1044" t="s">
        <v>122</v>
      </c>
      <c r="C1044" t="s">
        <v>103</v>
      </c>
      <c r="D1044" t="s">
        <v>239</v>
      </c>
      <c r="E1044">
        <v>244</v>
      </c>
      <c r="F1044">
        <v>9</v>
      </c>
      <c r="G1044">
        <v>59</v>
      </c>
      <c r="H1044">
        <v>32</v>
      </c>
    </row>
    <row r="1045" spans="1:8" x14ac:dyDescent="0.25">
      <c r="A1045" t="s">
        <v>1709</v>
      </c>
      <c r="B1045" t="s">
        <v>122</v>
      </c>
      <c r="C1045" t="s">
        <v>103</v>
      </c>
      <c r="D1045" t="s">
        <v>47</v>
      </c>
      <c r="E1045">
        <v>247</v>
      </c>
      <c r="F1045">
        <v>8</v>
      </c>
      <c r="G1045">
        <v>68</v>
      </c>
      <c r="H1045">
        <v>24</v>
      </c>
    </row>
    <row r="1046" spans="1:8" x14ac:dyDescent="0.25">
      <c r="A1046" t="s">
        <v>1710</v>
      </c>
      <c r="B1046" t="s">
        <v>122</v>
      </c>
      <c r="C1046" t="s">
        <v>100</v>
      </c>
      <c r="D1046" t="s">
        <v>232</v>
      </c>
      <c r="E1046">
        <v>292</v>
      </c>
      <c r="F1046">
        <v>9</v>
      </c>
      <c r="G1046">
        <v>33</v>
      </c>
      <c r="H1046">
        <v>58</v>
      </c>
    </row>
    <row r="1047" spans="1:8" x14ac:dyDescent="0.25">
      <c r="A1047" t="s">
        <v>1711</v>
      </c>
      <c r="B1047" t="s">
        <v>122</v>
      </c>
      <c r="C1047" t="s">
        <v>100</v>
      </c>
      <c r="D1047" t="s">
        <v>233</v>
      </c>
      <c r="E1047">
        <v>300</v>
      </c>
      <c r="F1047">
        <v>13</v>
      </c>
      <c r="G1047">
        <v>49</v>
      </c>
      <c r="H1047">
        <v>38</v>
      </c>
    </row>
    <row r="1048" spans="1:8" x14ac:dyDescent="0.25">
      <c r="A1048" t="s">
        <v>1712</v>
      </c>
      <c r="B1048" t="s">
        <v>122</v>
      </c>
      <c r="C1048" t="s">
        <v>100</v>
      </c>
      <c r="D1048" t="s">
        <v>234</v>
      </c>
      <c r="E1048">
        <v>263</v>
      </c>
      <c r="F1048">
        <v>7</v>
      </c>
      <c r="G1048">
        <v>47</v>
      </c>
      <c r="H1048">
        <v>46</v>
      </c>
    </row>
    <row r="1049" spans="1:8" x14ac:dyDescent="0.25">
      <c r="A1049" t="s">
        <v>1713</v>
      </c>
      <c r="B1049" t="s">
        <v>122</v>
      </c>
      <c r="C1049" t="s">
        <v>100</v>
      </c>
      <c r="D1049" t="s">
        <v>235</v>
      </c>
      <c r="E1049">
        <v>267</v>
      </c>
      <c r="F1049">
        <v>10</v>
      </c>
      <c r="G1049">
        <v>53</v>
      </c>
      <c r="H1049">
        <v>37</v>
      </c>
    </row>
    <row r="1050" spans="1:8" x14ac:dyDescent="0.25">
      <c r="A1050" t="s">
        <v>1714</v>
      </c>
      <c r="B1050" t="s">
        <v>122</v>
      </c>
      <c r="C1050" t="s">
        <v>100</v>
      </c>
      <c r="D1050" t="s">
        <v>236</v>
      </c>
      <c r="E1050">
        <v>255</v>
      </c>
      <c r="F1050">
        <v>14</v>
      </c>
      <c r="G1050">
        <v>57</v>
      </c>
      <c r="H1050">
        <v>29</v>
      </c>
    </row>
    <row r="1051" spans="1:8" x14ac:dyDescent="0.25">
      <c r="A1051" t="s">
        <v>1715</v>
      </c>
      <c r="B1051" t="s">
        <v>122</v>
      </c>
      <c r="C1051" t="s">
        <v>100</v>
      </c>
      <c r="D1051" t="s">
        <v>237</v>
      </c>
      <c r="E1051">
        <v>253</v>
      </c>
      <c r="F1051">
        <v>11</v>
      </c>
      <c r="G1051">
        <v>57</v>
      </c>
      <c r="H1051">
        <v>32</v>
      </c>
    </row>
    <row r="1052" spans="1:8" x14ac:dyDescent="0.25">
      <c r="A1052" t="s">
        <v>1716</v>
      </c>
      <c r="B1052" t="s">
        <v>122</v>
      </c>
      <c r="C1052" t="s">
        <v>100</v>
      </c>
      <c r="D1052" t="s">
        <v>238</v>
      </c>
      <c r="E1052">
        <v>301</v>
      </c>
      <c r="F1052">
        <v>18</v>
      </c>
      <c r="G1052">
        <v>59</v>
      </c>
      <c r="H1052">
        <v>23</v>
      </c>
    </row>
    <row r="1053" spans="1:8" x14ac:dyDescent="0.25">
      <c r="A1053" t="s">
        <v>1717</v>
      </c>
      <c r="B1053" t="s">
        <v>122</v>
      </c>
      <c r="C1053" t="s">
        <v>100</v>
      </c>
      <c r="D1053" t="s">
        <v>239</v>
      </c>
      <c r="E1053">
        <v>247</v>
      </c>
      <c r="F1053">
        <v>14</v>
      </c>
      <c r="G1053">
        <v>51</v>
      </c>
      <c r="H1053">
        <v>35</v>
      </c>
    </row>
    <row r="1054" spans="1:8" x14ac:dyDescent="0.25">
      <c r="A1054" t="s">
        <v>1718</v>
      </c>
      <c r="B1054" t="s">
        <v>122</v>
      </c>
      <c r="C1054" t="s">
        <v>100</v>
      </c>
      <c r="D1054" t="s">
        <v>47</v>
      </c>
      <c r="E1054">
        <v>251</v>
      </c>
      <c r="F1054">
        <v>14</v>
      </c>
      <c r="G1054">
        <v>62</v>
      </c>
      <c r="H1054">
        <v>24</v>
      </c>
    </row>
    <row r="1055" spans="1:8" x14ac:dyDescent="0.25">
      <c r="A1055" t="s">
        <v>1719</v>
      </c>
      <c r="B1055" t="s">
        <v>122</v>
      </c>
      <c r="C1055" t="s">
        <v>101</v>
      </c>
      <c r="D1055" t="s">
        <v>232</v>
      </c>
      <c r="E1055">
        <v>160</v>
      </c>
      <c r="F1055">
        <v>22</v>
      </c>
      <c r="G1055">
        <v>45</v>
      </c>
      <c r="H1055">
        <v>33</v>
      </c>
    </row>
    <row r="1056" spans="1:8" x14ac:dyDescent="0.25">
      <c r="A1056" t="s">
        <v>1720</v>
      </c>
      <c r="B1056" t="s">
        <v>122</v>
      </c>
      <c r="C1056" t="s">
        <v>101</v>
      </c>
      <c r="D1056" t="s">
        <v>233</v>
      </c>
      <c r="E1056">
        <v>162</v>
      </c>
      <c r="F1056">
        <v>16</v>
      </c>
      <c r="G1056">
        <v>60</v>
      </c>
      <c r="H1056">
        <v>24</v>
      </c>
    </row>
    <row r="1057" spans="1:8" x14ac:dyDescent="0.25">
      <c r="A1057" t="s">
        <v>1721</v>
      </c>
      <c r="B1057" t="s">
        <v>122</v>
      </c>
      <c r="C1057" t="s">
        <v>101</v>
      </c>
      <c r="D1057" t="s">
        <v>234</v>
      </c>
      <c r="E1057">
        <v>152</v>
      </c>
      <c r="F1057">
        <v>15</v>
      </c>
      <c r="G1057">
        <v>52</v>
      </c>
      <c r="H1057">
        <v>33</v>
      </c>
    </row>
    <row r="1058" spans="1:8" x14ac:dyDescent="0.25">
      <c r="A1058" t="s">
        <v>1722</v>
      </c>
      <c r="B1058" t="s">
        <v>122</v>
      </c>
      <c r="C1058" t="s">
        <v>101</v>
      </c>
      <c r="D1058" t="s">
        <v>235</v>
      </c>
      <c r="E1058">
        <v>160</v>
      </c>
      <c r="F1058">
        <v>17</v>
      </c>
      <c r="G1058">
        <v>51</v>
      </c>
      <c r="H1058">
        <v>32</v>
      </c>
    </row>
    <row r="1059" spans="1:8" x14ac:dyDescent="0.25">
      <c r="A1059" t="s">
        <v>1723</v>
      </c>
      <c r="B1059" t="s">
        <v>122</v>
      </c>
      <c r="C1059" t="s">
        <v>101</v>
      </c>
      <c r="D1059" t="s">
        <v>236</v>
      </c>
      <c r="E1059">
        <v>151</v>
      </c>
      <c r="F1059">
        <v>12</v>
      </c>
      <c r="G1059">
        <v>63</v>
      </c>
      <c r="H1059">
        <v>25</v>
      </c>
    </row>
    <row r="1060" spans="1:8" x14ac:dyDescent="0.25">
      <c r="A1060" t="s">
        <v>1724</v>
      </c>
      <c r="B1060" t="s">
        <v>122</v>
      </c>
      <c r="C1060" t="s">
        <v>101</v>
      </c>
      <c r="D1060" t="s">
        <v>237</v>
      </c>
      <c r="E1060">
        <v>145</v>
      </c>
      <c r="F1060">
        <v>13</v>
      </c>
      <c r="G1060">
        <v>54</v>
      </c>
      <c r="H1060">
        <v>33</v>
      </c>
    </row>
    <row r="1061" spans="1:8" x14ac:dyDescent="0.25">
      <c r="A1061" t="s">
        <v>1725</v>
      </c>
      <c r="B1061" t="s">
        <v>122</v>
      </c>
      <c r="C1061" t="s">
        <v>101</v>
      </c>
      <c r="D1061" t="s">
        <v>238</v>
      </c>
      <c r="E1061">
        <v>161</v>
      </c>
      <c r="F1061">
        <v>20</v>
      </c>
      <c r="G1061">
        <v>59</v>
      </c>
      <c r="H1061">
        <v>21</v>
      </c>
    </row>
    <row r="1062" spans="1:8" x14ac:dyDescent="0.25">
      <c r="A1062" t="s">
        <v>1726</v>
      </c>
      <c r="B1062" t="s">
        <v>122</v>
      </c>
      <c r="C1062" t="s">
        <v>101</v>
      </c>
      <c r="D1062" t="s">
        <v>239</v>
      </c>
      <c r="E1062">
        <v>139</v>
      </c>
      <c r="F1062">
        <v>21</v>
      </c>
      <c r="G1062">
        <v>55</v>
      </c>
      <c r="H1062">
        <v>24</v>
      </c>
    </row>
    <row r="1063" spans="1:8" x14ac:dyDescent="0.25">
      <c r="A1063" t="s">
        <v>1727</v>
      </c>
      <c r="B1063" t="s">
        <v>122</v>
      </c>
      <c r="C1063" t="s">
        <v>101</v>
      </c>
      <c r="D1063" t="s">
        <v>47</v>
      </c>
      <c r="E1063">
        <v>152</v>
      </c>
      <c r="F1063">
        <v>19</v>
      </c>
      <c r="G1063">
        <v>60</v>
      </c>
      <c r="H1063">
        <v>21</v>
      </c>
    </row>
    <row r="1064" spans="1:8" x14ac:dyDescent="0.25">
      <c r="A1064" t="s">
        <v>1728</v>
      </c>
      <c r="B1064" t="s">
        <v>122</v>
      </c>
      <c r="C1064" t="s">
        <v>102</v>
      </c>
      <c r="D1064" t="s">
        <v>232</v>
      </c>
      <c r="E1064">
        <v>254</v>
      </c>
      <c r="F1064">
        <v>15</v>
      </c>
      <c r="G1064">
        <v>31</v>
      </c>
      <c r="H1064">
        <v>54</v>
      </c>
    </row>
    <row r="1065" spans="1:8" x14ac:dyDescent="0.25">
      <c r="A1065" t="s">
        <v>1729</v>
      </c>
      <c r="B1065" t="s">
        <v>122</v>
      </c>
      <c r="C1065" t="s">
        <v>102</v>
      </c>
      <c r="D1065" t="s">
        <v>233</v>
      </c>
      <c r="E1065">
        <v>261</v>
      </c>
      <c r="F1065">
        <v>17</v>
      </c>
      <c r="G1065">
        <v>41</v>
      </c>
      <c r="H1065">
        <v>42</v>
      </c>
    </row>
    <row r="1066" spans="1:8" x14ac:dyDescent="0.25">
      <c r="A1066" t="s">
        <v>1730</v>
      </c>
      <c r="B1066" t="s">
        <v>122</v>
      </c>
      <c r="C1066" t="s">
        <v>102</v>
      </c>
      <c r="D1066" t="s">
        <v>234</v>
      </c>
      <c r="E1066">
        <v>225</v>
      </c>
      <c r="F1066">
        <v>17</v>
      </c>
      <c r="G1066">
        <v>35</v>
      </c>
      <c r="H1066">
        <v>48</v>
      </c>
    </row>
    <row r="1067" spans="1:8" x14ac:dyDescent="0.25">
      <c r="A1067" t="s">
        <v>1731</v>
      </c>
      <c r="B1067" t="s">
        <v>122</v>
      </c>
      <c r="C1067" t="s">
        <v>102</v>
      </c>
      <c r="D1067" t="s">
        <v>235</v>
      </c>
      <c r="E1067">
        <v>227</v>
      </c>
      <c r="F1067">
        <v>20</v>
      </c>
      <c r="G1067">
        <v>38</v>
      </c>
      <c r="H1067">
        <v>42</v>
      </c>
    </row>
    <row r="1068" spans="1:8" x14ac:dyDescent="0.25">
      <c r="A1068" t="s">
        <v>1732</v>
      </c>
      <c r="B1068" t="s">
        <v>122</v>
      </c>
      <c r="C1068" t="s">
        <v>102</v>
      </c>
      <c r="D1068" t="s">
        <v>236</v>
      </c>
      <c r="E1068">
        <v>215</v>
      </c>
      <c r="F1068">
        <v>24</v>
      </c>
      <c r="G1068">
        <v>35</v>
      </c>
      <c r="H1068">
        <v>41</v>
      </c>
    </row>
    <row r="1069" spans="1:8" x14ac:dyDescent="0.25">
      <c r="A1069" t="s">
        <v>1733</v>
      </c>
      <c r="B1069" t="s">
        <v>122</v>
      </c>
      <c r="C1069" t="s">
        <v>102</v>
      </c>
      <c r="D1069" t="s">
        <v>237</v>
      </c>
      <c r="E1069">
        <v>222</v>
      </c>
      <c r="F1069">
        <v>18</v>
      </c>
      <c r="G1069">
        <v>37</v>
      </c>
      <c r="H1069">
        <v>45</v>
      </c>
    </row>
    <row r="1070" spans="1:8" x14ac:dyDescent="0.25">
      <c r="A1070" t="s">
        <v>1734</v>
      </c>
      <c r="B1070" t="s">
        <v>122</v>
      </c>
      <c r="C1070" t="s">
        <v>102</v>
      </c>
      <c r="D1070" t="s">
        <v>238</v>
      </c>
      <c r="E1070">
        <v>261</v>
      </c>
      <c r="F1070">
        <v>19</v>
      </c>
      <c r="G1070">
        <v>40</v>
      </c>
      <c r="H1070">
        <v>41</v>
      </c>
    </row>
    <row r="1071" spans="1:8" x14ac:dyDescent="0.25">
      <c r="A1071" t="s">
        <v>1735</v>
      </c>
      <c r="B1071" t="s">
        <v>122</v>
      </c>
      <c r="C1071" t="s">
        <v>102</v>
      </c>
      <c r="D1071" t="s">
        <v>239</v>
      </c>
      <c r="E1071">
        <v>209</v>
      </c>
      <c r="F1071">
        <v>16</v>
      </c>
      <c r="G1071">
        <v>41</v>
      </c>
      <c r="H1071">
        <v>43</v>
      </c>
    </row>
    <row r="1072" spans="1:8" x14ac:dyDescent="0.25">
      <c r="A1072" t="s">
        <v>1736</v>
      </c>
      <c r="B1072" t="s">
        <v>122</v>
      </c>
      <c r="C1072" t="s">
        <v>102</v>
      </c>
      <c r="D1072" t="s">
        <v>47</v>
      </c>
      <c r="E1072">
        <v>218</v>
      </c>
      <c r="F1072">
        <v>18</v>
      </c>
      <c r="G1072">
        <v>49</v>
      </c>
      <c r="H1072">
        <v>33</v>
      </c>
    </row>
    <row r="1073" spans="1:8" x14ac:dyDescent="0.25">
      <c r="A1073" t="s">
        <v>1737</v>
      </c>
      <c r="B1073" t="s">
        <v>122</v>
      </c>
      <c r="C1073" t="s">
        <v>31</v>
      </c>
      <c r="D1073" t="s">
        <v>232</v>
      </c>
      <c r="E1073">
        <v>294</v>
      </c>
      <c r="F1073">
        <v>16</v>
      </c>
      <c r="G1073">
        <v>44</v>
      </c>
      <c r="H1073">
        <v>40</v>
      </c>
    </row>
    <row r="1074" spans="1:8" x14ac:dyDescent="0.25">
      <c r="A1074" t="s">
        <v>1738</v>
      </c>
      <c r="B1074" t="s">
        <v>122</v>
      </c>
      <c r="C1074" t="s">
        <v>31</v>
      </c>
      <c r="D1074" t="s">
        <v>233</v>
      </c>
      <c r="E1074">
        <v>302</v>
      </c>
      <c r="F1074">
        <v>11</v>
      </c>
      <c r="G1074">
        <v>49</v>
      </c>
      <c r="H1074">
        <v>40</v>
      </c>
    </row>
    <row r="1075" spans="1:8" x14ac:dyDescent="0.25">
      <c r="A1075" t="s">
        <v>1739</v>
      </c>
      <c r="B1075" t="s">
        <v>122</v>
      </c>
      <c r="C1075" t="s">
        <v>31</v>
      </c>
      <c r="D1075" t="s">
        <v>234</v>
      </c>
      <c r="E1075">
        <v>267</v>
      </c>
      <c r="F1075">
        <v>8</v>
      </c>
      <c r="G1075">
        <v>43</v>
      </c>
      <c r="H1075">
        <v>49</v>
      </c>
    </row>
    <row r="1076" spans="1:8" x14ac:dyDescent="0.25">
      <c r="A1076" t="s">
        <v>1740</v>
      </c>
      <c r="B1076" t="s">
        <v>122</v>
      </c>
      <c r="C1076" t="s">
        <v>31</v>
      </c>
      <c r="D1076" t="s">
        <v>235</v>
      </c>
      <c r="E1076">
        <v>267</v>
      </c>
      <c r="F1076">
        <v>13</v>
      </c>
      <c r="G1076">
        <v>47</v>
      </c>
      <c r="H1076">
        <v>40</v>
      </c>
    </row>
    <row r="1077" spans="1:8" x14ac:dyDescent="0.25">
      <c r="A1077" t="s">
        <v>1741</v>
      </c>
      <c r="B1077" t="s">
        <v>122</v>
      </c>
      <c r="C1077" t="s">
        <v>31</v>
      </c>
      <c r="D1077" t="s">
        <v>236</v>
      </c>
      <c r="E1077">
        <v>255</v>
      </c>
      <c r="F1077">
        <v>12</v>
      </c>
      <c r="G1077">
        <v>48</v>
      </c>
      <c r="H1077">
        <v>40</v>
      </c>
    </row>
    <row r="1078" spans="1:8" x14ac:dyDescent="0.25">
      <c r="A1078" t="s">
        <v>1742</v>
      </c>
      <c r="B1078" t="s">
        <v>122</v>
      </c>
      <c r="C1078" t="s">
        <v>31</v>
      </c>
      <c r="D1078" t="s">
        <v>237</v>
      </c>
      <c r="E1078">
        <v>258</v>
      </c>
      <c r="F1078">
        <v>11</v>
      </c>
      <c r="G1078">
        <v>48</v>
      </c>
      <c r="H1078">
        <v>41</v>
      </c>
    </row>
    <row r="1079" spans="1:8" x14ac:dyDescent="0.25">
      <c r="A1079" t="s">
        <v>1743</v>
      </c>
      <c r="B1079" t="s">
        <v>122</v>
      </c>
      <c r="C1079" t="s">
        <v>31</v>
      </c>
      <c r="D1079" t="s">
        <v>238</v>
      </c>
      <c r="E1079">
        <v>304</v>
      </c>
      <c r="F1079">
        <v>13</v>
      </c>
      <c r="G1079">
        <v>49</v>
      </c>
      <c r="H1079">
        <v>38</v>
      </c>
    </row>
    <row r="1080" spans="1:8" x14ac:dyDescent="0.25">
      <c r="A1080" t="s">
        <v>1744</v>
      </c>
      <c r="B1080" t="s">
        <v>122</v>
      </c>
      <c r="C1080" t="s">
        <v>31</v>
      </c>
      <c r="D1080" t="s">
        <v>239</v>
      </c>
      <c r="E1080">
        <v>251</v>
      </c>
      <c r="F1080">
        <v>12</v>
      </c>
      <c r="G1080">
        <v>52</v>
      </c>
      <c r="H1080">
        <v>36</v>
      </c>
    </row>
    <row r="1081" spans="1:8" x14ac:dyDescent="0.25">
      <c r="A1081" t="s">
        <v>1745</v>
      </c>
      <c r="B1081" t="s">
        <v>122</v>
      </c>
      <c r="C1081" t="s">
        <v>31</v>
      </c>
      <c r="D1081" t="s">
        <v>47</v>
      </c>
      <c r="E1081">
        <v>248</v>
      </c>
      <c r="F1081">
        <v>19</v>
      </c>
      <c r="G1081">
        <v>50</v>
      </c>
      <c r="H1081">
        <v>31</v>
      </c>
    </row>
    <row r="1082" spans="1:8" x14ac:dyDescent="0.25">
      <c r="A1082" t="s">
        <v>1746</v>
      </c>
      <c r="B1082" t="s">
        <v>137</v>
      </c>
      <c r="C1082" t="s">
        <v>103</v>
      </c>
      <c r="D1082" t="s">
        <v>232</v>
      </c>
      <c r="E1082">
        <v>2692</v>
      </c>
      <c r="F1082">
        <v>10</v>
      </c>
      <c r="G1082">
        <v>69</v>
      </c>
      <c r="H1082">
        <v>21</v>
      </c>
    </row>
    <row r="1083" spans="1:8" x14ac:dyDescent="0.25">
      <c r="A1083" t="s">
        <v>1747</v>
      </c>
      <c r="B1083" t="s">
        <v>137</v>
      </c>
      <c r="C1083" t="s">
        <v>103</v>
      </c>
      <c r="D1083" t="s">
        <v>233</v>
      </c>
      <c r="E1083">
        <v>2209</v>
      </c>
      <c r="F1083">
        <v>11</v>
      </c>
      <c r="G1083">
        <v>69</v>
      </c>
      <c r="H1083">
        <v>20</v>
      </c>
    </row>
    <row r="1084" spans="1:8" x14ac:dyDescent="0.25">
      <c r="A1084" t="s">
        <v>1748</v>
      </c>
      <c r="B1084" t="s">
        <v>137</v>
      </c>
      <c r="C1084" t="s">
        <v>103</v>
      </c>
      <c r="D1084" t="s">
        <v>234</v>
      </c>
      <c r="E1084">
        <v>2374</v>
      </c>
      <c r="F1084">
        <v>8</v>
      </c>
      <c r="G1084">
        <v>66</v>
      </c>
      <c r="H1084">
        <v>26</v>
      </c>
    </row>
    <row r="1085" spans="1:8" x14ac:dyDescent="0.25">
      <c r="A1085" t="s">
        <v>1749</v>
      </c>
      <c r="B1085" t="s">
        <v>137</v>
      </c>
      <c r="C1085" t="s">
        <v>103</v>
      </c>
      <c r="D1085" t="s">
        <v>235</v>
      </c>
      <c r="E1085">
        <v>2150</v>
      </c>
      <c r="F1085">
        <v>8</v>
      </c>
      <c r="G1085">
        <v>67</v>
      </c>
      <c r="H1085">
        <v>25</v>
      </c>
    </row>
    <row r="1086" spans="1:8" x14ac:dyDescent="0.25">
      <c r="A1086" t="s">
        <v>1750</v>
      </c>
      <c r="B1086" t="s">
        <v>137</v>
      </c>
      <c r="C1086" t="s">
        <v>103</v>
      </c>
      <c r="D1086" t="s">
        <v>236</v>
      </c>
      <c r="E1086">
        <v>2217</v>
      </c>
      <c r="F1086">
        <v>9</v>
      </c>
      <c r="G1086">
        <v>67</v>
      </c>
      <c r="H1086">
        <v>24</v>
      </c>
    </row>
    <row r="1087" spans="1:8" x14ac:dyDescent="0.25">
      <c r="A1087" t="s">
        <v>1751</v>
      </c>
      <c r="B1087" t="s">
        <v>137</v>
      </c>
      <c r="C1087" t="s">
        <v>103</v>
      </c>
      <c r="D1087" t="s">
        <v>237</v>
      </c>
      <c r="E1087">
        <v>2285</v>
      </c>
      <c r="F1087">
        <v>8</v>
      </c>
      <c r="G1087">
        <v>67</v>
      </c>
      <c r="H1087">
        <v>25</v>
      </c>
    </row>
    <row r="1088" spans="1:8" x14ac:dyDescent="0.25">
      <c r="A1088" t="s">
        <v>1752</v>
      </c>
      <c r="B1088" t="s">
        <v>137</v>
      </c>
      <c r="C1088" t="s">
        <v>103</v>
      </c>
      <c r="D1088" t="s">
        <v>238</v>
      </c>
      <c r="E1088">
        <v>2545</v>
      </c>
      <c r="F1088">
        <v>9</v>
      </c>
      <c r="G1088">
        <v>65</v>
      </c>
      <c r="H1088">
        <v>26</v>
      </c>
    </row>
    <row r="1089" spans="1:8" x14ac:dyDescent="0.25">
      <c r="A1089" t="s">
        <v>1753</v>
      </c>
      <c r="B1089" t="s">
        <v>137</v>
      </c>
      <c r="C1089" t="s">
        <v>103</v>
      </c>
      <c r="D1089" t="s">
        <v>239</v>
      </c>
      <c r="E1089">
        <v>2201</v>
      </c>
      <c r="F1089">
        <v>7</v>
      </c>
      <c r="G1089">
        <v>67</v>
      </c>
      <c r="H1089">
        <v>26</v>
      </c>
    </row>
    <row r="1090" spans="1:8" x14ac:dyDescent="0.25">
      <c r="A1090" t="s">
        <v>1754</v>
      </c>
      <c r="B1090" t="s">
        <v>137</v>
      </c>
      <c r="C1090" t="s">
        <v>103</v>
      </c>
      <c r="D1090" t="s">
        <v>47</v>
      </c>
      <c r="E1090">
        <v>2322</v>
      </c>
      <c r="F1090">
        <v>8</v>
      </c>
      <c r="G1090">
        <v>67</v>
      </c>
      <c r="H1090">
        <v>25</v>
      </c>
    </row>
    <row r="1091" spans="1:8" x14ac:dyDescent="0.25">
      <c r="A1091" t="s">
        <v>1755</v>
      </c>
      <c r="B1091" t="s">
        <v>137</v>
      </c>
      <c r="C1091" t="s">
        <v>100</v>
      </c>
      <c r="D1091" t="s">
        <v>232</v>
      </c>
      <c r="E1091">
        <v>2715</v>
      </c>
      <c r="F1091">
        <v>11</v>
      </c>
      <c r="G1091">
        <v>45</v>
      </c>
      <c r="H1091">
        <v>44</v>
      </c>
    </row>
    <row r="1092" spans="1:8" x14ac:dyDescent="0.25">
      <c r="A1092" t="s">
        <v>1756</v>
      </c>
      <c r="B1092" t="s">
        <v>137</v>
      </c>
      <c r="C1092" t="s">
        <v>100</v>
      </c>
      <c r="D1092" t="s">
        <v>233</v>
      </c>
      <c r="E1092">
        <v>2242</v>
      </c>
      <c r="F1092">
        <v>15</v>
      </c>
      <c r="G1092">
        <v>49</v>
      </c>
      <c r="H1092">
        <v>36</v>
      </c>
    </row>
    <row r="1093" spans="1:8" x14ac:dyDescent="0.25">
      <c r="A1093" t="s">
        <v>1757</v>
      </c>
      <c r="B1093" t="s">
        <v>137</v>
      </c>
      <c r="C1093" t="s">
        <v>100</v>
      </c>
      <c r="D1093" t="s">
        <v>234</v>
      </c>
      <c r="E1093">
        <v>2398</v>
      </c>
      <c r="F1093">
        <v>11</v>
      </c>
      <c r="G1093">
        <v>50</v>
      </c>
      <c r="H1093">
        <v>39</v>
      </c>
    </row>
    <row r="1094" spans="1:8" x14ac:dyDescent="0.25">
      <c r="A1094" t="s">
        <v>1758</v>
      </c>
      <c r="B1094" t="s">
        <v>137</v>
      </c>
      <c r="C1094" t="s">
        <v>100</v>
      </c>
      <c r="D1094" t="s">
        <v>235</v>
      </c>
      <c r="E1094">
        <v>2175</v>
      </c>
      <c r="F1094">
        <v>11</v>
      </c>
      <c r="G1094">
        <v>52</v>
      </c>
      <c r="H1094">
        <v>37</v>
      </c>
    </row>
    <row r="1095" spans="1:8" x14ac:dyDescent="0.25">
      <c r="A1095" t="s">
        <v>1759</v>
      </c>
      <c r="B1095" t="s">
        <v>137</v>
      </c>
      <c r="C1095" t="s">
        <v>100</v>
      </c>
      <c r="D1095" t="s">
        <v>236</v>
      </c>
      <c r="E1095">
        <v>2246</v>
      </c>
      <c r="F1095">
        <v>14</v>
      </c>
      <c r="G1095">
        <v>54</v>
      </c>
      <c r="H1095">
        <v>32</v>
      </c>
    </row>
    <row r="1096" spans="1:8" x14ac:dyDescent="0.25">
      <c r="A1096" t="s">
        <v>1760</v>
      </c>
      <c r="B1096" t="s">
        <v>137</v>
      </c>
      <c r="C1096" t="s">
        <v>100</v>
      </c>
      <c r="D1096" t="s">
        <v>237</v>
      </c>
      <c r="E1096">
        <v>2318</v>
      </c>
      <c r="F1096">
        <v>16</v>
      </c>
      <c r="G1096">
        <v>55</v>
      </c>
      <c r="H1096">
        <v>29</v>
      </c>
    </row>
    <row r="1097" spans="1:8" x14ac:dyDescent="0.25">
      <c r="A1097" t="s">
        <v>1761</v>
      </c>
      <c r="B1097" t="s">
        <v>137</v>
      </c>
      <c r="C1097" t="s">
        <v>100</v>
      </c>
      <c r="D1097" t="s">
        <v>238</v>
      </c>
      <c r="E1097">
        <v>2574</v>
      </c>
      <c r="F1097">
        <v>17</v>
      </c>
      <c r="G1097">
        <v>52</v>
      </c>
      <c r="H1097">
        <v>31</v>
      </c>
    </row>
    <row r="1098" spans="1:8" x14ac:dyDescent="0.25">
      <c r="A1098" t="s">
        <v>1762</v>
      </c>
      <c r="B1098" t="s">
        <v>137</v>
      </c>
      <c r="C1098" t="s">
        <v>100</v>
      </c>
      <c r="D1098" t="s">
        <v>239</v>
      </c>
      <c r="E1098">
        <v>2234</v>
      </c>
      <c r="F1098">
        <v>13</v>
      </c>
      <c r="G1098">
        <v>48</v>
      </c>
      <c r="H1098">
        <v>39</v>
      </c>
    </row>
    <row r="1099" spans="1:8" x14ac:dyDescent="0.25">
      <c r="A1099" t="s">
        <v>1763</v>
      </c>
      <c r="B1099" t="s">
        <v>137</v>
      </c>
      <c r="C1099" t="s">
        <v>100</v>
      </c>
      <c r="D1099" t="s">
        <v>47</v>
      </c>
      <c r="E1099">
        <v>2350</v>
      </c>
      <c r="F1099">
        <v>15</v>
      </c>
      <c r="G1099">
        <v>54</v>
      </c>
      <c r="H1099">
        <v>31</v>
      </c>
    </row>
    <row r="1100" spans="1:8" x14ac:dyDescent="0.25">
      <c r="A1100" t="s">
        <v>1764</v>
      </c>
      <c r="B1100" t="s">
        <v>137</v>
      </c>
      <c r="C1100" t="s">
        <v>101</v>
      </c>
      <c r="D1100" t="s">
        <v>232</v>
      </c>
    </row>
    <row r="1101" spans="1:8" x14ac:dyDescent="0.25">
      <c r="A1101" t="s">
        <v>1765</v>
      </c>
      <c r="B1101" t="s">
        <v>137</v>
      </c>
      <c r="C1101" t="s">
        <v>101</v>
      </c>
      <c r="D1101" t="s">
        <v>233</v>
      </c>
    </row>
    <row r="1102" spans="1:8" x14ac:dyDescent="0.25">
      <c r="A1102" t="s">
        <v>1766</v>
      </c>
      <c r="B1102" t="s">
        <v>137</v>
      </c>
      <c r="C1102" t="s">
        <v>101</v>
      </c>
      <c r="D1102" t="s">
        <v>234</v>
      </c>
    </row>
    <row r="1103" spans="1:8" x14ac:dyDescent="0.25">
      <c r="A1103" t="s">
        <v>1767</v>
      </c>
      <c r="B1103" t="s">
        <v>137</v>
      </c>
      <c r="C1103" t="s">
        <v>101</v>
      </c>
      <c r="D1103" t="s">
        <v>235</v>
      </c>
    </row>
    <row r="1104" spans="1:8" x14ac:dyDescent="0.25">
      <c r="A1104" t="s">
        <v>1768</v>
      </c>
      <c r="B1104" t="s">
        <v>137</v>
      </c>
      <c r="C1104" t="s">
        <v>101</v>
      </c>
      <c r="D1104" t="s">
        <v>236</v>
      </c>
    </row>
    <row r="1105" spans="1:8" x14ac:dyDescent="0.25">
      <c r="A1105" t="s">
        <v>1769</v>
      </c>
      <c r="B1105" t="s">
        <v>137</v>
      </c>
      <c r="C1105" t="s">
        <v>101</v>
      </c>
      <c r="D1105" t="s">
        <v>237</v>
      </c>
    </row>
    <row r="1106" spans="1:8" x14ac:dyDescent="0.25">
      <c r="A1106" t="s">
        <v>1770</v>
      </c>
      <c r="B1106" t="s">
        <v>137</v>
      </c>
      <c r="C1106" t="s">
        <v>101</v>
      </c>
      <c r="D1106" t="s">
        <v>238</v>
      </c>
    </row>
    <row r="1107" spans="1:8" x14ac:dyDescent="0.25">
      <c r="A1107" t="s">
        <v>1771</v>
      </c>
      <c r="B1107" t="s">
        <v>137</v>
      </c>
      <c r="C1107" t="s">
        <v>101</v>
      </c>
      <c r="D1107" t="s">
        <v>239</v>
      </c>
    </row>
    <row r="1108" spans="1:8" x14ac:dyDescent="0.25">
      <c r="A1108" t="s">
        <v>1772</v>
      </c>
      <c r="B1108" t="s">
        <v>137</v>
      </c>
      <c r="C1108" t="s">
        <v>101</v>
      </c>
      <c r="D1108" t="s">
        <v>47</v>
      </c>
    </row>
    <row r="1109" spans="1:8" x14ac:dyDescent="0.25">
      <c r="A1109" t="s">
        <v>1773</v>
      </c>
      <c r="B1109" t="s">
        <v>137</v>
      </c>
      <c r="C1109" t="s">
        <v>102</v>
      </c>
      <c r="D1109" t="s">
        <v>232</v>
      </c>
      <c r="E1109">
        <v>2370</v>
      </c>
      <c r="F1109">
        <v>19</v>
      </c>
      <c r="G1109">
        <v>43</v>
      </c>
      <c r="H1109">
        <v>38</v>
      </c>
    </row>
    <row r="1110" spans="1:8" x14ac:dyDescent="0.25">
      <c r="A1110" t="s">
        <v>1774</v>
      </c>
      <c r="B1110" t="s">
        <v>137</v>
      </c>
      <c r="C1110" t="s">
        <v>102</v>
      </c>
      <c r="D1110" t="s">
        <v>233</v>
      </c>
      <c r="E1110">
        <v>1916</v>
      </c>
      <c r="F1110">
        <v>22</v>
      </c>
      <c r="G1110">
        <v>42</v>
      </c>
      <c r="H1110">
        <v>36</v>
      </c>
    </row>
    <row r="1111" spans="1:8" x14ac:dyDescent="0.25">
      <c r="A1111" t="s">
        <v>1775</v>
      </c>
      <c r="B1111" t="s">
        <v>137</v>
      </c>
      <c r="C1111" t="s">
        <v>102</v>
      </c>
      <c r="D1111" t="s">
        <v>234</v>
      </c>
      <c r="E1111">
        <v>2008</v>
      </c>
      <c r="F1111">
        <v>19</v>
      </c>
      <c r="G1111">
        <v>42</v>
      </c>
      <c r="H1111">
        <v>39</v>
      </c>
    </row>
    <row r="1112" spans="1:8" x14ac:dyDescent="0.25">
      <c r="A1112" t="s">
        <v>1776</v>
      </c>
      <c r="B1112" t="s">
        <v>137</v>
      </c>
      <c r="C1112" t="s">
        <v>102</v>
      </c>
      <c r="D1112" t="s">
        <v>235</v>
      </c>
      <c r="E1112">
        <v>1852</v>
      </c>
      <c r="F1112">
        <v>16</v>
      </c>
      <c r="G1112">
        <v>45</v>
      </c>
      <c r="H1112">
        <v>39</v>
      </c>
    </row>
    <row r="1113" spans="1:8" x14ac:dyDescent="0.25">
      <c r="A1113" t="s">
        <v>1777</v>
      </c>
      <c r="B1113" t="s">
        <v>137</v>
      </c>
      <c r="C1113" t="s">
        <v>102</v>
      </c>
      <c r="D1113" t="s">
        <v>236</v>
      </c>
      <c r="E1113">
        <v>1909</v>
      </c>
      <c r="F1113">
        <v>19</v>
      </c>
      <c r="G1113">
        <v>41</v>
      </c>
      <c r="H1113">
        <v>40</v>
      </c>
    </row>
    <row r="1114" spans="1:8" x14ac:dyDescent="0.25">
      <c r="A1114" t="s">
        <v>1778</v>
      </c>
      <c r="B1114" t="s">
        <v>137</v>
      </c>
      <c r="C1114" t="s">
        <v>102</v>
      </c>
      <c r="D1114" t="s">
        <v>237</v>
      </c>
      <c r="E1114">
        <v>2006</v>
      </c>
      <c r="F1114">
        <v>19</v>
      </c>
      <c r="G1114">
        <v>45</v>
      </c>
      <c r="H1114">
        <v>36</v>
      </c>
    </row>
    <row r="1115" spans="1:8" x14ac:dyDescent="0.25">
      <c r="A1115" t="s">
        <v>1779</v>
      </c>
      <c r="B1115" t="s">
        <v>137</v>
      </c>
      <c r="C1115" t="s">
        <v>102</v>
      </c>
      <c r="D1115" t="s">
        <v>238</v>
      </c>
      <c r="E1115">
        <v>2194</v>
      </c>
      <c r="F1115">
        <v>18</v>
      </c>
      <c r="G1115">
        <v>46</v>
      </c>
      <c r="H1115">
        <v>36</v>
      </c>
    </row>
    <row r="1116" spans="1:8" x14ac:dyDescent="0.25">
      <c r="A1116" t="s">
        <v>1780</v>
      </c>
      <c r="B1116" t="s">
        <v>137</v>
      </c>
      <c r="C1116" t="s">
        <v>102</v>
      </c>
      <c r="D1116" t="s">
        <v>239</v>
      </c>
      <c r="E1116">
        <v>1854</v>
      </c>
      <c r="F1116">
        <v>19</v>
      </c>
      <c r="G1116">
        <v>41</v>
      </c>
      <c r="H1116">
        <v>40</v>
      </c>
    </row>
    <row r="1117" spans="1:8" x14ac:dyDescent="0.25">
      <c r="A1117" t="s">
        <v>1781</v>
      </c>
      <c r="B1117" t="s">
        <v>137</v>
      </c>
      <c r="C1117" t="s">
        <v>102</v>
      </c>
      <c r="D1117" t="s">
        <v>47</v>
      </c>
      <c r="E1117">
        <v>1973</v>
      </c>
      <c r="F1117">
        <v>21</v>
      </c>
      <c r="G1117">
        <v>43</v>
      </c>
      <c r="H1117">
        <v>36</v>
      </c>
    </row>
    <row r="1118" spans="1:8" x14ac:dyDescent="0.25">
      <c r="A1118" t="s">
        <v>1782</v>
      </c>
      <c r="B1118" t="s">
        <v>137</v>
      </c>
      <c r="C1118" t="s">
        <v>31</v>
      </c>
      <c r="D1118" t="s">
        <v>232</v>
      </c>
      <c r="E1118">
        <v>2743</v>
      </c>
      <c r="F1118">
        <v>20</v>
      </c>
      <c r="G1118">
        <v>54</v>
      </c>
      <c r="H1118">
        <v>26</v>
      </c>
    </row>
    <row r="1119" spans="1:8" x14ac:dyDescent="0.25">
      <c r="A1119" t="s">
        <v>1783</v>
      </c>
      <c r="B1119" t="s">
        <v>137</v>
      </c>
      <c r="C1119" t="s">
        <v>31</v>
      </c>
      <c r="D1119" t="s">
        <v>233</v>
      </c>
      <c r="E1119">
        <v>2262</v>
      </c>
      <c r="F1119">
        <v>18</v>
      </c>
      <c r="G1119">
        <v>53</v>
      </c>
      <c r="H1119">
        <v>29</v>
      </c>
    </row>
    <row r="1120" spans="1:8" x14ac:dyDescent="0.25">
      <c r="A1120" t="s">
        <v>1784</v>
      </c>
      <c r="B1120" t="s">
        <v>137</v>
      </c>
      <c r="C1120" t="s">
        <v>31</v>
      </c>
      <c r="D1120" t="s">
        <v>234</v>
      </c>
      <c r="E1120">
        <v>2401</v>
      </c>
      <c r="F1120">
        <v>15</v>
      </c>
      <c r="G1120">
        <v>49</v>
      </c>
      <c r="H1120">
        <v>36</v>
      </c>
    </row>
    <row r="1121" spans="1:8" x14ac:dyDescent="0.25">
      <c r="A1121" t="s">
        <v>1785</v>
      </c>
      <c r="B1121" t="s">
        <v>137</v>
      </c>
      <c r="C1121" t="s">
        <v>31</v>
      </c>
      <c r="D1121" t="s">
        <v>235</v>
      </c>
      <c r="E1121">
        <v>2183</v>
      </c>
      <c r="F1121">
        <v>16</v>
      </c>
      <c r="G1121">
        <v>51</v>
      </c>
      <c r="H1121">
        <v>33</v>
      </c>
    </row>
    <row r="1122" spans="1:8" x14ac:dyDescent="0.25">
      <c r="A1122" t="s">
        <v>1786</v>
      </c>
      <c r="B1122" t="s">
        <v>137</v>
      </c>
      <c r="C1122" t="s">
        <v>31</v>
      </c>
      <c r="D1122" t="s">
        <v>236</v>
      </c>
      <c r="E1122">
        <v>2274</v>
      </c>
      <c r="F1122">
        <v>15</v>
      </c>
      <c r="G1122">
        <v>52</v>
      </c>
      <c r="H1122">
        <v>33</v>
      </c>
    </row>
    <row r="1123" spans="1:8" x14ac:dyDescent="0.25">
      <c r="A1123" t="s">
        <v>1787</v>
      </c>
      <c r="B1123" t="s">
        <v>137</v>
      </c>
      <c r="C1123" t="s">
        <v>31</v>
      </c>
      <c r="D1123" t="s">
        <v>237</v>
      </c>
      <c r="E1123">
        <v>2330</v>
      </c>
      <c r="F1123">
        <v>16</v>
      </c>
      <c r="G1123">
        <v>48</v>
      </c>
      <c r="H1123">
        <v>36</v>
      </c>
    </row>
    <row r="1124" spans="1:8" x14ac:dyDescent="0.25">
      <c r="A1124" t="s">
        <v>1788</v>
      </c>
      <c r="B1124" t="s">
        <v>137</v>
      </c>
      <c r="C1124" t="s">
        <v>31</v>
      </c>
      <c r="D1124" t="s">
        <v>238</v>
      </c>
      <c r="E1124">
        <v>2593</v>
      </c>
      <c r="F1124">
        <v>17</v>
      </c>
      <c r="G1124">
        <v>50</v>
      </c>
      <c r="H1124">
        <v>33</v>
      </c>
    </row>
    <row r="1125" spans="1:8" x14ac:dyDescent="0.25">
      <c r="A1125" t="s">
        <v>1789</v>
      </c>
      <c r="B1125" t="s">
        <v>137</v>
      </c>
      <c r="C1125" t="s">
        <v>31</v>
      </c>
      <c r="D1125" t="s">
        <v>239</v>
      </c>
      <c r="E1125">
        <v>2245</v>
      </c>
      <c r="F1125">
        <v>15</v>
      </c>
      <c r="G1125">
        <v>50</v>
      </c>
      <c r="H1125">
        <v>35</v>
      </c>
    </row>
    <row r="1126" spans="1:8" x14ac:dyDescent="0.25">
      <c r="A1126" t="s">
        <v>1790</v>
      </c>
      <c r="B1126" t="s">
        <v>137</v>
      </c>
      <c r="C1126" t="s">
        <v>31</v>
      </c>
      <c r="D1126" t="s">
        <v>47</v>
      </c>
      <c r="E1126">
        <v>2362</v>
      </c>
      <c r="F1126">
        <v>17</v>
      </c>
      <c r="G1126">
        <v>51</v>
      </c>
      <c r="H1126">
        <v>32</v>
      </c>
    </row>
    <row r="1127" spans="1:8" x14ac:dyDescent="0.25">
      <c r="A1127" t="s">
        <v>1791</v>
      </c>
      <c r="B1127" t="s">
        <v>121</v>
      </c>
      <c r="C1127" t="s">
        <v>103</v>
      </c>
      <c r="D1127" t="s">
        <v>232</v>
      </c>
      <c r="E1127">
        <v>494</v>
      </c>
      <c r="F1127">
        <v>12</v>
      </c>
      <c r="G1127">
        <v>59</v>
      </c>
      <c r="H1127">
        <v>29</v>
      </c>
    </row>
    <row r="1128" spans="1:8" x14ac:dyDescent="0.25">
      <c r="A1128" t="s">
        <v>1792</v>
      </c>
      <c r="B1128" t="s">
        <v>121</v>
      </c>
      <c r="C1128" t="s">
        <v>103</v>
      </c>
      <c r="D1128" t="s">
        <v>233</v>
      </c>
      <c r="E1128">
        <v>459</v>
      </c>
      <c r="F1128">
        <v>9</v>
      </c>
      <c r="G1128">
        <v>62</v>
      </c>
      <c r="H1128">
        <v>29</v>
      </c>
    </row>
    <row r="1129" spans="1:8" x14ac:dyDescent="0.25">
      <c r="A1129" t="s">
        <v>1793</v>
      </c>
      <c r="B1129" t="s">
        <v>121</v>
      </c>
      <c r="C1129" t="s">
        <v>103</v>
      </c>
      <c r="D1129" t="s">
        <v>234</v>
      </c>
      <c r="E1129">
        <v>457</v>
      </c>
      <c r="F1129">
        <v>10</v>
      </c>
      <c r="G1129">
        <v>53</v>
      </c>
      <c r="H1129">
        <v>37</v>
      </c>
    </row>
    <row r="1130" spans="1:8" x14ac:dyDescent="0.25">
      <c r="A1130" t="s">
        <v>1794</v>
      </c>
      <c r="B1130" t="s">
        <v>121</v>
      </c>
      <c r="C1130" t="s">
        <v>103</v>
      </c>
      <c r="D1130" t="s">
        <v>235</v>
      </c>
      <c r="E1130">
        <v>441</v>
      </c>
      <c r="F1130">
        <v>7</v>
      </c>
      <c r="G1130">
        <v>61</v>
      </c>
      <c r="H1130">
        <v>32</v>
      </c>
    </row>
    <row r="1131" spans="1:8" x14ac:dyDescent="0.25">
      <c r="A1131" t="s">
        <v>1795</v>
      </c>
      <c r="B1131" t="s">
        <v>121</v>
      </c>
      <c r="C1131" t="s">
        <v>103</v>
      </c>
      <c r="D1131" t="s">
        <v>236</v>
      </c>
      <c r="E1131">
        <v>428</v>
      </c>
      <c r="F1131">
        <v>11</v>
      </c>
      <c r="G1131">
        <v>61</v>
      </c>
      <c r="H1131">
        <v>28</v>
      </c>
    </row>
    <row r="1132" spans="1:8" x14ac:dyDescent="0.25">
      <c r="A1132" t="s">
        <v>1796</v>
      </c>
      <c r="B1132" t="s">
        <v>121</v>
      </c>
      <c r="C1132" t="s">
        <v>103</v>
      </c>
      <c r="D1132" t="s">
        <v>237</v>
      </c>
      <c r="E1132">
        <v>430</v>
      </c>
      <c r="F1132">
        <v>8</v>
      </c>
      <c r="G1132">
        <v>56</v>
      </c>
      <c r="H1132">
        <v>36</v>
      </c>
    </row>
    <row r="1133" spans="1:8" x14ac:dyDescent="0.25">
      <c r="A1133" t="s">
        <v>1797</v>
      </c>
      <c r="B1133" t="s">
        <v>121</v>
      </c>
      <c r="C1133" t="s">
        <v>103</v>
      </c>
      <c r="D1133" t="s">
        <v>238</v>
      </c>
      <c r="E1133">
        <v>483</v>
      </c>
      <c r="F1133">
        <v>8</v>
      </c>
      <c r="G1133">
        <v>64</v>
      </c>
      <c r="H1133">
        <v>28</v>
      </c>
    </row>
    <row r="1134" spans="1:8" x14ac:dyDescent="0.25">
      <c r="A1134" t="s">
        <v>1798</v>
      </c>
      <c r="B1134" t="s">
        <v>121</v>
      </c>
      <c r="C1134" t="s">
        <v>103</v>
      </c>
      <c r="D1134" t="s">
        <v>239</v>
      </c>
      <c r="E1134">
        <v>404</v>
      </c>
      <c r="F1134">
        <v>8</v>
      </c>
      <c r="G1134">
        <v>61</v>
      </c>
      <c r="H1134">
        <v>31</v>
      </c>
    </row>
    <row r="1135" spans="1:8" x14ac:dyDescent="0.25">
      <c r="A1135" t="s">
        <v>1799</v>
      </c>
      <c r="B1135" t="s">
        <v>121</v>
      </c>
      <c r="C1135" t="s">
        <v>103</v>
      </c>
      <c r="D1135" t="s">
        <v>47</v>
      </c>
      <c r="E1135">
        <v>429</v>
      </c>
      <c r="F1135">
        <v>9</v>
      </c>
      <c r="G1135">
        <v>64</v>
      </c>
      <c r="H1135">
        <v>27</v>
      </c>
    </row>
    <row r="1136" spans="1:8" x14ac:dyDescent="0.25">
      <c r="A1136" t="s">
        <v>1800</v>
      </c>
      <c r="B1136" t="s">
        <v>121</v>
      </c>
      <c r="C1136" t="s">
        <v>100</v>
      </c>
      <c r="D1136" t="s">
        <v>232</v>
      </c>
      <c r="E1136">
        <v>502</v>
      </c>
      <c r="F1136">
        <v>16</v>
      </c>
      <c r="G1136">
        <v>46</v>
      </c>
      <c r="H1136">
        <v>38</v>
      </c>
    </row>
    <row r="1137" spans="1:8" x14ac:dyDescent="0.25">
      <c r="A1137" t="s">
        <v>1801</v>
      </c>
      <c r="B1137" t="s">
        <v>121</v>
      </c>
      <c r="C1137" t="s">
        <v>100</v>
      </c>
      <c r="D1137" t="s">
        <v>233</v>
      </c>
      <c r="E1137">
        <v>459</v>
      </c>
      <c r="F1137">
        <v>18</v>
      </c>
      <c r="G1137">
        <v>51</v>
      </c>
      <c r="H1137">
        <v>31</v>
      </c>
    </row>
    <row r="1138" spans="1:8" x14ac:dyDescent="0.25">
      <c r="A1138" t="s">
        <v>1802</v>
      </c>
      <c r="B1138" t="s">
        <v>121</v>
      </c>
      <c r="C1138" t="s">
        <v>100</v>
      </c>
      <c r="D1138" t="s">
        <v>234</v>
      </c>
      <c r="E1138">
        <v>472</v>
      </c>
      <c r="F1138">
        <v>15</v>
      </c>
      <c r="G1138">
        <v>49</v>
      </c>
      <c r="H1138">
        <v>36</v>
      </c>
    </row>
    <row r="1139" spans="1:8" x14ac:dyDescent="0.25">
      <c r="A1139" t="s">
        <v>1803</v>
      </c>
      <c r="B1139" t="s">
        <v>121</v>
      </c>
      <c r="C1139" t="s">
        <v>100</v>
      </c>
      <c r="D1139" t="s">
        <v>235</v>
      </c>
      <c r="E1139">
        <v>446</v>
      </c>
      <c r="F1139">
        <v>16</v>
      </c>
      <c r="G1139">
        <v>50</v>
      </c>
      <c r="H1139">
        <v>34</v>
      </c>
    </row>
    <row r="1140" spans="1:8" x14ac:dyDescent="0.25">
      <c r="A1140" t="s">
        <v>1804</v>
      </c>
      <c r="B1140" t="s">
        <v>121</v>
      </c>
      <c r="C1140" t="s">
        <v>100</v>
      </c>
      <c r="D1140" t="s">
        <v>236</v>
      </c>
      <c r="E1140">
        <v>441</v>
      </c>
      <c r="F1140">
        <v>19</v>
      </c>
      <c r="G1140">
        <v>57</v>
      </c>
      <c r="H1140">
        <v>24</v>
      </c>
    </row>
    <row r="1141" spans="1:8" x14ac:dyDescent="0.25">
      <c r="A1141" t="s">
        <v>1805</v>
      </c>
      <c r="B1141" t="s">
        <v>121</v>
      </c>
      <c r="C1141" t="s">
        <v>100</v>
      </c>
      <c r="D1141" t="s">
        <v>237</v>
      </c>
      <c r="E1141">
        <v>435</v>
      </c>
      <c r="F1141">
        <v>14</v>
      </c>
      <c r="G1141">
        <v>61</v>
      </c>
      <c r="H1141">
        <v>25</v>
      </c>
    </row>
    <row r="1142" spans="1:8" x14ac:dyDescent="0.25">
      <c r="A1142" t="s">
        <v>1806</v>
      </c>
      <c r="B1142" t="s">
        <v>121</v>
      </c>
      <c r="C1142" t="s">
        <v>100</v>
      </c>
      <c r="D1142" t="s">
        <v>238</v>
      </c>
      <c r="E1142">
        <v>487</v>
      </c>
      <c r="F1142">
        <v>21</v>
      </c>
      <c r="G1142">
        <v>57</v>
      </c>
      <c r="H1142">
        <v>22</v>
      </c>
    </row>
    <row r="1143" spans="1:8" x14ac:dyDescent="0.25">
      <c r="A1143" t="s">
        <v>1807</v>
      </c>
      <c r="B1143" t="s">
        <v>121</v>
      </c>
      <c r="C1143" t="s">
        <v>100</v>
      </c>
      <c r="D1143" t="s">
        <v>239</v>
      </c>
      <c r="E1143">
        <v>407</v>
      </c>
      <c r="F1143">
        <v>15</v>
      </c>
      <c r="G1143">
        <v>48</v>
      </c>
      <c r="H1143">
        <v>37</v>
      </c>
    </row>
    <row r="1144" spans="1:8" x14ac:dyDescent="0.25">
      <c r="A1144" t="s">
        <v>1808</v>
      </c>
      <c r="B1144" t="s">
        <v>121</v>
      </c>
      <c r="C1144" t="s">
        <v>100</v>
      </c>
      <c r="D1144" t="s">
        <v>47</v>
      </c>
      <c r="E1144">
        <v>431</v>
      </c>
      <c r="F1144">
        <v>17</v>
      </c>
      <c r="G1144">
        <v>60</v>
      </c>
      <c r="H1144">
        <v>23</v>
      </c>
    </row>
    <row r="1145" spans="1:8" x14ac:dyDescent="0.25">
      <c r="A1145" t="s">
        <v>1809</v>
      </c>
      <c r="B1145" t="s">
        <v>121</v>
      </c>
      <c r="C1145" t="s">
        <v>101</v>
      </c>
      <c r="D1145" t="s">
        <v>232</v>
      </c>
      <c r="E1145">
        <v>422</v>
      </c>
      <c r="F1145">
        <v>19</v>
      </c>
      <c r="G1145">
        <v>50</v>
      </c>
      <c r="H1145">
        <v>31</v>
      </c>
    </row>
    <row r="1146" spans="1:8" x14ac:dyDescent="0.25">
      <c r="A1146" t="s">
        <v>1810</v>
      </c>
      <c r="B1146" t="s">
        <v>121</v>
      </c>
      <c r="C1146" t="s">
        <v>101</v>
      </c>
      <c r="D1146" t="s">
        <v>233</v>
      </c>
      <c r="E1146">
        <v>379</v>
      </c>
      <c r="F1146">
        <v>18</v>
      </c>
      <c r="G1146">
        <v>51</v>
      </c>
      <c r="H1146">
        <v>31</v>
      </c>
    </row>
    <row r="1147" spans="1:8" x14ac:dyDescent="0.25">
      <c r="A1147" t="s">
        <v>1811</v>
      </c>
      <c r="B1147" t="s">
        <v>121</v>
      </c>
      <c r="C1147" t="s">
        <v>101</v>
      </c>
      <c r="D1147" t="s">
        <v>234</v>
      </c>
      <c r="E1147">
        <v>385</v>
      </c>
      <c r="F1147">
        <v>17</v>
      </c>
      <c r="G1147">
        <v>53</v>
      </c>
      <c r="H1147">
        <v>30</v>
      </c>
    </row>
    <row r="1148" spans="1:8" x14ac:dyDescent="0.25">
      <c r="A1148" t="s">
        <v>1812</v>
      </c>
      <c r="B1148" t="s">
        <v>121</v>
      </c>
      <c r="C1148" t="s">
        <v>101</v>
      </c>
      <c r="D1148" t="s">
        <v>235</v>
      </c>
      <c r="E1148">
        <v>364</v>
      </c>
      <c r="F1148">
        <v>17</v>
      </c>
      <c r="G1148">
        <v>52</v>
      </c>
      <c r="H1148">
        <v>31</v>
      </c>
    </row>
    <row r="1149" spans="1:8" x14ac:dyDescent="0.25">
      <c r="A1149" t="s">
        <v>1813</v>
      </c>
      <c r="B1149" t="s">
        <v>121</v>
      </c>
      <c r="C1149" t="s">
        <v>101</v>
      </c>
      <c r="D1149" t="s">
        <v>236</v>
      </c>
      <c r="E1149">
        <v>372</v>
      </c>
      <c r="F1149">
        <v>16</v>
      </c>
      <c r="G1149">
        <v>53</v>
      </c>
      <c r="H1149">
        <v>31</v>
      </c>
    </row>
    <row r="1150" spans="1:8" x14ac:dyDescent="0.25">
      <c r="A1150" t="s">
        <v>1814</v>
      </c>
      <c r="B1150" t="s">
        <v>121</v>
      </c>
      <c r="C1150" t="s">
        <v>101</v>
      </c>
      <c r="D1150" t="s">
        <v>237</v>
      </c>
      <c r="E1150">
        <v>343</v>
      </c>
      <c r="F1150">
        <v>13</v>
      </c>
      <c r="G1150">
        <v>55</v>
      </c>
      <c r="H1150">
        <v>32</v>
      </c>
    </row>
    <row r="1151" spans="1:8" x14ac:dyDescent="0.25">
      <c r="A1151" t="s">
        <v>1815</v>
      </c>
      <c r="B1151" t="s">
        <v>121</v>
      </c>
      <c r="C1151" t="s">
        <v>101</v>
      </c>
      <c r="D1151" t="s">
        <v>238</v>
      </c>
      <c r="E1151">
        <v>412</v>
      </c>
      <c r="F1151">
        <v>19</v>
      </c>
      <c r="G1151">
        <v>59</v>
      </c>
      <c r="H1151">
        <v>22</v>
      </c>
    </row>
    <row r="1152" spans="1:8" x14ac:dyDescent="0.25">
      <c r="A1152" t="s">
        <v>1816</v>
      </c>
      <c r="B1152" t="s">
        <v>121</v>
      </c>
      <c r="C1152" t="s">
        <v>101</v>
      </c>
      <c r="D1152" t="s">
        <v>239</v>
      </c>
      <c r="E1152">
        <v>341</v>
      </c>
      <c r="F1152">
        <v>16</v>
      </c>
      <c r="G1152">
        <v>53</v>
      </c>
      <c r="H1152">
        <v>31</v>
      </c>
    </row>
    <row r="1153" spans="1:8" x14ac:dyDescent="0.25">
      <c r="A1153" t="s">
        <v>1817</v>
      </c>
      <c r="B1153" t="s">
        <v>121</v>
      </c>
      <c r="C1153" t="s">
        <v>101</v>
      </c>
      <c r="D1153" t="s">
        <v>47</v>
      </c>
      <c r="E1153">
        <v>351</v>
      </c>
      <c r="F1153">
        <v>18</v>
      </c>
      <c r="G1153">
        <v>61</v>
      </c>
      <c r="H1153">
        <v>21</v>
      </c>
    </row>
    <row r="1154" spans="1:8" x14ac:dyDescent="0.25">
      <c r="A1154" t="s">
        <v>1818</v>
      </c>
      <c r="B1154" t="s">
        <v>121</v>
      </c>
      <c r="C1154" t="s">
        <v>102</v>
      </c>
      <c r="D1154" t="s">
        <v>232</v>
      </c>
      <c r="E1154">
        <v>433</v>
      </c>
      <c r="F1154">
        <v>20</v>
      </c>
      <c r="G1154">
        <v>37</v>
      </c>
      <c r="H1154">
        <v>43</v>
      </c>
    </row>
    <row r="1155" spans="1:8" x14ac:dyDescent="0.25">
      <c r="A1155" t="s">
        <v>1819</v>
      </c>
      <c r="B1155" t="s">
        <v>121</v>
      </c>
      <c r="C1155" t="s">
        <v>102</v>
      </c>
      <c r="D1155" t="s">
        <v>233</v>
      </c>
      <c r="E1155">
        <v>404</v>
      </c>
      <c r="F1155">
        <v>22</v>
      </c>
      <c r="G1155">
        <v>38</v>
      </c>
      <c r="H1155">
        <v>40</v>
      </c>
    </row>
    <row r="1156" spans="1:8" x14ac:dyDescent="0.25">
      <c r="A1156" t="s">
        <v>1820</v>
      </c>
      <c r="B1156" t="s">
        <v>121</v>
      </c>
      <c r="C1156" t="s">
        <v>102</v>
      </c>
      <c r="D1156" t="s">
        <v>234</v>
      </c>
      <c r="E1156">
        <v>398</v>
      </c>
      <c r="F1156">
        <v>17</v>
      </c>
      <c r="G1156">
        <v>42</v>
      </c>
      <c r="H1156">
        <v>41</v>
      </c>
    </row>
    <row r="1157" spans="1:8" x14ac:dyDescent="0.25">
      <c r="A1157" t="s">
        <v>1821</v>
      </c>
      <c r="B1157" t="s">
        <v>121</v>
      </c>
      <c r="C1157" t="s">
        <v>102</v>
      </c>
      <c r="D1157" t="s">
        <v>235</v>
      </c>
      <c r="E1157">
        <v>387</v>
      </c>
      <c r="F1157">
        <v>18</v>
      </c>
      <c r="G1157">
        <v>42</v>
      </c>
      <c r="H1157">
        <v>40</v>
      </c>
    </row>
    <row r="1158" spans="1:8" x14ac:dyDescent="0.25">
      <c r="A1158" t="s">
        <v>1822</v>
      </c>
      <c r="B1158" t="s">
        <v>121</v>
      </c>
      <c r="C1158" t="s">
        <v>102</v>
      </c>
      <c r="D1158" t="s">
        <v>236</v>
      </c>
      <c r="E1158">
        <v>364</v>
      </c>
      <c r="F1158">
        <v>21</v>
      </c>
      <c r="G1158">
        <v>42</v>
      </c>
      <c r="H1158">
        <v>37</v>
      </c>
    </row>
    <row r="1159" spans="1:8" x14ac:dyDescent="0.25">
      <c r="A1159" t="s">
        <v>1823</v>
      </c>
      <c r="B1159" t="s">
        <v>121</v>
      </c>
      <c r="C1159" t="s">
        <v>102</v>
      </c>
      <c r="D1159" t="s">
        <v>237</v>
      </c>
      <c r="E1159">
        <v>365</v>
      </c>
      <c r="F1159">
        <v>20</v>
      </c>
      <c r="G1159">
        <v>36</v>
      </c>
      <c r="H1159">
        <v>44</v>
      </c>
    </row>
    <row r="1160" spans="1:8" x14ac:dyDescent="0.25">
      <c r="A1160" t="s">
        <v>1824</v>
      </c>
      <c r="B1160" t="s">
        <v>121</v>
      </c>
      <c r="C1160" t="s">
        <v>102</v>
      </c>
      <c r="D1160" t="s">
        <v>238</v>
      </c>
      <c r="E1160">
        <v>435</v>
      </c>
      <c r="F1160">
        <v>18</v>
      </c>
      <c r="G1160">
        <v>47</v>
      </c>
      <c r="H1160">
        <v>35</v>
      </c>
    </row>
    <row r="1161" spans="1:8" x14ac:dyDescent="0.25">
      <c r="A1161" t="s">
        <v>1825</v>
      </c>
      <c r="B1161" t="s">
        <v>121</v>
      </c>
      <c r="C1161" t="s">
        <v>102</v>
      </c>
      <c r="D1161" t="s">
        <v>239</v>
      </c>
      <c r="E1161">
        <v>349</v>
      </c>
      <c r="F1161">
        <v>20</v>
      </c>
      <c r="G1161">
        <v>44</v>
      </c>
      <c r="H1161">
        <v>36</v>
      </c>
    </row>
    <row r="1162" spans="1:8" x14ac:dyDescent="0.25">
      <c r="A1162" t="s">
        <v>1826</v>
      </c>
      <c r="B1162" t="s">
        <v>121</v>
      </c>
      <c r="C1162" t="s">
        <v>102</v>
      </c>
      <c r="D1162" t="s">
        <v>47</v>
      </c>
      <c r="E1162">
        <v>364</v>
      </c>
      <c r="F1162">
        <v>22</v>
      </c>
      <c r="G1162">
        <v>47</v>
      </c>
      <c r="H1162">
        <v>31</v>
      </c>
    </row>
    <row r="1163" spans="1:8" x14ac:dyDescent="0.25">
      <c r="A1163" t="s">
        <v>1827</v>
      </c>
      <c r="B1163" t="s">
        <v>121</v>
      </c>
      <c r="C1163" t="s">
        <v>31</v>
      </c>
      <c r="D1163" t="s">
        <v>232</v>
      </c>
      <c r="E1163">
        <v>511</v>
      </c>
      <c r="F1163">
        <v>16</v>
      </c>
      <c r="G1163">
        <v>51</v>
      </c>
      <c r="H1163">
        <v>33</v>
      </c>
    </row>
    <row r="1164" spans="1:8" x14ac:dyDescent="0.25">
      <c r="A1164" t="s">
        <v>1828</v>
      </c>
      <c r="B1164" t="s">
        <v>121</v>
      </c>
      <c r="C1164" t="s">
        <v>31</v>
      </c>
      <c r="D1164" t="s">
        <v>233</v>
      </c>
      <c r="E1164">
        <v>465</v>
      </c>
      <c r="F1164">
        <v>18</v>
      </c>
      <c r="G1164">
        <v>50</v>
      </c>
      <c r="H1164">
        <v>32</v>
      </c>
    </row>
    <row r="1165" spans="1:8" x14ac:dyDescent="0.25">
      <c r="A1165" t="s">
        <v>1829</v>
      </c>
      <c r="B1165" t="s">
        <v>121</v>
      </c>
      <c r="C1165" t="s">
        <v>31</v>
      </c>
      <c r="D1165" t="s">
        <v>234</v>
      </c>
      <c r="E1165">
        <v>471</v>
      </c>
      <c r="F1165">
        <v>12</v>
      </c>
      <c r="G1165">
        <v>49</v>
      </c>
      <c r="H1165">
        <v>39</v>
      </c>
    </row>
    <row r="1166" spans="1:8" x14ac:dyDescent="0.25">
      <c r="A1166" t="s">
        <v>1830</v>
      </c>
      <c r="B1166" t="s">
        <v>121</v>
      </c>
      <c r="C1166" t="s">
        <v>31</v>
      </c>
      <c r="D1166" t="s">
        <v>235</v>
      </c>
      <c r="E1166">
        <v>446</v>
      </c>
      <c r="F1166">
        <v>11</v>
      </c>
      <c r="G1166">
        <v>54</v>
      </c>
      <c r="H1166">
        <v>35</v>
      </c>
    </row>
    <row r="1167" spans="1:8" x14ac:dyDescent="0.25">
      <c r="A1167" t="s">
        <v>1831</v>
      </c>
      <c r="B1167" t="s">
        <v>121</v>
      </c>
      <c r="C1167" t="s">
        <v>31</v>
      </c>
      <c r="D1167" t="s">
        <v>236</v>
      </c>
      <c r="E1167">
        <v>447</v>
      </c>
      <c r="F1167">
        <v>15</v>
      </c>
      <c r="G1167">
        <v>51</v>
      </c>
      <c r="H1167">
        <v>34</v>
      </c>
    </row>
    <row r="1168" spans="1:8" x14ac:dyDescent="0.25">
      <c r="A1168" t="s">
        <v>1832</v>
      </c>
      <c r="B1168" t="s">
        <v>121</v>
      </c>
      <c r="C1168" t="s">
        <v>31</v>
      </c>
      <c r="D1168" t="s">
        <v>237</v>
      </c>
      <c r="E1168">
        <v>438</v>
      </c>
      <c r="F1168">
        <v>15</v>
      </c>
      <c r="G1168">
        <v>49</v>
      </c>
      <c r="H1168">
        <v>36</v>
      </c>
    </row>
    <row r="1169" spans="1:8" x14ac:dyDescent="0.25">
      <c r="A1169" t="s">
        <v>1833</v>
      </c>
      <c r="B1169" t="s">
        <v>121</v>
      </c>
      <c r="C1169" t="s">
        <v>31</v>
      </c>
      <c r="D1169" t="s">
        <v>238</v>
      </c>
      <c r="E1169">
        <v>494</v>
      </c>
      <c r="F1169">
        <v>17</v>
      </c>
      <c r="G1169">
        <v>54</v>
      </c>
      <c r="H1169">
        <v>29</v>
      </c>
    </row>
    <row r="1170" spans="1:8" x14ac:dyDescent="0.25">
      <c r="A1170" t="s">
        <v>1834</v>
      </c>
      <c r="B1170" t="s">
        <v>121</v>
      </c>
      <c r="C1170" t="s">
        <v>31</v>
      </c>
      <c r="D1170" t="s">
        <v>239</v>
      </c>
      <c r="E1170">
        <v>409</v>
      </c>
      <c r="F1170">
        <v>21</v>
      </c>
      <c r="G1170">
        <v>51</v>
      </c>
      <c r="H1170">
        <v>28</v>
      </c>
    </row>
    <row r="1171" spans="1:8" x14ac:dyDescent="0.25">
      <c r="A1171" t="s">
        <v>1835</v>
      </c>
      <c r="B1171" t="s">
        <v>121</v>
      </c>
      <c r="C1171" t="s">
        <v>31</v>
      </c>
      <c r="D1171" t="s">
        <v>47</v>
      </c>
      <c r="E1171">
        <v>438</v>
      </c>
      <c r="F1171">
        <v>24</v>
      </c>
      <c r="G1171">
        <v>49</v>
      </c>
      <c r="H1171">
        <v>27</v>
      </c>
    </row>
    <row r="1172" spans="1:8" x14ac:dyDescent="0.25">
      <c r="A1172" t="s">
        <v>1836</v>
      </c>
      <c r="B1172" t="s">
        <v>38</v>
      </c>
      <c r="C1172" t="s">
        <v>103</v>
      </c>
      <c r="D1172" t="s">
        <v>232</v>
      </c>
      <c r="E1172">
        <v>5986</v>
      </c>
      <c r="F1172">
        <v>9</v>
      </c>
      <c r="G1172">
        <v>70</v>
      </c>
      <c r="H1172">
        <v>21</v>
      </c>
    </row>
    <row r="1173" spans="1:8" x14ac:dyDescent="0.25">
      <c r="A1173" t="s">
        <v>1837</v>
      </c>
      <c r="B1173" t="s">
        <v>38</v>
      </c>
      <c r="C1173" t="s">
        <v>103</v>
      </c>
      <c r="D1173" t="s">
        <v>233</v>
      </c>
      <c r="E1173">
        <v>4904</v>
      </c>
      <c r="F1173">
        <v>10</v>
      </c>
      <c r="G1173">
        <v>69</v>
      </c>
      <c r="H1173">
        <v>21</v>
      </c>
    </row>
    <row r="1174" spans="1:8" x14ac:dyDescent="0.25">
      <c r="A1174" t="s">
        <v>1838</v>
      </c>
      <c r="B1174" t="s">
        <v>38</v>
      </c>
      <c r="C1174" t="s">
        <v>103</v>
      </c>
      <c r="D1174" t="s">
        <v>234</v>
      </c>
      <c r="E1174">
        <v>5190</v>
      </c>
      <c r="F1174">
        <v>8</v>
      </c>
      <c r="G1174">
        <v>67</v>
      </c>
      <c r="H1174">
        <v>25</v>
      </c>
    </row>
    <row r="1175" spans="1:8" x14ac:dyDescent="0.25">
      <c r="A1175" t="s">
        <v>1839</v>
      </c>
      <c r="B1175" t="s">
        <v>38</v>
      </c>
      <c r="C1175" t="s">
        <v>103</v>
      </c>
      <c r="D1175" t="s">
        <v>235</v>
      </c>
      <c r="E1175">
        <v>4838</v>
      </c>
      <c r="F1175">
        <v>8</v>
      </c>
      <c r="G1175">
        <v>69</v>
      </c>
      <c r="H1175">
        <v>23</v>
      </c>
    </row>
    <row r="1176" spans="1:8" x14ac:dyDescent="0.25">
      <c r="A1176" t="s">
        <v>1840</v>
      </c>
      <c r="B1176" t="s">
        <v>38</v>
      </c>
      <c r="C1176" t="s">
        <v>103</v>
      </c>
      <c r="D1176" t="s">
        <v>236</v>
      </c>
      <c r="E1176">
        <v>4801</v>
      </c>
      <c r="F1176">
        <v>9</v>
      </c>
      <c r="G1176">
        <v>68</v>
      </c>
      <c r="H1176">
        <v>23</v>
      </c>
    </row>
    <row r="1177" spans="1:8" x14ac:dyDescent="0.25">
      <c r="A1177" t="s">
        <v>1841</v>
      </c>
      <c r="B1177" t="s">
        <v>38</v>
      </c>
      <c r="C1177" t="s">
        <v>103</v>
      </c>
      <c r="D1177" t="s">
        <v>237</v>
      </c>
      <c r="E1177">
        <v>4820</v>
      </c>
      <c r="F1177">
        <v>8</v>
      </c>
      <c r="G1177">
        <v>67</v>
      </c>
      <c r="H1177">
        <v>25</v>
      </c>
    </row>
    <row r="1178" spans="1:8" x14ac:dyDescent="0.25">
      <c r="A1178" t="s">
        <v>1842</v>
      </c>
      <c r="B1178" t="s">
        <v>38</v>
      </c>
      <c r="C1178" t="s">
        <v>103</v>
      </c>
      <c r="D1178" t="s">
        <v>238</v>
      </c>
      <c r="E1178">
        <v>5687</v>
      </c>
      <c r="F1178">
        <v>8</v>
      </c>
      <c r="G1178">
        <v>67</v>
      </c>
      <c r="H1178">
        <v>25</v>
      </c>
    </row>
    <row r="1179" spans="1:8" x14ac:dyDescent="0.25">
      <c r="A1179" t="s">
        <v>1843</v>
      </c>
      <c r="B1179" t="s">
        <v>38</v>
      </c>
      <c r="C1179" t="s">
        <v>103</v>
      </c>
      <c r="D1179" t="s">
        <v>239</v>
      </c>
      <c r="E1179">
        <v>4755</v>
      </c>
      <c r="F1179">
        <v>6</v>
      </c>
      <c r="G1179">
        <v>68</v>
      </c>
      <c r="H1179">
        <v>26</v>
      </c>
    </row>
    <row r="1180" spans="1:8" x14ac:dyDescent="0.25">
      <c r="A1180" t="s">
        <v>1844</v>
      </c>
      <c r="B1180" t="s">
        <v>38</v>
      </c>
      <c r="C1180" t="s">
        <v>103</v>
      </c>
      <c r="D1180" t="s">
        <v>47</v>
      </c>
      <c r="E1180">
        <v>4949</v>
      </c>
      <c r="F1180">
        <v>7</v>
      </c>
      <c r="G1180">
        <v>66</v>
      </c>
      <c r="H1180">
        <v>27</v>
      </c>
    </row>
    <row r="1181" spans="1:8" x14ac:dyDescent="0.25">
      <c r="A1181" t="s">
        <v>1845</v>
      </c>
      <c r="B1181" t="s">
        <v>38</v>
      </c>
      <c r="C1181" t="s">
        <v>100</v>
      </c>
      <c r="D1181" t="s">
        <v>232</v>
      </c>
      <c r="E1181">
        <v>6076</v>
      </c>
      <c r="F1181">
        <v>10</v>
      </c>
      <c r="G1181">
        <v>47</v>
      </c>
      <c r="H1181">
        <v>43</v>
      </c>
    </row>
    <row r="1182" spans="1:8" x14ac:dyDescent="0.25">
      <c r="A1182" t="s">
        <v>1846</v>
      </c>
      <c r="B1182" t="s">
        <v>38</v>
      </c>
      <c r="C1182" t="s">
        <v>100</v>
      </c>
      <c r="D1182" t="s">
        <v>233</v>
      </c>
      <c r="E1182">
        <v>5018</v>
      </c>
      <c r="F1182">
        <v>13</v>
      </c>
      <c r="G1182">
        <v>53</v>
      </c>
      <c r="H1182">
        <v>34</v>
      </c>
    </row>
    <row r="1183" spans="1:8" x14ac:dyDescent="0.25">
      <c r="A1183" t="s">
        <v>1847</v>
      </c>
      <c r="B1183" t="s">
        <v>38</v>
      </c>
      <c r="C1183" t="s">
        <v>100</v>
      </c>
      <c r="D1183" t="s">
        <v>234</v>
      </c>
      <c r="E1183">
        <v>5291</v>
      </c>
      <c r="F1183">
        <v>10</v>
      </c>
      <c r="G1183">
        <v>52</v>
      </c>
      <c r="H1183">
        <v>38</v>
      </c>
    </row>
    <row r="1184" spans="1:8" x14ac:dyDescent="0.25">
      <c r="A1184" t="s">
        <v>1848</v>
      </c>
      <c r="B1184" t="s">
        <v>38</v>
      </c>
      <c r="C1184" t="s">
        <v>100</v>
      </c>
      <c r="D1184" t="s">
        <v>235</v>
      </c>
      <c r="E1184">
        <v>4936</v>
      </c>
      <c r="F1184">
        <v>11</v>
      </c>
      <c r="G1184">
        <v>52</v>
      </c>
      <c r="H1184">
        <v>37</v>
      </c>
    </row>
    <row r="1185" spans="1:8" x14ac:dyDescent="0.25">
      <c r="A1185" t="s">
        <v>1849</v>
      </c>
      <c r="B1185" t="s">
        <v>38</v>
      </c>
      <c r="C1185" t="s">
        <v>100</v>
      </c>
      <c r="D1185" t="s">
        <v>236</v>
      </c>
      <c r="E1185">
        <v>4922</v>
      </c>
      <c r="F1185">
        <v>13</v>
      </c>
      <c r="G1185">
        <v>54</v>
      </c>
      <c r="H1185">
        <v>33</v>
      </c>
    </row>
    <row r="1186" spans="1:8" x14ac:dyDescent="0.25">
      <c r="A1186" t="s">
        <v>1850</v>
      </c>
      <c r="B1186" t="s">
        <v>38</v>
      </c>
      <c r="C1186" t="s">
        <v>100</v>
      </c>
      <c r="D1186" t="s">
        <v>237</v>
      </c>
      <c r="E1186">
        <v>4927</v>
      </c>
      <c r="F1186">
        <v>13</v>
      </c>
      <c r="G1186">
        <v>55</v>
      </c>
      <c r="H1186">
        <v>32</v>
      </c>
    </row>
    <row r="1187" spans="1:8" x14ac:dyDescent="0.25">
      <c r="A1187" t="s">
        <v>1851</v>
      </c>
      <c r="B1187" t="s">
        <v>38</v>
      </c>
      <c r="C1187" t="s">
        <v>100</v>
      </c>
      <c r="D1187" t="s">
        <v>238</v>
      </c>
      <c r="E1187">
        <v>5803</v>
      </c>
      <c r="F1187">
        <v>14</v>
      </c>
      <c r="G1187">
        <v>53</v>
      </c>
      <c r="H1187">
        <v>33</v>
      </c>
    </row>
    <row r="1188" spans="1:8" x14ac:dyDescent="0.25">
      <c r="A1188" t="s">
        <v>1852</v>
      </c>
      <c r="B1188" t="s">
        <v>38</v>
      </c>
      <c r="C1188" t="s">
        <v>100</v>
      </c>
      <c r="D1188" t="s">
        <v>239</v>
      </c>
      <c r="E1188">
        <v>4888</v>
      </c>
      <c r="F1188">
        <v>11</v>
      </c>
      <c r="G1188">
        <v>47</v>
      </c>
      <c r="H1188">
        <v>42</v>
      </c>
    </row>
    <row r="1189" spans="1:8" x14ac:dyDescent="0.25">
      <c r="A1189" t="s">
        <v>1853</v>
      </c>
      <c r="B1189" t="s">
        <v>38</v>
      </c>
      <c r="C1189" t="s">
        <v>100</v>
      </c>
      <c r="D1189" t="s">
        <v>47</v>
      </c>
      <c r="E1189">
        <v>5048</v>
      </c>
      <c r="F1189">
        <v>13</v>
      </c>
      <c r="G1189">
        <v>51</v>
      </c>
      <c r="H1189">
        <v>36</v>
      </c>
    </row>
    <row r="1190" spans="1:8" x14ac:dyDescent="0.25">
      <c r="A1190" t="s">
        <v>1854</v>
      </c>
      <c r="B1190" t="s">
        <v>38</v>
      </c>
      <c r="C1190" t="s">
        <v>101</v>
      </c>
      <c r="D1190" t="s">
        <v>232</v>
      </c>
    </row>
    <row r="1191" spans="1:8" x14ac:dyDescent="0.25">
      <c r="A1191" t="s">
        <v>1855</v>
      </c>
      <c r="B1191" t="s">
        <v>38</v>
      </c>
      <c r="C1191" t="s">
        <v>101</v>
      </c>
      <c r="D1191" t="s">
        <v>233</v>
      </c>
    </row>
    <row r="1192" spans="1:8" x14ac:dyDescent="0.25">
      <c r="A1192" t="s">
        <v>1856</v>
      </c>
      <c r="B1192" t="s">
        <v>38</v>
      </c>
      <c r="C1192" t="s">
        <v>101</v>
      </c>
      <c r="D1192" t="s">
        <v>234</v>
      </c>
    </row>
    <row r="1193" spans="1:8" x14ac:dyDescent="0.25">
      <c r="A1193" t="s">
        <v>1857</v>
      </c>
      <c r="B1193" t="s">
        <v>38</v>
      </c>
      <c r="C1193" t="s">
        <v>101</v>
      </c>
      <c r="D1193" t="s">
        <v>235</v>
      </c>
    </row>
    <row r="1194" spans="1:8" x14ac:dyDescent="0.25">
      <c r="A1194" t="s">
        <v>1858</v>
      </c>
      <c r="B1194" t="s">
        <v>38</v>
      </c>
      <c r="C1194" t="s">
        <v>101</v>
      </c>
      <c r="D1194" t="s">
        <v>236</v>
      </c>
    </row>
    <row r="1195" spans="1:8" x14ac:dyDescent="0.25">
      <c r="A1195" t="s">
        <v>1859</v>
      </c>
      <c r="B1195" t="s">
        <v>38</v>
      </c>
      <c r="C1195" t="s">
        <v>101</v>
      </c>
      <c r="D1195" t="s">
        <v>237</v>
      </c>
    </row>
    <row r="1196" spans="1:8" x14ac:dyDescent="0.25">
      <c r="A1196" t="s">
        <v>1860</v>
      </c>
      <c r="B1196" t="s">
        <v>38</v>
      </c>
      <c r="C1196" t="s">
        <v>101</v>
      </c>
      <c r="D1196" t="s">
        <v>238</v>
      </c>
    </row>
    <row r="1197" spans="1:8" x14ac:dyDescent="0.25">
      <c r="A1197" t="s">
        <v>1861</v>
      </c>
      <c r="B1197" t="s">
        <v>38</v>
      </c>
      <c r="C1197" t="s">
        <v>101</v>
      </c>
      <c r="D1197" t="s">
        <v>239</v>
      </c>
    </row>
    <row r="1198" spans="1:8" x14ac:dyDescent="0.25">
      <c r="A1198" t="s">
        <v>1862</v>
      </c>
      <c r="B1198" t="s">
        <v>38</v>
      </c>
      <c r="C1198" t="s">
        <v>101</v>
      </c>
      <c r="D1198" t="s">
        <v>47</v>
      </c>
    </row>
    <row r="1199" spans="1:8" x14ac:dyDescent="0.25">
      <c r="A1199" t="s">
        <v>1863</v>
      </c>
      <c r="B1199" t="s">
        <v>38</v>
      </c>
      <c r="C1199" t="s">
        <v>102</v>
      </c>
      <c r="D1199" t="s">
        <v>232</v>
      </c>
      <c r="E1199">
        <v>5116</v>
      </c>
      <c r="F1199">
        <v>20</v>
      </c>
      <c r="G1199">
        <v>42</v>
      </c>
      <c r="H1199">
        <v>38</v>
      </c>
    </row>
    <row r="1200" spans="1:8" x14ac:dyDescent="0.25">
      <c r="A1200" t="s">
        <v>1864</v>
      </c>
      <c r="B1200" t="s">
        <v>38</v>
      </c>
      <c r="C1200" t="s">
        <v>102</v>
      </c>
      <c r="D1200" t="s">
        <v>233</v>
      </c>
      <c r="E1200">
        <v>4110</v>
      </c>
      <c r="F1200">
        <v>22</v>
      </c>
      <c r="G1200">
        <v>42</v>
      </c>
      <c r="H1200">
        <v>36</v>
      </c>
    </row>
    <row r="1201" spans="1:8" x14ac:dyDescent="0.25">
      <c r="A1201" t="s">
        <v>1865</v>
      </c>
      <c r="B1201" t="s">
        <v>38</v>
      </c>
      <c r="C1201" t="s">
        <v>102</v>
      </c>
      <c r="D1201" t="s">
        <v>234</v>
      </c>
      <c r="E1201">
        <v>4354</v>
      </c>
      <c r="F1201">
        <v>20</v>
      </c>
      <c r="G1201">
        <v>43</v>
      </c>
      <c r="H1201">
        <v>37</v>
      </c>
    </row>
    <row r="1202" spans="1:8" x14ac:dyDescent="0.25">
      <c r="A1202" t="s">
        <v>1866</v>
      </c>
      <c r="B1202" t="s">
        <v>38</v>
      </c>
      <c r="C1202" t="s">
        <v>102</v>
      </c>
      <c r="D1202" t="s">
        <v>235</v>
      </c>
      <c r="E1202">
        <v>4079</v>
      </c>
      <c r="F1202">
        <v>19</v>
      </c>
      <c r="G1202">
        <v>44</v>
      </c>
      <c r="H1202">
        <v>37</v>
      </c>
    </row>
    <row r="1203" spans="1:8" x14ac:dyDescent="0.25">
      <c r="A1203" t="s">
        <v>1867</v>
      </c>
      <c r="B1203" t="s">
        <v>38</v>
      </c>
      <c r="C1203" t="s">
        <v>102</v>
      </c>
      <c r="D1203" t="s">
        <v>236</v>
      </c>
      <c r="E1203">
        <v>4025</v>
      </c>
      <c r="F1203">
        <v>21</v>
      </c>
      <c r="G1203">
        <v>41</v>
      </c>
      <c r="H1203">
        <v>38</v>
      </c>
    </row>
    <row r="1204" spans="1:8" x14ac:dyDescent="0.25">
      <c r="A1204" t="s">
        <v>1868</v>
      </c>
      <c r="B1204" t="s">
        <v>38</v>
      </c>
      <c r="C1204" t="s">
        <v>102</v>
      </c>
      <c r="D1204" t="s">
        <v>237</v>
      </c>
      <c r="E1204">
        <v>4113</v>
      </c>
      <c r="F1204">
        <v>20</v>
      </c>
      <c r="G1204">
        <v>44</v>
      </c>
      <c r="H1204">
        <v>36</v>
      </c>
    </row>
    <row r="1205" spans="1:8" x14ac:dyDescent="0.25">
      <c r="A1205" t="s">
        <v>1869</v>
      </c>
      <c r="B1205" t="s">
        <v>38</v>
      </c>
      <c r="C1205" t="s">
        <v>102</v>
      </c>
      <c r="D1205" t="s">
        <v>238</v>
      </c>
      <c r="E1205">
        <v>4784</v>
      </c>
      <c r="F1205">
        <v>20</v>
      </c>
      <c r="G1205">
        <v>44</v>
      </c>
      <c r="H1205">
        <v>36</v>
      </c>
    </row>
    <row r="1206" spans="1:8" x14ac:dyDescent="0.25">
      <c r="A1206" t="s">
        <v>1870</v>
      </c>
      <c r="B1206" t="s">
        <v>38</v>
      </c>
      <c r="C1206" t="s">
        <v>102</v>
      </c>
      <c r="D1206" t="s">
        <v>239</v>
      </c>
      <c r="E1206">
        <v>3904</v>
      </c>
      <c r="F1206">
        <v>19</v>
      </c>
      <c r="G1206">
        <v>40</v>
      </c>
      <c r="H1206">
        <v>41</v>
      </c>
    </row>
    <row r="1207" spans="1:8" x14ac:dyDescent="0.25">
      <c r="A1207" t="s">
        <v>1871</v>
      </c>
      <c r="B1207" t="s">
        <v>38</v>
      </c>
      <c r="C1207" t="s">
        <v>102</v>
      </c>
      <c r="D1207" t="s">
        <v>47</v>
      </c>
      <c r="E1207">
        <v>4128</v>
      </c>
      <c r="F1207">
        <v>21</v>
      </c>
      <c r="G1207">
        <v>41</v>
      </c>
      <c r="H1207">
        <v>38</v>
      </c>
    </row>
    <row r="1208" spans="1:8" x14ac:dyDescent="0.25">
      <c r="A1208" t="s">
        <v>1872</v>
      </c>
      <c r="B1208" t="s">
        <v>38</v>
      </c>
      <c r="C1208" t="s">
        <v>31</v>
      </c>
      <c r="D1208" t="s">
        <v>232</v>
      </c>
      <c r="E1208">
        <v>6127</v>
      </c>
      <c r="F1208">
        <v>21</v>
      </c>
      <c r="G1208">
        <v>52</v>
      </c>
      <c r="H1208">
        <v>27</v>
      </c>
    </row>
    <row r="1209" spans="1:8" x14ac:dyDescent="0.25">
      <c r="A1209" t="s">
        <v>1873</v>
      </c>
      <c r="B1209" t="s">
        <v>38</v>
      </c>
      <c r="C1209" t="s">
        <v>31</v>
      </c>
      <c r="D1209" t="s">
        <v>233</v>
      </c>
      <c r="E1209">
        <v>5069</v>
      </c>
      <c r="F1209">
        <v>20</v>
      </c>
      <c r="G1209">
        <v>53</v>
      </c>
      <c r="H1209">
        <v>27</v>
      </c>
    </row>
    <row r="1210" spans="1:8" x14ac:dyDescent="0.25">
      <c r="A1210" t="s">
        <v>1874</v>
      </c>
      <c r="B1210" t="s">
        <v>38</v>
      </c>
      <c r="C1210" t="s">
        <v>31</v>
      </c>
      <c r="D1210" t="s">
        <v>234</v>
      </c>
      <c r="E1210">
        <v>5319</v>
      </c>
      <c r="F1210">
        <v>17</v>
      </c>
      <c r="G1210">
        <v>51</v>
      </c>
      <c r="H1210">
        <v>32</v>
      </c>
    </row>
    <row r="1211" spans="1:8" x14ac:dyDescent="0.25">
      <c r="A1211" t="s">
        <v>1875</v>
      </c>
      <c r="B1211" t="s">
        <v>38</v>
      </c>
      <c r="C1211" t="s">
        <v>31</v>
      </c>
      <c r="D1211" t="s">
        <v>235</v>
      </c>
      <c r="E1211">
        <v>4962</v>
      </c>
      <c r="F1211">
        <v>18</v>
      </c>
      <c r="G1211">
        <v>52</v>
      </c>
      <c r="H1211">
        <v>30</v>
      </c>
    </row>
    <row r="1212" spans="1:8" x14ac:dyDescent="0.25">
      <c r="A1212" t="s">
        <v>1876</v>
      </c>
      <c r="B1212" t="s">
        <v>38</v>
      </c>
      <c r="C1212" t="s">
        <v>31</v>
      </c>
      <c r="D1212" t="s">
        <v>236</v>
      </c>
      <c r="E1212">
        <v>4974</v>
      </c>
      <c r="F1212">
        <v>17</v>
      </c>
      <c r="G1212">
        <v>51</v>
      </c>
      <c r="H1212">
        <v>32</v>
      </c>
    </row>
    <row r="1213" spans="1:8" x14ac:dyDescent="0.25">
      <c r="A1213" t="s">
        <v>1877</v>
      </c>
      <c r="B1213" t="s">
        <v>38</v>
      </c>
      <c r="C1213" t="s">
        <v>31</v>
      </c>
      <c r="D1213" t="s">
        <v>237</v>
      </c>
      <c r="E1213">
        <v>4966</v>
      </c>
      <c r="F1213">
        <v>16</v>
      </c>
      <c r="G1213">
        <v>51</v>
      </c>
      <c r="H1213">
        <v>33</v>
      </c>
    </row>
    <row r="1214" spans="1:8" x14ac:dyDescent="0.25">
      <c r="A1214" t="s">
        <v>1878</v>
      </c>
      <c r="B1214" t="s">
        <v>38</v>
      </c>
      <c r="C1214" t="s">
        <v>31</v>
      </c>
      <c r="D1214" t="s">
        <v>238</v>
      </c>
      <c r="E1214">
        <v>5850</v>
      </c>
      <c r="F1214">
        <v>18</v>
      </c>
      <c r="G1214">
        <v>50</v>
      </c>
      <c r="H1214">
        <v>32</v>
      </c>
    </row>
    <row r="1215" spans="1:8" x14ac:dyDescent="0.25">
      <c r="A1215" t="s">
        <v>1879</v>
      </c>
      <c r="B1215" t="s">
        <v>38</v>
      </c>
      <c r="C1215" t="s">
        <v>31</v>
      </c>
      <c r="D1215" t="s">
        <v>239</v>
      </c>
      <c r="E1215">
        <v>4921</v>
      </c>
      <c r="F1215">
        <v>15</v>
      </c>
      <c r="G1215">
        <v>49</v>
      </c>
      <c r="H1215">
        <v>36</v>
      </c>
    </row>
    <row r="1216" spans="1:8" x14ac:dyDescent="0.25">
      <c r="A1216" t="s">
        <v>1880</v>
      </c>
      <c r="B1216" t="s">
        <v>38</v>
      </c>
      <c r="C1216" t="s">
        <v>31</v>
      </c>
      <c r="D1216" t="s">
        <v>47</v>
      </c>
      <c r="E1216">
        <v>5075</v>
      </c>
      <c r="F1216">
        <v>16</v>
      </c>
      <c r="G1216">
        <v>50</v>
      </c>
      <c r="H1216">
        <v>34</v>
      </c>
    </row>
    <row r="1217" spans="1:8" x14ac:dyDescent="0.25">
      <c r="A1217" t="s">
        <v>1881</v>
      </c>
      <c r="B1217" t="s">
        <v>134</v>
      </c>
      <c r="C1217" t="s">
        <v>103</v>
      </c>
      <c r="D1217" t="s">
        <v>232</v>
      </c>
      <c r="E1217">
        <v>744</v>
      </c>
      <c r="F1217">
        <v>9</v>
      </c>
      <c r="G1217">
        <v>62</v>
      </c>
      <c r="H1217">
        <v>29</v>
      </c>
    </row>
    <row r="1218" spans="1:8" x14ac:dyDescent="0.25">
      <c r="A1218" t="s">
        <v>1882</v>
      </c>
      <c r="B1218" t="s">
        <v>134</v>
      </c>
      <c r="C1218" t="s">
        <v>103</v>
      </c>
      <c r="D1218" t="s">
        <v>233</v>
      </c>
      <c r="E1218">
        <v>676</v>
      </c>
      <c r="F1218">
        <v>7</v>
      </c>
      <c r="G1218">
        <v>69</v>
      </c>
      <c r="H1218">
        <v>24</v>
      </c>
    </row>
    <row r="1219" spans="1:8" x14ac:dyDescent="0.25">
      <c r="A1219" t="s">
        <v>1883</v>
      </c>
      <c r="B1219" t="s">
        <v>134</v>
      </c>
      <c r="C1219" t="s">
        <v>103</v>
      </c>
      <c r="D1219" t="s">
        <v>234</v>
      </c>
      <c r="E1219">
        <v>676</v>
      </c>
      <c r="F1219">
        <v>8</v>
      </c>
      <c r="G1219">
        <v>69</v>
      </c>
      <c r="H1219">
        <v>23</v>
      </c>
    </row>
    <row r="1220" spans="1:8" x14ac:dyDescent="0.25">
      <c r="A1220" t="s">
        <v>1884</v>
      </c>
      <c r="B1220" t="s">
        <v>134</v>
      </c>
      <c r="C1220" t="s">
        <v>103</v>
      </c>
      <c r="D1220" t="s">
        <v>235</v>
      </c>
      <c r="E1220">
        <v>581</v>
      </c>
      <c r="F1220">
        <v>8</v>
      </c>
      <c r="G1220">
        <v>68</v>
      </c>
      <c r="H1220">
        <v>24</v>
      </c>
    </row>
    <row r="1221" spans="1:8" x14ac:dyDescent="0.25">
      <c r="A1221" t="s">
        <v>1885</v>
      </c>
      <c r="B1221" t="s">
        <v>134</v>
      </c>
      <c r="C1221" t="s">
        <v>103</v>
      </c>
      <c r="D1221" t="s">
        <v>236</v>
      </c>
      <c r="E1221">
        <v>620</v>
      </c>
      <c r="F1221">
        <v>9</v>
      </c>
      <c r="G1221">
        <v>70</v>
      </c>
      <c r="H1221">
        <v>21</v>
      </c>
    </row>
    <row r="1222" spans="1:8" x14ac:dyDescent="0.25">
      <c r="A1222" t="s">
        <v>1886</v>
      </c>
      <c r="B1222" t="s">
        <v>134</v>
      </c>
      <c r="C1222" t="s">
        <v>103</v>
      </c>
      <c r="D1222" t="s">
        <v>237</v>
      </c>
      <c r="E1222">
        <v>448</v>
      </c>
      <c r="F1222">
        <v>8</v>
      </c>
      <c r="G1222">
        <v>71</v>
      </c>
      <c r="H1222">
        <v>21</v>
      </c>
    </row>
    <row r="1223" spans="1:8" x14ac:dyDescent="0.25">
      <c r="A1223" t="s">
        <v>1887</v>
      </c>
      <c r="B1223" t="s">
        <v>134</v>
      </c>
      <c r="C1223" t="s">
        <v>103</v>
      </c>
      <c r="D1223" t="s">
        <v>238</v>
      </c>
      <c r="E1223">
        <v>460</v>
      </c>
      <c r="F1223">
        <v>11</v>
      </c>
      <c r="G1223">
        <v>68</v>
      </c>
      <c r="H1223">
        <v>21</v>
      </c>
    </row>
    <row r="1224" spans="1:8" x14ac:dyDescent="0.25">
      <c r="A1224" t="s">
        <v>1888</v>
      </c>
      <c r="B1224" t="s">
        <v>134</v>
      </c>
      <c r="C1224" t="s">
        <v>103</v>
      </c>
      <c r="D1224" t="s">
        <v>239</v>
      </c>
      <c r="E1224">
        <v>461</v>
      </c>
      <c r="F1224">
        <v>11</v>
      </c>
      <c r="G1224">
        <v>66</v>
      </c>
      <c r="H1224">
        <v>23</v>
      </c>
    </row>
    <row r="1225" spans="1:8" x14ac:dyDescent="0.25">
      <c r="A1225" t="s">
        <v>1889</v>
      </c>
      <c r="B1225" t="s">
        <v>134</v>
      </c>
      <c r="C1225" t="s">
        <v>103</v>
      </c>
      <c r="D1225" t="s">
        <v>47</v>
      </c>
      <c r="E1225">
        <v>433</v>
      </c>
      <c r="F1225">
        <v>11</v>
      </c>
      <c r="G1225">
        <v>66</v>
      </c>
      <c r="H1225">
        <v>23</v>
      </c>
    </row>
    <row r="1226" spans="1:8" x14ac:dyDescent="0.25">
      <c r="A1226" t="s">
        <v>1890</v>
      </c>
      <c r="B1226" t="s">
        <v>134</v>
      </c>
      <c r="C1226" t="s">
        <v>100</v>
      </c>
      <c r="D1226" t="s">
        <v>232</v>
      </c>
      <c r="E1226">
        <v>758</v>
      </c>
      <c r="F1226">
        <v>5</v>
      </c>
      <c r="G1226">
        <v>45</v>
      </c>
      <c r="H1226">
        <v>50</v>
      </c>
    </row>
    <row r="1227" spans="1:8" x14ac:dyDescent="0.25">
      <c r="A1227" t="s">
        <v>1891</v>
      </c>
      <c r="B1227" t="s">
        <v>134</v>
      </c>
      <c r="C1227" t="s">
        <v>100</v>
      </c>
      <c r="D1227" t="s">
        <v>233</v>
      </c>
      <c r="E1227">
        <v>686</v>
      </c>
      <c r="F1227">
        <v>10</v>
      </c>
      <c r="G1227">
        <v>51</v>
      </c>
      <c r="H1227">
        <v>39</v>
      </c>
    </row>
    <row r="1228" spans="1:8" x14ac:dyDescent="0.25">
      <c r="A1228" t="s">
        <v>1892</v>
      </c>
      <c r="B1228" t="s">
        <v>134</v>
      </c>
      <c r="C1228" t="s">
        <v>100</v>
      </c>
      <c r="D1228" t="s">
        <v>234</v>
      </c>
      <c r="E1228">
        <v>683</v>
      </c>
      <c r="F1228">
        <v>6</v>
      </c>
      <c r="G1228">
        <v>54</v>
      </c>
      <c r="H1228">
        <v>40</v>
      </c>
    </row>
    <row r="1229" spans="1:8" x14ac:dyDescent="0.25">
      <c r="A1229" t="s">
        <v>1893</v>
      </c>
      <c r="B1229" t="s">
        <v>134</v>
      </c>
      <c r="C1229" t="s">
        <v>100</v>
      </c>
      <c r="D1229" t="s">
        <v>235</v>
      </c>
      <c r="E1229">
        <v>599</v>
      </c>
      <c r="F1229">
        <v>11</v>
      </c>
      <c r="G1229">
        <v>52</v>
      </c>
      <c r="H1229">
        <v>37</v>
      </c>
    </row>
    <row r="1230" spans="1:8" x14ac:dyDescent="0.25">
      <c r="A1230" t="s">
        <v>1894</v>
      </c>
      <c r="B1230" t="s">
        <v>134</v>
      </c>
      <c r="C1230" t="s">
        <v>100</v>
      </c>
      <c r="D1230" t="s">
        <v>236</v>
      </c>
      <c r="E1230">
        <v>639</v>
      </c>
      <c r="F1230">
        <v>12</v>
      </c>
      <c r="G1230">
        <v>63</v>
      </c>
      <c r="H1230">
        <v>25</v>
      </c>
    </row>
    <row r="1231" spans="1:8" x14ac:dyDescent="0.25">
      <c r="A1231" t="s">
        <v>1895</v>
      </c>
      <c r="B1231" t="s">
        <v>134</v>
      </c>
      <c r="C1231" t="s">
        <v>100</v>
      </c>
      <c r="D1231" t="s">
        <v>237</v>
      </c>
      <c r="E1231">
        <v>456</v>
      </c>
      <c r="F1231">
        <v>8</v>
      </c>
      <c r="G1231">
        <v>63</v>
      </c>
      <c r="H1231">
        <v>29</v>
      </c>
    </row>
    <row r="1232" spans="1:8" x14ac:dyDescent="0.25">
      <c r="A1232" t="s">
        <v>1896</v>
      </c>
      <c r="B1232" t="s">
        <v>134</v>
      </c>
      <c r="C1232" t="s">
        <v>100</v>
      </c>
      <c r="D1232" t="s">
        <v>238</v>
      </c>
      <c r="E1232">
        <v>467</v>
      </c>
      <c r="F1232">
        <v>12</v>
      </c>
      <c r="G1232">
        <v>64</v>
      </c>
      <c r="H1232">
        <v>24</v>
      </c>
    </row>
    <row r="1233" spans="1:8" x14ac:dyDescent="0.25">
      <c r="A1233" t="s">
        <v>1897</v>
      </c>
      <c r="B1233" t="s">
        <v>134</v>
      </c>
      <c r="C1233" t="s">
        <v>100</v>
      </c>
      <c r="D1233" t="s">
        <v>239</v>
      </c>
      <c r="E1233">
        <v>472</v>
      </c>
      <c r="F1233">
        <v>9</v>
      </c>
      <c r="G1233">
        <v>63</v>
      </c>
      <c r="H1233">
        <v>28</v>
      </c>
    </row>
    <row r="1234" spans="1:8" x14ac:dyDescent="0.25">
      <c r="A1234" t="s">
        <v>1898</v>
      </c>
      <c r="B1234" t="s">
        <v>134</v>
      </c>
      <c r="C1234" t="s">
        <v>100</v>
      </c>
      <c r="D1234" t="s">
        <v>47</v>
      </c>
      <c r="E1234">
        <v>448</v>
      </c>
      <c r="F1234">
        <v>6</v>
      </c>
      <c r="G1234">
        <v>66</v>
      </c>
      <c r="H1234">
        <v>28</v>
      </c>
    </row>
    <row r="1235" spans="1:8" x14ac:dyDescent="0.25">
      <c r="A1235" t="s">
        <v>1899</v>
      </c>
      <c r="B1235" t="s">
        <v>134</v>
      </c>
      <c r="C1235" t="s">
        <v>101</v>
      </c>
      <c r="D1235" t="s">
        <v>232</v>
      </c>
    </row>
    <row r="1236" spans="1:8" x14ac:dyDescent="0.25">
      <c r="A1236" t="s">
        <v>1900</v>
      </c>
      <c r="B1236" t="s">
        <v>134</v>
      </c>
      <c r="C1236" t="s">
        <v>101</v>
      </c>
      <c r="D1236" t="s">
        <v>233</v>
      </c>
    </row>
    <row r="1237" spans="1:8" x14ac:dyDescent="0.25">
      <c r="A1237" t="s">
        <v>1901</v>
      </c>
      <c r="B1237" t="s">
        <v>134</v>
      </c>
      <c r="C1237" t="s">
        <v>101</v>
      </c>
      <c r="D1237" t="s">
        <v>234</v>
      </c>
    </row>
    <row r="1238" spans="1:8" x14ac:dyDescent="0.25">
      <c r="A1238" t="s">
        <v>1902</v>
      </c>
      <c r="B1238" t="s">
        <v>134</v>
      </c>
      <c r="C1238" t="s">
        <v>101</v>
      </c>
      <c r="D1238" t="s">
        <v>235</v>
      </c>
    </row>
    <row r="1239" spans="1:8" x14ac:dyDescent="0.25">
      <c r="A1239" t="s">
        <v>1903</v>
      </c>
      <c r="B1239" t="s">
        <v>134</v>
      </c>
      <c r="C1239" t="s">
        <v>101</v>
      </c>
      <c r="D1239" t="s">
        <v>236</v>
      </c>
    </row>
    <row r="1240" spans="1:8" x14ac:dyDescent="0.25">
      <c r="A1240" t="s">
        <v>1904</v>
      </c>
      <c r="B1240" t="s">
        <v>134</v>
      </c>
      <c r="C1240" t="s">
        <v>101</v>
      </c>
      <c r="D1240" t="s">
        <v>237</v>
      </c>
    </row>
    <row r="1241" spans="1:8" x14ac:dyDescent="0.25">
      <c r="A1241" t="s">
        <v>1905</v>
      </c>
      <c r="B1241" t="s">
        <v>134</v>
      </c>
      <c r="C1241" t="s">
        <v>101</v>
      </c>
      <c r="D1241" t="s">
        <v>238</v>
      </c>
    </row>
    <row r="1242" spans="1:8" x14ac:dyDescent="0.25">
      <c r="A1242" t="s">
        <v>1906</v>
      </c>
      <c r="B1242" t="s">
        <v>134</v>
      </c>
      <c r="C1242" t="s">
        <v>101</v>
      </c>
      <c r="D1242" t="s">
        <v>239</v>
      </c>
    </row>
    <row r="1243" spans="1:8" x14ac:dyDescent="0.25">
      <c r="A1243" t="s">
        <v>1907</v>
      </c>
      <c r="B1243" t="s">
        <v>134</v>
      </c>
      <c r="C1243" t="s">
        <v>101</v>
      </c>
      <c r="D1243" t="s">
        <v>47</v>
      </c>
    </row>
    <row r="1244" spans="1:8" x14ac:dyDescent="0.25">
      <c r="A1244" t="s">
        <v>1908</v>
      </c>
      <c r="B1244" t="s">
        <v>134</v>
      </c>
      <c r="C1244" t="s">
        <v>102</v>
      </c>
      <c r="D1244" t="s">
        <v>232</v>
      </c>
      <c r="E1244">
        <v>595</v>
      </c>
      <c r="F1244">
        <v>12</v>
      </c>
      <c r="G1244">
        <v>44</v>
      </c>
      <c r="H1244">
        <v>44</v>
      </c>
    </row>
    <row r="1245" spans="1:8" x14ac:dyDescent="0.25">
      <c r="A1245" t="s">
        <v>1909</v>
      </c>
      <c r="B1245" t="s">
        <v>134</v>
      </c>
      <c r="C1245" t="s">
        <v>102</v>
      </c>
      <c r="D1245" t="s">
        <v>233</v>
      </c>
      <c r="E1245">
        <v>548</v>
      </c>
      <c r="F1245">
        <v>10</v>
      </c>
      <c r="G1245">
        <v>47</v>
      </c>
      <c r="H1245">
        <v>43</v>
      </c>
    </row>
    <row r="1246" spans="1:8" x14ac:dyDescent="0.25">
      <c r="A1246" t="s">
        <v>1910</v>
      </c>
      <c r="B1246" t="s">
        <v>134</v>
      </c>
      <c r="C1246" t="s">
        <v>102</v>
      </c>
      <c r="D1246" t="s">
        <v>234</v>
      </c>
      <c r="E1246">
        <v>557</v>
      </c>
      <c r="F1246">
        <v>9</v>
      </c>
      <c r="G1246">
        <v>51</v>
      </c>
      <c r="H1246">
        <v>40</v>
      </c>
    </row>
    <row r="1247" spans="1:8" x14ac:dyDescent="0.25">
      <c r="A1247" t="s">
        <v>1911</v>
      </c>
      <c r="B1247" t="s">
        <v>134</v>
      </c>
      <c r="C1247" t="s">
        <v>102</v>
      </c>
      <c r="D1247" t="s">
        <v>235</v>
      </c>
      <c r="E1247">
        <v>470</v>
      </c>
      <c r="F1247">
        <v>10</v>
      </c>
      <c r="G1247">
        <v>51</v>
      </c>
      <c r="H1247">
        <v>39</v>
      </c>
    </row>
    <row r="1248" spans="1:8" x14ac:dyDescent="0.25">
      <c r="A1248" t="s">
        <v>1912</v>
      </c>
      <c r="B1248" t="s">
        <v>134</v>
      </c>
      <c r="C1248" t="s">
        <v>102</v>
      </c>
      <c r="D1248" t="s">
        <v>236</v>
      </c>
      <c r="E1248">
        <v>492</v>
      </c>
      <c r="F1248">
        <v>15</v>
      </c>
      <c r="G1248">
        <v>53</v>
      </c>
      <c r="H1248">
        <v>32</v>
      </c>
    </row>
    <row r="1249" spans="1:8" x14ac:dyDescent="0.25">
      <c r="A1249" t="s">
        <v>1913</v>
      </c>
      <c r="B1249" t="s">
        <v>134</v>
      </c>
      <c r="C1249" t="s">
        <v>102</v>
      </c>
      <c r="D1249" t="s">
        <v>237</v>
      </c>
      <c r="E1249">
        <v>386</v>
      </c>
      <c r="F1249">
        <v>11</v>
      </c>
      <c r="G1249">
        <v>53</v>
      </c>
      <c r="H1249">
        <v>36</v>
      </c>
    </row>
    <row r="1250" spans="1:8" x14ac:dyDescent="0.25">
      <c r="A1250" t="s">
        <v>1914</v>
      </c>
      <c r="B1250" t="s">
        <v>134</v>
      </c>
      <c r="C1250" t="s">
        <v>102</v>
      </c>
      <c r="D1250" t="s">
        <v>238</v>
      </c>
      <c r="E1250">
        <v>397</v>
      </c>
      <c r="F1250">
        <v>12</v>
      </c>
      <c r="G1250">
        <v>56</v>
      </c>
      <c r="H1250">
        <v>32</v>
      </c>
    </row>
    <row r="1251" spans="1:8" x14ac:dyDescent="0.25">
      <c r="A1251" t="s">
        <v>1915</v>
      </c>
      <c r="B1251" t="s">
        <v>134</v>
      </c>
      <c r="C1251" t="s">
        <v>102</v>
      </c>
      <c r="D1251" t="s">
        <v>239</v>
      </c>
      <c r="E1251">
        <v>397</v>
      </c>
      <c r="F1251">
        <v>13</v>
      </c>
      <c r="G1251">
        <v>57</v>
      </c>
      <c r="H1251">
        <v>30</v>
      </c>
    </row>
    <row r="1252" spans="1:8" x14ac:dyDescent="0.25">
      <c r="A1252" t="s">
        <v>1916</v>
      </c>
      <c r="B1252" t="s">
        <v>134</v>
      </c>
      <c r="C1252" t="s">
        <v>102</v>
      </c>
      <c r="D1252" t="s">
        <v>47</v>
      </c>
      <c r="E1252">
        <v>373</v>
      </c>
      <c r="F1252">
        <v>13</v>
      </c>
      <c r="G1252">
        <v>51</v>
      </c>
      <c r="H1252">
        <v>36</v>
      </c>
    </row>
    <row r="1253" spans="1:8" x14ac:dyDescent="0.25">
      <c r="A1253" t="s">
        <v>1917</v>
      </c>
      <c r="B1253" t="s">
        <v>134</v>
      </c>
      <c r="C1253" t="s">
        <v>31</v>
      </c>
      <c r="D1253" t="s">
        <v>232</v>
      </c>
      <c r="E1253">
        <v>763</v>
      </c>
      <c r="F1253">
        <v>22</v>
      </c>
      <c r="G1253">
        <v>49</v>
      </c>
      <c r="H1253">
        <v>29</v>
      </c>
    </row>
    <row r="1254" spans="1:8" x14ac:dyDescent="0.25">
      <c r="A1254" t="s">
        <v>1918</v>
      </c>
      <c r="B1254" t="s">
        <v>134</v>
      </c>
      <c r="C1254" t="s">
        <v>31</v>
      </c>
      <c r="D1254" t="s">
        <v>233</v>
      </c>
      <c r="E1254">
        <v>692</v>
      </c>
      <c r="F1254">
        <v>23</v>
      </c>
      <c r="G1254">
        <v>51</v>
      </c>
      <c r="H1254">
        <v>26</v>
      </c>
    </row>
    <row r="1255" spans="1:8" x14ac:dyDescent="0.25">
      <c r="A1255" t="s">
        <v>1919</v>
      </c>
      <c r="B1255" t="s">
        <v>134</v>
      </c>
      <c r="C1255" t="s">
        <v>31</v>
      </c>
      <c r="D1255" t="s">
        <v>234</v>
      </c>
      <c r="E1255">
        <v>692</v>
      </c>
      <c r="F1255">
        <v>22</v>
      </c>
      <c r="G1255">
        <v>54</v>
      </c>
      <c r="H1255">
        <v>24</v>
      </c>
    </row>
    <row r="1256" spans="1:8" x14ac:dyDescent="0.25">
      <c r="A1256" t="s">
        <v>1920</v>
      </c>
      <c r="B1256" t="s">
        <v>134</v>
      </c>
      <c r="C1256" t="s">
        <v>31</v>
      </c>
      <c r="D1256" t="s">
        <v>235</v>
      </c>
      <c r="E1256">
        <v>607</v>
      </c>
      <c r="F1256">
        <v>21</v>
      </c>
      <c r="G1256">
        <v>51</v>
      </c>
      <c r="H1256">
        <v>28</v>
      </c>
    </row>
    <row r="1257" spans="1:8" x14ac:dyDescent="0.25">
      <c r="A1257" t="s">
        <v>1921</v>
      </c>
      <c r="B1257" t="s">
        <v>134</v>
      </c>
      <c r="C1257" t="s">
        <v>31</v>
      </c>
      <c r="D1257" t="s">
        <v>236</v>
      </c>
      <c r="E1257">
        <v>646</v>
      </c>
      <c r="F1257">
        <v>24</v>
      </c>
      <c r="G1257">
        <v>49</v>
      </c>
      <c r="H1257">
        <v>27</v>
      </c>
    </row>
    <row r="1258" spans="1:8" x14ac:dyDescent="0.25">
      <c r="A1258" t="s">
        <v>1922</v>
      </c>
      <c r="B1258" t="s">
        <v>134</v>
      </c>
      <c r="C1258" t="s">
        <v>31</v>
      </c>
      <c r="D1258" t="s">
        <v>237</v>
      </c>
      <c r="E1258">
        <v>455</v>
      </c>
      <c r="F1258">
        <v>22</v>
      </c>
      <c r="G1258">
        <v>56</v>
      </c>
      <c r="H1258">
        <v>22</v>
      </c>
    </row>
    <row r="1259" spans="1:8" x14ac:dyDescent="0.25">
      <c r="A1259" t="s">
        <v>1923</v>
      </c>
      <c r="B1259" t="s">
        <v>134</v>
      </c>
      <c r="C1259" t="s">
        <v>31</v>
      </c>
      <c r="D1259" t="s">
        <v>238</v>
      </c>
      <c r="E1259">
        <v>484</v>
      </c>
      <c r="F1259">
        <v>22</v>
      </c>
      <c r="G1259">
        <v>56</v>
      </c>
      <c r="H1259">
        <v>22</v>
      </c>
    </row>
    <row r="1260" spans="1:8" x14ac:dyDescent="0.25">
      <c r="A1260" t="s">
        <v>1924</v>
      </c>
      <c r="B1260" t="s">
        <v>134</v>
      </c>
      <c r="C1260" t="s">
        <v>31</v>
      </c>
      <c r="D1260" t="s">
        <v>239</v>
      </c>
      <c r="E1260">
        <v>473</v>
      </c>
      <c r="F1260">
        <v>21</v>
      </c>
      <c r="G1260">
        <v>59</v>
      </c>
      <c r="H1260">
        <v>20</v>
      </c>
    </row>
    <row r="1261" spans="1:8" x14ac:dyDescent="0.25">
      <c r="A1261" t="s">
        <v>1925</v>
      </c>
      <c r="B1261" t="s">
        <v>134</v>
      </c>
      <c r="C1261" t="s">
        <v>31</v>
      </c>
      <c r="D1261" t="s">
        <v>47</v>
      </c>
      <c r="E1261">
        <v>454</v>
      </c>
      <c r="F1261">
        <v>27</v>
      </c>
      <c r="G1261">
        <v>54</v>
      </c>
      <c r="H1261">
        <v>19</v>
      </c>
    </row>
    <row r="1262" spans="1:8" x14ac:dyDescent="0.25">
      <c r="A1262" t="s">
        <v>1926</v>
      </c>
      <c r="B1262" t="s">
        <v>116</v>
      </c>
      <c r="C1262" t="s">
        <v>103</v>
      </c>
      <c r="D1262" t="s">
        <v>232</v>
      </c>
      <c r="E1262">
        <v>195</v>
      </c>
      <c r="F1262">
        <v>4</v>
      </c>
      <c r="G1262">
        <v>61</v>
      </c>
      <c r="H1262">
        <v>35</v>
      </c>
    </row>
    <row r="1263" spans="1:8" x14ac:dyDescent="0.25">
      <c r="A1263" t="s">
        <v>1927</v>
      </c>
      <c r="B1263" t="s">
        <v>116</v>
      </c>
      <c r="C1263" t="s">
        <v>103</v>
      </c>
      <c r="D1263" t="s">
        <v>233</v>
      </c>
      <c r="E1263">
        <v>172</v>
      </c>
      <c r="F1263">
        <v>8</v>
      </c>
      <c r="G1263">
        <v>64</v>
      </c>
      <c r="H1263">
        <v>28</v>
      </c>
    </row>
    <row r="1264" spans="1:8" x14ac:dyDescent="0.25">
      <c r="A1264" t="s">
        <v>1928</v>
      </c>
      <c r="B1264" t="s">
        <v>116</v>
      </c>
      <c r="C1264" t="s">
        <v>103</v>
      </c>
      <c r="D1264" t="s">
        <v>234</v>
      </c>
      <c r="E1264">
        <v>179</v>
      </c>
      <c r="F1264">
        <v>4</v>
      </c>
      <c r="G1264">
        <v>57</v>
      </c>
      <c r="H1264">
        <v>39</v>
      </c>
    </row>
    <row r="1265" spans="1:8" x14ac:dyDescent="0.25">
      <c r="A1265" t="s">
        <v>1929</v>
      </c>
      <c r="B1265" t="s">
        <v>116</v>
      </c>
      <c r="C1265" t="s">
        <v>103</v>
      </c>
      <c r="D1265" t="s">
        <v>235</v>
      </c>
      <c r="E1265">
        <v>172</v>
      </c>
      <c r="F1265">
        <v>11</v>
      </c>
      <c r="G1265">
        <v>54</v>
      </c>
      <c r="H1265">
        <v>35</v>
      </c>
    </row>
    <row r="1266" spans="1:8" x14ac:dyDescent="0.25">
      <c r="A1266" t="s">
        <v>1930</v>
      </c>
      <c r="B1266" t="s">
        <v>116</v>
      </c>
      <c r="C1266" t="s">
        <v>103</v>
      </c>
      <c r="D1266" t="s">
        <v>236</v>
      </c>
      <c r="E1266">
        <v>166</v>
      </c>
      <c r="F1266">
        <v>9</v>
      </c>
      <c r="G1266">
        <v>63</v>
      </c>
      <c r="H1266">
        <v>28</v>
      </c>
    </row>
    <row r="1267" spans="1:8" x14ac:dyDescent="0.25">
      <c r="A1267" t="s">
        <v>1931</v>
      </c>
      <c r="B1267" t="s">
        <v>116</v>
      </c>
      <c r="C1267" t="s">
        <v>103</v>
      </c>
      <c r="D1267" t="s">
        <v>237</v>
      </c>
      <c r="E1267">
        <v>153</v>
      </c>
      <c r="F1267">
        <v>7</v>
      </c>
      <c r="G1267">
        <v>65</v>
      </c>
      <c r="H1267">
        <v>28</v>
      </c>
    </row>
    <row r="1268" spans="1:8" x14ac:dyDescent="0.25">
      <c r="A1268" t="s">
        <v>1932</v>
      </c>
      <c r="B1268" t="s">
        <v>116</v>
      </c>
      <c r="C1268" t="s">
        <v>103</v>
      </c>
      <c r="D1268" t="s">
        <v>238</v>
      </c>
      <c r="E1268">
        <v>178</v>
      </c>
      <c r="F1268">
        <v>7</v>
      </c>
      <c r="G1268">
        <v>65</v>
      </c>
      <c r="H1268">
        <v>28</v>
      </c>
    </row>
    <row r="1269" spans="1:8" x14ac:dyDescent="0.25">
      <c r="A1269" t="s">
        <v>1933</v>
      </c>
      <c r="B1269" t="s">
        <v>116</v>
      </c>
      <c r="C1269" t="s">
        <v>103</v>
      </c>
      <c r="D1269" t="s">
        <v>239</v>
      </c>
      <c r="E1269">
        <v>167</v>
      </c>
      <c r="F1269">
        <v>6</v>
      </c>
      <c r="G1269">
        <v>62</v>
      </c>
      <c r="H1269">
        <v>32</v>
      </c>
    </row>
    <row r="1270" spans="1:8" x14ac:dyDescent="0.25">
      <c r="A1270" t="s">
        <v>1934</v>
      </c>
      <c r="B1270" t="s">
        <v>116</v>
      </c>
      <c r="C1270" t="s">
        <v>103</v>
      </c>
      <c r="D1270" t="s">
        <v>47</v>
      </c>
      <c r="E1270">
        <v>151</v>
      </c>
      <c r="F1270">
        <v>6</v>
      </c>
      <c r="G1270">
        <v>65</v>
      </c>
      <c r="H1270">
        <v>29</v>
      </c>
    </row>
    <row r="1271" spans="1:8" x14ac:dyDescent="0.25">
      <c r="A1271" t="s">
        <v>1935</v>
      </c>
      <c r="B1271" t="s">
        <v>116</v>
      </c>
      <c r="C1271" t="s">
        <v>100</v>
      </c>
      <c r="D1271" t="s">
        <v>232</v>
      </c>
      <c r="E1271">
        <v>201</v>
      </c>
      <c r="F1271">
        <v>6</v>
      </c>
      <c r="G1271">
        <v>47</v>
      </c>
      <c r="H1271">
        <v>47</v>
      </c>
    </row>
    <row r="1272" spans="1:8" x14ac:dyDescent="0.25">
      <c r="A1272" t="s">
        <v>1936</v>
      </c>
      <c r="B1272" t="s">
        <v>116</v>
      </c>
      <c r="C1272" t="s">
        <v>100</v>
      </c>
      <c r="D1272" t="s">
        <v>233</v>
      </c>
      <c r="E1272">
        <v>176</v>
      </c>
      <c r="F1272">
        <v>11</v>
      </c>
      <c r="G1272">
        <v>51</v>
      </c>
      <c r="H1272">
        <v>38</v>
      </c>
    </row>
    <row r="1273" spans="1:8" x14ac:dyDescent="0.25">
      <c r="A1273" t="s">
        <v>1937</v>
      </c>
      <c r="B1273" t="s">
        <v>116</v>
      </c>
      <c r="C1273" t="s">
        <v>100</v>
      </c>
      <c r="D1273" t="s">
        <v>234</v>
      </c>
      <c r="E1273">
        <v>181</v>
      </c>
      <c r="F1273">
        <v>8</v>
      </c>
      <c r="G1273">
        <v>51</v>
      </c>
      <c r="H1273">
        <v>41</v>
      </c>
    </row>
    <row r="1274" spans="1:8" x14ac:dyDescent="0.25">
      <c r="A1274" t="s">
        <v>1938</v>
      </c>
      <c r="B1274" t="s">
        <v>116</v>
      </c>
      <c r="C1274" t="s">
        <v>100</v>
      </c>
      <c r="D1274" t="s">
        <v>235</v>
      </c>
      <c r="E1274">
        <v>171</v>
      </c>
      <c r="F1274">
        <v>11</v>
      </c>
      <c r="G1274">
        <v>53</v>
      </c>
      <c r="H1274">
        <v>36</v>
      </c>
    </row>
    <row r="1275" spans="1:8" x14ac:dyDescent="0.25">
      <c r="A1275" t="s">
        <v>1939</v>
      </c>
      <c r="B1275" t="s">
        <v>116</v>
      </c>
      <c r="C1275" t="s">
        <v>100</v>
      </c>
      <c r="D1275" t="s">
        <v>236</v>
      </c>
      <c r="E1275">
        <v>166</v>
      </c>
      <c r="F1275">
        <v>12</v>
      </c>
      <c r="G1275">
        <v>59</v>
      </c>
      <c r="H1275">
        <v>29</v>
      </c>
    </row>
    <row r="1276" spans="1:8" x14ac:dyDescent="0.25">
      <c r="A1276" t="s">
        <v>1940</v>
      </c>
      <c r="B1276" t="s">
        <v>116</v>
      </c>
      <c r="C1276" t="s">
        <v>100</v>
      </c>
      <c r="D1276" t="s">
        <v>237</v>
      </c>
      <c r="E1276">
        <v>154</v>
      </c>
      <c r="F1276">
        <v>12</v>
      </c>
      <c r="G1276">
        <v>63</v>
      </c>
      <c r="H1276">
        <v>25</v>
      </c>
    </row>
    <row r="1277" spans="1:8" x14ac:dyDescent="0.25">
      <c r="A1277" t="s">
        <v>1941</v>
      </c>
      <c r="B1277" t="s">
        <v>116</v>
      </c>
      <c r="C1277" t="s">
        <v>100</v>
      </c>
      <c r="D1277" t="s">
        <v>238</v>
      </c>
      <c r="E1277">
        <v>181</v>
      </c>
      <c r="F1277">
        <v>11</v>
      </c>
      <c r="G1277">
        <v>64</v>
      </c>
      <c r="H1277">
        <v>25</v>
      </c>
    </row>
    <row r="1278" spans="1:8" x14ac:dyDescent="0.25">
      <c r="A1278" t="s">
        <v>1942</v>
      </c>
      <c r="B1278" t="s">
        <v>116</v>
      </c>
      <c r="C1278" t="s">
        <v>100</v>
      </c>
      <c r="D1278" t="s">
        <v>239</v>
      </c>
      <c r="E1278">
        <v>167</v>
      </c>
      <c r="F1278">
        <v>8</v>
      </c>
      <c r="G1278">
        <v>59</v>
      </c>
      <c r="H1278">
        <v>33</v>
      </c>
    </row>
    <row r="1279" spans="1:8" x14ac:dyDescent="0.25">
      <c r="A1279" t="s">
        <v>1943</v>
      </c>
      <c r="B1279" t="s">
        <v>116</v>
      </c>
      <c r="C1279" t="s">
        <v>100</v>
      </c>
      <c r="D1279" t="s">
        <v>47</v>
      </c>
      <c r="E1279">
        <v>153</v>
      </c>
      <c r="F1279">
        <v>8</v>
      </c>
      <c r="G1279">
        <v>60</v>
      </c>
      <c r="H1279">
        <v>32</v>
      </c>
    </row>
    <row r="1280" spans="1:8" x14ac:dyDescent="0.25">
      <c r="A1280" t="s">
        <v>1944</v>
      </c>
      <c r="B1280" t="s">
        <v>116</v>
      </c>
      <c r="C1280" t="s">
        <v>101</v>
      </c>
      <c r="D1280" t="s">
        <v>232</v>
      </c>
      <c r="E1280">
        <v>105</v>
      </c>
      <c r="F1280">
        <v>10</v>
      </c>
      <c r="G1280">
        <v>63</v>
      </c>
      <c r="H1280">
        <v>27</v>
      </c>
    </row>
    <row r="1281" spans="1:8" x14ac:dyDescent="0.25">
      <c r="A1281" t="s">
        <v>1945</v>
      </c>
      <c r="B1281" t="s">
        <v>116</v>
      </c>
      <c r="C1281" t="s">
        <v>101</v>
      </c>
      <c r="D1281" t="s">
        <v>233</v>
      </c>
      <c r="E1281">
        <v>89</v>
      </c>
      <c r="F1281">
        <v>13</v>
      </c>
      <c r="G1281">
        <v>59</v>
      </c>
      <c r="H1281">
        <v>28</v>
      </c>
    </row>
    <row r="1282" spans="1:8" x14ac:dyDescent="0.25">
      <c r="A1282" t="s">
        <v>1946</v>
      </c>
      <c r="B1282" t="s">
        <v>116</v>
      </c>
      <c r="C1282" t="s">
        <v>101</v>
      </c>
      <c r="D1282" t="s">
        <v>234</v>
      </c>
      <c r="E1282">
        <v>105</v>
      </c>
      <c r="F1282">
        <v>13</v>
      </c>
      <c r="G1282">
        <v>60</v>
      </c>
      <c r="H1282">
        <v>27</v>
      </c>
    </row>
    <row r="1283" spans="1:8" x14ac:dyDescent="0.25">
      <c r="A1283" t="s">
        <v>1947</v>
      </c>
      <c r="B1283" t="s">
        <v>116</v>
      </c>
      <c r="C1283" t="s">
        <v>101</v>
      </c>
      <c r="D1283" t="s">
        <v>235</v>
      </c>
      <c r="E1283">
        <v>96</v>
      </c>
      <c r="F1283">
        <v>17</v>
      </c>
      <c r="G1283">
        <v>53</v>
      </c>
      <c r="H1283">
        <v>30</v>
      </c>
    </row>
    <row r="1284" spans="1:8" x14ac:dyDescent="0.25">
      <c r="A1284" t="s">
        <v>1948</v>
      </c>
      <c r="B1284" t="s">
        <v>116</v>
      </c>
      <c r="C1284" t="s">
        <v>101</v>
      </c>
      <c r="D1284" t="s">
        <v>236</v>
      </c>
      <c r="E1284">
        <v>93</v>
      </c>
      <c r="F1284">
        <v>15</v>
      </c>
      <c r="G1284">
        <v>61</v>
      </c>
      <c r="H1284">
        <v>24</v>
      </c>
    </row>
    <row r="1285" spans="1:8" x14ac:dyDescent="0.25">
      <c r="A1285" t="s">
        <v>1949</v>
      </c>
      <c r="B1285" t="s">
        <v>116</v>
      </c>
      <c r="C1285" t="s">
        <v>101</v>
      </c>
      <c r="D1285" t="s">
        <v>237</v>
      </c>
      <c r="E1285">
        <v>95</v>
      </c>
      <c r="F1285">
        <v>17</v>
      </c>
      <c r="G1285">
        <v>64</v>
      </c>
      <c r="H1285">
        <v>19</v>
      </c>
    </row>
    <row r="1286" spans="1:8" x14ac:dyDescent="0.25">
      <c r="A1286" t="s">
        <v>1950</v>
      </c>
      <c r="B1286" t="s">
        <v>116</v>
      </c>
      <c r="C1286" t="s">
        <v>101</v>
      </c>
      <c r="D1286" t="s">
        <v>238</v>
      </c>
      <c r="E1286">
        <v>101</v>
      </c>
      <c r="F1286">
        <v>15</v>
      </c>
      <c r="G1286">
        <v>53</v>
      </c>
      <c r="H1286">
        <v>32</v>
      </c>
    </row>
    <row r="1287" spans="1:8" x14ac:dyDescent="0.25">
      <c r="A1287" t="s">
        <v>1951</v>
      </c>
      <c r="B1287" t="s">
        <v>116</v>
      </c>
      <c r="C1287" t="s">
        <v>101</v>
      </c>
      <c r="D1287" t="s">
        <v>239</v>
      </c>
      <c r="E1287">
        <v>83</v>
      </c>
      <c r="F1287">
        <v>10</v>
      </c>
      <c r="G1287">
        <v>58</v>
      </c>
      <c r="H1287">
        <v>32</v>
      </c>
    </row>
    <row r="1288" spans="1:8" x14ac:dyDescent="0.25">
      <c r="A1288" t="s">
        <v>1952</v>
      </c>
      <c r="B1288" t="s">
        <v>116</v>
      </c>
      <c r="C1288" t="s">
        <v>101</v>
      </c>
      <c r="D1288" t="s">
        <v>47</v>
      </c>
      <c r="E1288">
        <v>72</v>
      </c>
      <c r="F1288">
        <v>17</v>
      </c>
      <c r="G1288">
        <v>64</v>
      </c>
      <c r="H1288">
        <v>19</v>
      </c>
    </row>
    <row r="1289" spans="1:8" x14ac:dyDescent="0.25">
      <c r="A1289" t="s">
        <v>1953</v>
      </c>
      <c r="B1289" t="s">
        <v>116</v>
      </c>
      <c r="C1289" t="s">
        <v>102</v>
      </c>
      <c r="D1289" t="s">
        <v>232</v>
      </c>
      <c r="E1289">
        <v>159</v>
      </c>
      <c r="F1289">
        <v>16</v>
      </c>
      <c r="G1289">
        <v>35</v>
      </c>
      <c r="H1289">
        <v>49</v>
      </c>
    </row>
    <row r="1290" spans="1:8" x14ac:dyDescent="0.25">
      <c r="A1290" t="s">
        <v>1954</v>
      </c>
      <c r="B1290" t="s">
        <v>116</v>
      </c>
      <c r="C1290" t="s">
        <v>102</v>
      </c>
      <c r="D1290" t="s">
        <v>233</v>
      </c>
      <c r="E1290">
        <v>135</v>
      </c>
      <c r="F1290">
        <v>16</v>
      </c>
      <c r="G1290">
        <v>45</v>
      </c>
      <c r="H1290">
        <v>39</v>
      </c>
    </row>
    <row r="1291" spans="1:8" x14ac:dyDescent="0.25">
      <c r="A1291" t="s">
        <v>1955</v>
      </c>
      <c r="B1291" t="s">
        <v>116</v>
      </c>
      <c r="C1291" t="s">
        <v>102</v>
      </c>
      <c r="D1291" t="s">
        <v>234</v>
      </c>
      <c r="E1291">
        <v>133</v>
      </c>
      <c r="F1291">
        <v>16</v>
      </c>
      <c r="G1291">
        <v>33</v>
      </c>
      <c r="H1291">
        <v>51</v>
      </c>
    </row>
    <row r="1292" spans="1:8" x14ac:dyDescent="0.25">
      <c r="A1292" t="s">
        <v>1956</v>
      </c>
      <c r="B1292" t="s">
        <v>116</v>
      </c>
      <c r="C1292" t="s">
        <v>102</v>
      </c>
      <c r="D1292" t="s">
        <v>235</v>
      </c>
      <c r="E1292">
        <v>134</v>
      </c>
      <c r="F1292">
        <v>11</v>
      </c>
      <c r="G1292">
        <v>39</v>
      </c>
      <c r="H1292">
        <v>50</v>
      </c>
    </row>
    <row r="1293" spans="1:8" x14ac:dyDescent="0.25">
      <c r="A1293" t="s">
        <v>1957</v>
      </c>
      <c r="B1293" t="s">
        <v>116</v>
      </c>
      <c r="C1293" t="s">
        <v>102</v>
      </c>
      <c r="D1293" t="s">
        <v>236</v>
      </c>
      <c r="E1293">
        <v>131</v>
      </c>
      <c r="F1293">
        <v>20</v>
      </c>
      <c r="G1293">
        <v>36</v>
      </c>
      <c r="H1293">
        <v>44</v>
      </c>
    </row>
    <row r="1294" spans="1:8" x14ac:dyDescent="0.25">
      <c r="A1294" t="s">
        <v>1958</v>
      </c>
      <c r="B1294" t="s">
        <v>116</v>
      </c>
      <c r="C1294" t="s">
        <v>102</v>
      </c>
      <c r="D1294" t="s">
        <v>237</v>
      </c>
      <c r="E1294">
        <v>121</v>
      </c>
      <c r="F1294">
        <v>22</v>
      </c>
      <c r="G1294">
        <v>45</v>
      </c>
      <c r="H1294">
        <v>33</v>
      </c>
    </row>
    <row r="1295" spans="1:8" x14ac:dyDescent="0.25">
      <c r="A1295" t="s">
        <v>1959</v>
      </c>
      <c r="B1295" t="s">
        <v>116</v>
      </c>
      <c r="C1295" t="s">
        <v>102</v>
      </c>
      <c r="D1295" t="s">
        <v>238</v>
      </c>
      <c r="E1295">
        <v>149</v>
      </c>
      <c r="F1295">
        <v>19</v>
      </c>
      <c r="G1295">
        <v>45</v>
      </c>
      <c r="H1295">
        <v>36</v>
      </c>
    </row>
    <row r="1296" spans="1:8" x14ac:dyDescent="0.25">
      <c r="A1296" t="s">
        <v>1960</v>
      </c>
      <c r="B1296" t="s">
        <v>116</v>
      </c>
      <c r="C1296" t="s">
        <v>102</v>
      </c>
      <c r="D1296" t="s">
        <v>239</v>
      </c>
      <c r="E1296">
        <v>131</v>
      </c>
      <c r="F1296">
        <v>13</v>
      </c>
      <c r="G1296">
        <v>38</v>
      </c>
      <c r="H1296">
        <v>49</v>
      </c>
    </row>
    <row r="1297" spans="1:8" x14ac:dyDescent="0.25">
      <c r="A1297" t="s">
        <v>1961</v>
      </c>
      <c r="B1297" t="s">
        <v>116</v>
      </c>
      <c r="C1297" t="s">
        <v>102</v>
      </c>
      <c r="D1297" t="s">
        <v>47</v>
      </c>
      <c r="E1297">
        <v>119</v>
      </c>
      <c r="F1297">
        <v>21</v>
      </c>
      <c r="G1297">
        <v>42</v>
      </c>
      <c r="H1297">
        <v>37</v>
      </c>
    </row>
    <row r="1298" spans="1:8" x14ac:dyDescent="0.25">
      <c r="A1298" t="s">
        <v>1962</v>
      </c>
      <c r="B1298" t="s">
        <v>116</v>
      </c>
      <c r="C1298" t="s">
        <v>31</v>
      </c>
      <c r="D1298" t="s">
        <v>232</v>
      </c>
      <c r="E1298">
        <v>202</v>
      </c>
      <c r="F1298">
        <v>19</v>
      </c>
      <c r="G1298">
        <v>46</v>
      </c>
      <c r="H1298">
        <v>35</v>
      </c>
    </row>
    <row r="1299" spans="1:8" x14ac:dyDescent="0.25">
      <c r="A1299" t="s">
        <v>1963</v>
      </c>
      <c r="B1299" t="s">
        <v>116</v>
      </c>
      <c r="C1299" t="s">
        <v>31</v>
      </c>
      <c r="D1299" t="s">
        <v>233</v>
      </c>
      <c r="E1299">
        <v>175</v>
      </c>
      <c r="F1299">
        <v>15</v>
      </c>
      <c r="G1299">
        <v>52</v>
      </c>
      <c r="H1299">
        <v>33</v>
      </c>
    </row>
    <row r="1300" spans="1:8" x14ac:dyDescent="0.25">
      <c r="A1300" t="s">
        <v>1964</v>
      </c>
      <c r="B1300" t="s">
        <v>116</v>
      </c>
      <c r="C1300" t="s">
        <v>31</v>
      </c>
      <c r="D1300" t="s">
        <v>234</v>
      </c>
      <c r="E1300">
        <v>182</v>
      </c>
      <c r="F1300">
        <v>13</v>
      </c>
      <c r="G1300">
        <v>50</v>
      </c>
      <c r="H1300">
        <v>37</v>
      </c>
    </row>
    <row r="1301" spans="1:8" x14ac:dyDescent="0.25">
      <c r="A1301" t="s">
        <v>1965</v>
      </c>
      <c r="B1301" t="s">
        <v>116</v>
      </c>
      <c r="C1301" t="s">
        <v>31</v>
      </c>
      <c r="D1301" t="s">
        <v>235</v>
      </c>
      <c r="E1301">
        <v>176</v>
      </c>
      <c r="F1301">
        <v>11</v>
      </c>
      <c r="G1301">
        <v>54</v>
      </c>
      <c r="H1301">
        <v>35</v>
      </c>
    </row>
    <row r="1302" spans="1:8" x14ac:dyDescent="0.25">
      <c r="A1302" t="s">
        <v>1966</v>
      </c>
      <c r="B1302" t="s">
        <v>116</v>
      </c>
      <c r="C1302" t="s">
        <v>31</v>
      </c>
      <c r="D1302" t="s">
        <v>236</v>
      </c>
      <c r="E1302">
        <v>174</v>
      </c>
      <c r="F1302">
        <v>21</v>
      </c>
      <c r="G1302">
        <v>48</v>
      </c>
      <c r="H1302">
        <v>31</v>
      </c>
    </row>
    <row r="1303" spans="1:8" x14ac:dyDescent="0.25">
      <c r="A1303" t="s">
        <v>1967</v>
      </c>
      <c r="B1303" t="s">
        <v>116</v>
      </c>
      <c r="C1303" t="s">
        <v>31</v>
      </c>
      <c r="D1303" t="s">
        <v>237</v>
      </c>
      <c r="E1303">
        <v>151</v>
      </c>
      <c r="F1303">
        <v>15</v>
      </c>
      <c r="G1303">
        <v>52</v>
      </c>
      <c r="H1303">
        <v>33</v>
      </c>
    </row>
    <row r="1304" spans="1:8" x14ac:dyDescent="0.25">
      <c r="A1304" t="s">
        <v>1968</v>
      </c>
      <c r="B1304" t="s">
        <v>116</v>
      </c>
      <c r="C1304" t="s">
        <v>31</v>
      </c>
      <c r="D1304" t="s">
        <v>238</v>
      </c>
      <c r="E1304">
        <v>179</v>
      </c>
      <c r="F1304">
        <v>17</v>
      </c>
      <c r="G1304">
        <v>51</v>
      </c>
      <c r="H1304">
        <v>32</v>
      </c>
    </row>
    <row r="1305" spans="1:8" x14ac:dyDescent="0.25">
      <c r="A1305" t="s">
        <v>1969</v>
      </c>
      <c r="B1305" t="s">
        <v>116</v>
      </c>
      <c r="C1305" t="s">
        <v>31</v>
      </c>
      <c r="D1305" t="s">
        <v>239</v>
      </c>
      <c r="E1305">
        <v>169</v>
      </c>
      <c r="F1305">
        <v>18</v>
      </c>
      <c r="G1305">
        <v>49</v>
      </c>
      <c r="H1305">
        <v>33</v>
      </c>
    </row>
    <row r="1306" spans="1:8" x14ac:dyDescent="0.25">
      <c r="A1306" t="s">
        <v>1970</v>
      </c>
      <c r="B1306" t="s">
        <v>116</v>
      </c>
      <c r="C1306" t="s">
        <v>31</v>
      </c>
      <c r="D1306" t="s">
        <v>47</v>
      </c>
      <c r="E1306">
        <v>156</v>
      </c>
      <c r="F1306">
        <v>18</v>
      </c>
      <c r="G1306">
        <v>50</v>
      </c>
      <c r="H1306">
        <v>32</v>
      </c>
    </row>
    <row r="1307" spans="1:8" x14ac:dyDescent="0.25">
      <c r="A1307" t="s">
        <v>1971</v>
      </c>
      <c r="B1307" t="s">
        <v>148</v>
      </c>
      <c r="C1307" t="s">
        <v>103</v>
      </c>
      <c r="D1307" t="s">
        <v>232</v>
      </c>
      <c r="E1307">
        <v>926</v>
      </c>
      <c r="F1307">
        <v>31</v>
      </c>
      <c r="G1307">
        <v>58</v>
      </c>
      <c r="H1307">
        <v>11</v>
      </c>
    </row>
    <row r="1308" spans="1:8" x14ac:dyDescent="0.25">
      <c r="A1308" t="s">
        <v>1972</v>
      </c>
      <c r="B1308" t="s">
        <v>148</v>
      </c>
      <c r="C1308" t="s">
        <v>103</v>
      </c>
      <c r="D1308" t="s">
        <v>233</v>
      </c>
      <c r="E1308">
        <v>747</v>
      </c>
      <c r="F1308">
        <v>30</v>
      </c>
      <c r="G1308">
        <v>59</v>
      </c>
      <c r="H1308">
        <v>11</v>
      </c>
    </row>
    <row r="1309" spans="1:8" x14ac:dyDescent="0.25">
      <c r="A1309" t="s">
        <v>1973</v>
      </c>
      <c r="B1309" t="s">
        <v>148</v>
      </c>
      <c r="C1309" t="s">
        <v>103</v>
      </c>
      <c r="D1309" t="s">
        <v>234</v>
      </c>
      <c r="E1309">
        <v>729</v>
      </c>
      <c r="F1309">
        <v>25</v>
      </c>
      <c r="G1309">
        <v>60</v>
      </c>
      <c r="H1309">
        <v>15</v>
      </c>
    </row>
    <row r="1310" spans="1:8" x14ac:dyDescent="0.25">
      <c r="A1310" t="s">
        <v>1974</v>
      </c>
      <c r="B1310" t="s">
        <v>148</v>
      </c>
      <c r="C1310" t="s">
        <v>103</v>
      </c>
      <c r="D1310" t="s">
        <v>235</v>
      </c>
      <c r="E1310">
        <v>705</v>
      </c>
      <c r="F1310">
        <v>28</v>
      </c>
      <c r="G1310">
        <v>58</v>
      </c>
      <c r="H1310">
        <v>14</v>
      </c>
    </row>
    <row r="1311" spans="1:8" x14ac:dyDescent="0.25">
      <c r="A1311" t="s">
        <v>1975</v>
      </c>
      <c r="B1311" t="s">
        <v>148</v>
      </c>
      <c r="C1311" t="s">
        <v>103</v>
      </c>
      <c r="D1311" t="s">
        <v>236</v>
      </c>
      <c r="E1311">
        <v>787</v>
      </c>
      <c r="F1311">
        <v>27</v>
      </c>
      <c r="G1311">
        <v>56</v>
      </c>
      <c r="H1311">
        <v>17</v>
      </c>
    </row>
    <row r="1312" spans="1:8" x14ac:dyDescent="0.25">
      <c r="A1312" t="s">
        <v>1976</v>
      </c>
      <c r="B1312" t="s">
        <v>148</v>
      </c>
      <c r="C1312" t="s">
        <v>103</v>
      </c>
      <c r="D1312" t="s">
        <v>237</v>
      </c>
      <c r="E1312">
        <v>718</v>
      </c>
      <c r="F1312">
        <v>22</v>
      </c>
      <c r="G1312">
        <v>59</v>
      </c>
      <c r="H1312">
        <v>19</v>
      </c>
    </row>
    <row r="1313" spans="1:8" x14ac:dyDescent="0.25">
      <c r="A1313" t="s">
        <v>1977</v>
      </c>
      <c r="B1313" t="s">
        <v>148</v>
      </c>
      <c r="C1313" t="s">
        <v>103</v>
      </c>
      <c r="D1313" t="s">
        <v>238</v>
      </c>
      <c r="E1313">
        <v>902</v>
      </c>
      <c r="F1313">
        <v>23</v>
      </c>
      <c r="G1313">
        <v>57</v>
      </c>
      <c r="H1313">
        <v>20</v>
      </c>
    </row>
    <row r="1314" spans="1:8" x14ac:dyDescent="0.25">
      <c r="A1314" t="s">
        <v>1978</v>
      </c>
      <c r="B1314" t="s">
        <v>148</v>
      </c>
      <c r="C1314" t="s">
        <v>103</v>
      </c>
      <c r="D1314" t="s">
        <v>239</v>
      </c>
      <c r="E1314">
        <v>735</v>
      </c>
      <c r="F1314">
        <v>21</v>
      </c>
      <c r="G1314">
        <v>61</v>
      </c>
      <c r="H1314">
        <v>18</v>
      </c>
    </row>
    <row r="1315" spans="1:8" x14ac:dyDescent="0.25">
      <c r="A1315" t="s">
        <v>1979</v>
      </c>
      <c r="B1315" t="s">
        <v>148</v>
      </c>
      <c r="C1315" t="s">
        <v>103</v>
      </c>
      <c r="D1315" t="s">
        <v>47</v>
      </c>
      <c r="E1315">
        <v>827</v>
      </c>
      <c r="F1315">
        <v>18</v>
      </c>
      <c r="G1315">
        <v>63</v>
      </c>
      <c r="H1315">
        <v>19</v>
      </c>
    </row>
    <row r="1316" spans="1:8" x14ac:dyDescent="0.25">
      <c r="A1316" t="s">
        <v>1980</v>
      </c>
      <c r="B1316" t="s">
        <v>148</v>
      </c>
      <c r="C1316" t="s">
        <v>100</v>
      </c>
      <c r="D1316" t="s">
        <v>232</v>
      </c>
      <c r="E1316">
        <v>941</v>
      </c>
      <c r="F1316">
        <v>24</v>
      </c>
      <c r="G1316">
        <v>56</v>
      </c>
      <c r="H1316">
        <v>20</v>
      </c>
    </row>
    <row r="1317" spans="1:8" x14ac:dyDescent="0.25">
      <c r="A1317" t="s">
        <v>1981</v>
      </c>
      <c r="B1317" t="s">
        <v>148</v>
      </c>
      <c r="C1317" t="s">
        <v>100</v>
      </c>
      <c r="D1317" t="s">
        <v>233</v>
      </c>
      <c r="E1317">
        <v>768</v>
      </c>
      <c r="F1317">
        <v>23</v>
      </c>
      <c r="G1317">
        <v>58</v>
      </c>
      <c r="H1317">
        <v>19</v>
      </c>
    </row>
    <row r="1318" spans="1:8" x14ac:dyDescent="0.25">
      <c r="A1318" t="s">
        <v>1982</v>
      </c>
      <c r="B1318" t="s">
        <v>148</v>
      </c>
      <c r="C1318" t="s">
        <v>100</v>
      </c>
      <c r="D1318" t="s">
        <v>234</v>
      </c>
      <c r="E1318">
        <v>747</v>
      </c>
      <c r="F1318">
        <v>23</v>
      </c>
      <c r="G1318">
        <v>55</v>
      </c>
      <c r="H1318">
        <v>22</v>
      </c>
    </row>
    <row r="1319" spans="1:8" x14ac:dyDescent="0.25">
      <c r="A1319" t="s">
        <v>1983</v>
      </c>
      <c r="B1319" t="s">
        <v>148</v>
      </c>
      <c r="C1319" t="s">
        <v>100</v>
      </c>
      <c r="D1319" t="s">
        <v>235</v>
      </c>
      <c r="E1319">
        <v>720</v>
      </c>
      <c r="F1319">
        <v>25</v>
      </c>
      <c r="G1319">
        <v>53</v>
      </c>
      <c r="H1319">
        <v>22</v>
      </c>
    </row>
    <row r="1320" spans="1:8" x14ac:dyDescent="0.25">
      <c r="A1320" t="s">
        <v>1984</v>
      </c>
      <c r="B1320" t="s">
        <v>148</v>
      </c>
      <c r="C1320" t="s">
        <v>100</v>
      </c>
      <c r="D1320" t="s">
        <v>236</v>
      </c>
      <c r="E1320">
        <v>808</v>
      </c>
      <c r="F1320">
        <v>29</v>
      </c>
      <c r="G1320">
        <v>50</v>
      </c>
      <c r="H1320">
        <v>21</v>
      </c>
    </row>
    <row r="1321" spans="1:8" x14ac:dyDescent="0.25">
      <c r="A1321" t="s">
        <v>1985</v>
      </c>
      <c r="B1321" t="s">
        <v>148</v>
      </c>
      <c r="C1321" t="s">
        <v>100</v>
      </c>
      <c r="D1321" t="s">
        <v>237</v>
      </c>
      <c r="E1321">
        <v>748</v>
      </c>
      <c r="F1321">
        <v>26</v>
      </c>
      <c r="G1321">
        <v>53</v>
      </c>
      <c r="H1321">
        <v>21</v>
      </c>
    </row>
    <row r="1322" spans="1:8" x14ac:dyDescent="0.25">
      <c r="A1322" t="s">
        <v>1986</v>
      </c>
      <c r="B1322" t="s">
        <v>148</v>
      </c>
      <c r="C1322" t="s">
        <v>100</v>
      </c>
      <c r="D1322" t="s">
        <v>238</v>
      </c>
      <c r="E1322">
        <v>927</v>
      </c>
      <c r="F1322">
        <v>22</v>
      </c>
      <c r="G1322">
        <v>55</v>
      </c>
      <c r="H1322">
        <v>23</v>
      </c>
    </row>
    <row r="1323" spans="1:8" x14ac:dyDescent="0.25">
      <c r="A1323" t="s">
        <v>1987</v>
      </c>
      <c r="B1323" t="s">
        <v>148</v>
      </c>
      <c r="C1323" t="s">
        <v>100</v>
      </c>
      <c r="D1323" t="s">
        <v>239</v>
      </c>
      <c r="E1323">
        <v>753</v>
      </c>
      <c r="F1323">
        <v>20</v>
      </c>
      <c r="G1323">
        <v>56</v>
      </c>
      <c r="H1323">
        <v>24</v>
      </c>
    </row>
    <row r="1324" spans="1:8" x14ac:dyDescent="0.25">
      <c r="A1324" t="s">
        <v>1988</v>
      </c>
      <c r="B1324" t="s">
        <v>148</v>
      </c>
      <c r="C1324" t="s">
        <v>100</v>
      </c>
      <c r="D1324" t="s">
        <v>47</v>
      </c>
      <c r="E1324">
        <v>853</v>
      </c>
      <c r="F1324">
        <v>25</v>
      </c>
      <c r="G1324">
        <v>54</v>
      </c>
      <c r="H1324">
        <v>21</v>
      </c>
    </row>
    <row r="1325" spans="1:8" x14ac:dyDescent="0.25">
      <c r="A1325" t="s">
        <v>1989</v>
      </c>
      <c r="B1325" t="s">
        <v>148</v>
      </c>
      <c r="C1325" t="s">
        <v>101</v>
      </c>
      <c r="D1325" t="s">
        <v>232</v>
      </c>
    </row>
    <row r="1326" spans="1:8" x14ac:dyDescent="0.25">
      <c r="A1326" t="s">
        <v>1990</v>
      </c>
      <c r="B1326" t="s">
        <v>148</v>
      </c>
      <c r="C1326" t="s">
        <v>101</v>
      </c>
      <c r="D1326" t="s">
        <v>233</v>
      </c>
    </row>
    <row r="1327" spans="1:8" x14ac:dyDescent="0.25">
      <c r="A1327" t="s">
        <v>1991</v>
      </c>
      <c r="B1327" t="s">
        <v>148</v>
      </c>
      <c r="C1327" t="s">
        <v>101</v>
      </c>
      <c r="D1327" t="s">
        <v>234</v>
      </c>
    </row>
    <row r="1328" spans="1:8" x14ac:dyDescent="0.25">
      <c r="A1328" t="s">
        <v>1992</v>
      </c>
      <c r="B1328" t="s">
        <v>148</v>
      </c>
      <c r="C1328" t="s">
        <v>101</v>
      </c>
      <c r="D1328" t="s">
        <v>235</v>
      </c>
    </row>
    <row r="1329" spans="1:8" x14ac:dyDescent="0.25">
      <c r="A1329" t="s">
        <v>1993</v>
      </c>
      <c r="B1329" t="s">
        <v>148</v>
      </c>
      <c r="C1329" t="s">
        <v>101</v>
      </c>
      <c r="D1329" t="s">
        <v>236</v>
      </c>
    </row>
    <row r="1330" spans="1:8" x14ac:dyDescent="0.25">
      <c r="A1330" t="s">
        <v>1994</v>
      </c>
      <c r="B1330" t="s">
        <v>148</v>
      </c>
      <c r="C1330" t="s">
        <v>101</v>
      </c>
      <c r="D1330" t="s">
        <v>237</v>
      </c>
    </row>
    <row r="1331" spans="1:8" x14ac:dyDescent="0.25">
      <c r="A1331" t="s">
        <v>1995</v>
      </c>
      <c r="B1331" t="s">
        <v>148</v>
      </c>
      <c r="C1331" t="s">
        <v>101</v>
      </c>
      <c r="D1331" t="s">
        <v>238</v>
      </c>
    </row>
    <row r="1332" spans="1:8" x14ac:dyDescent="0.25">
      <c r="A1332" t="s">
        <v>1996</v>
      </c>
      <c r="B1332" t="s">
        <v>148</v>
      </c>
      <c r="C1332" t="s">
        <v>101</v>
      </c>
      <c r="D1332" t="s">
        <v>239</v>
      </c>
    </row>
    <row r="1333" spans="1:8" x14ac:dyDescent="0.25">
      <c r="A1333" t="s">
        <v>1997</v>
      </c>
      <c r="B1333" t="s">
        <v>148</v>
      </c>
      <c r="C1333" t="s">
        <v>101</v>
      </c>
      <c r="D1333" t="s">
        <v>47</v>
      </c>
    </row>
    <row r="1334" spans="1:8" x14ac:dyDescent="0.25">
      <c r="A1334" t="s">
        <v>1998</v>
      </c>
      <c r="B1334" t="s">
        <v>148</v>
      </c>
      <c r="C1334" t="s">
        <v>102</v>
      </c>
      <c r="D1334" t="s">
        <v>232</v>
      </c>
      <c r="E1334">
        <v>820</v>
      </c>
      <c r="F1334">
        <v>28</v>
      </c>
      <c r="G1334">
        <v>52</v>
      </c>
      <c r="H1334">
        <v>20</v>
      </c>
    </row>
    <row r="1335" spans="1:8" x14ac:dyDescent="0.25">
      <c r="A1335" t="s">
        <v>1999</v>
      </c>
      <c r="B1335" t="s">
        <v>148</v>
      </c>
      <c r="C1335" t="s">
        <v>102</v>
      </c>
      <c r="D1335" t="s">
        <v>233</v>
      </c>
      <c r="E1335">
        <v>643</v>
      </c>
      <c r="F1335">
        <v>26</v>
      </c>
      <c r="G1335">
        <v>57</v>
      </c>
      <c r="H1335">
        <v>17</v>
      </c>
    </row>
    <row r="1336" spans="1:8" x14ac:dyDescent="0.25">
      <c r="A1336" t="s">
        <v>2000</v>
      </c>
      <c r="B1336" t="s">
        <v>148</v>
      </c>
      <c r="C1336" t="s">
        <v>102</v>
      </c>
      <c r="D1336" t="s">
        <v>234</v>
      </c>
      <c r="E1336">
        <v>630</v>
      </c>
      <c r="F1336">
        <v>25</v>
      </c>
      <c r="G1336">
        <v>49</v>
      </c>
      <c r="H1336">
        <v>26</v>
      </c>
    </row>
    <row r="1337" spans="1:8" x14ac:dyDescent="0.25">
      <c r="A1337" t="s">
        <v>2001</v>
      </c>
      <c r="B1337" t="s">
        <v>148</v>
      </c>
      <c r="C1337" t="s">
        <v>102</v>
      </c>
      <c r="D1337" t="s">
        <v>235</v>
      </c>
      <c r="E1337">
        <v>612</v>
      </c>
      <c r="F1337">
        <v>23</v>
      </c>
      <c r="G1337">
        <v>52</v>
      </c>
      <c r="H1337">
        <v>25</v>
      </c>
    </row>
    <row r="1338" spans="1:8" x14ac:dyDescent="0.25">
      <c r="A1338" t="s">
        <v>2002</v>
      </c>
      <c r="B1338" t="s">
        <v>148</v>
      </c>
      <c r="C1338" t="s">
        <v>102</v>
      </c>
      <c r="D1338" t="s">
        <v>236</v>
      </c>
      <c r="E1338">
        <v>656</v>
      </c>
      <c r="F1338">
        <v>28</v>
      </c>
      <c r="G1338">
        <v>49</v>
      </c>
      <c r="H1338">
        <v>23</v>
      </c>
    </row>
    <row r="1339" spans="1:8" x14ac:dyDescent="0.25">
      <c r="A1339" t="s">
        <v>2003</v>
      </c>
      <c r="B1339" t="s">
        <v>148</v>
      </c>
      <c r="C1339" t="s">
        <v>102</v>
      </c>
      <c r="D1339" t="s">
        <v>237</v>
      </c>
      <c r="E1339">
        <v>627</v>
      </c>
      <c r="F1339">
        <v>23</v>
      </c>
      <c r="G1339">
        <v>50</v>
      </c>
      <c r="H1339">
        <v>27</v>
      </c>
    </row>
    <row r="1340" spans="1:8" x14ac:dyDescent="0.25">
      <c r="A1340" t="s">
        <v>2004</v>
      </c>
      <c r="B1340" t="s">
        <v>148</v>
      </c>
      <c r="C1340" t="s">
        <v>102</v>
      </c>
      <c r="D1340" t="s">
        <v>238</v>
      </c>
      <c r="E1340">
        <v>758</v>
      </c>
      <c r="F1340">
        <v>22</v>
      </c>
      <c r="G1340">
        <v>49</v>
      </c>
      <c r="H1340">
        <v>29</v>
      </c>
    </row>
    <row r="1341" spans="1:8" x14ac:dyDescent="0.25">
      <c r="A1341" t="s">
        <v>2005</v>
      </c>
      <c r="B1341" t="s">
        <v>148</v>
      </c>
      <c r="C1341" t="s">
        <v>102</v>
      </c>
      <c r="D1341" t="s">
        <v>239</v>
      </c>
      <c r="E1341">
        <v>622</v>
      </c>
      <c r="F1341">
        <v>24</v>
      </c>
      <c r="G1341">
        <v>49</v>
      </c>
      <c r="H1341">
        <v>27</v>
      </c>
    </row>
    <row r="1342" spans="1:8" x14ac:dyDescent="0.25">
      <c r="A1342" t="s">
        <v>2006</v>
      </c>
      <c r="B1342" t="s">
        <v>148</v>
      </c>
      <c r="C1342" t="s">
        <v>102</v>
      </c>
      <c r="D1342" t="s">
        <v>47</v>
      </c>
      <c r="E1342">
        <v>712</v>
      </c>
      <c r="F1342">
        <v>25</v>
      </c>
      <c r="G1342">
        <v>51</v>
      </c>
      <c r="H1342">
        <v>24</v>
      </c>
    </row>
    <row r="1343" spans="1:8" x14ac:dyDescent="0.25">
      <c r="A1343" t="s">
        <v>2007</v>
      </c>
      <c r="B1343" t="s">
        <v>148</v>
      </c>
      <c r="C1343" t="s">
        <v>31</v>
      </c>
      <c r="D1343" t="s">
        <v>232</v>
      </c>
      <c r="E1343">
        <v>952</v>
      </c>
      <c r="F1343">
        <v>44</v>
      </c>
      <c r="G1343">
        <v>44</v>
      </c>
      <c r="H1343">
        <v>12</v>
      </c>
    </row>
    <row r="1344" spans="1:8" x14ac:dyDescent="0.25">
      <c r="A1344" t="s">
        <v>2008</v>
      </c>
      <c r="B1344" t="s">
        <v>148</v>
      </c>
      <c r="C1344" t="s">
        <v>31</v>
      </c>
      <c r="D1344" t="s">
        <v>233</v>
      </c>
      <c r="E1344">
        <v>777</v>
      </c>
      <c r="F1344">
        <v>43</v>
      </c>
      <c r="G1344">
        <v>42</v>
      </c>
      <c r="H1344">
        <v>15</v>
      </c>
    </row>
    <row r="1345" spans="1:8" x14ac:dyDescent="0.25">
      <c r="A1345" t="s">
        <v>2009</v>
      </c>
      <c r="B1345" t="s">
        <v>148</v>
      </c>
      <c r="C1345" t="s">
        <v>31</v>
      </c>
      <c r="D1345" t="s">
        <v>234</v>
      </c>
      <c r="E1345">
        <v>763</v>
      </c>
      <c r="F1345">
        <v>37</v>
      </c>
      <c r="G1345">
        <v>44</v>
      </c>
      <c r="H1345">
        <v>19</v>
      </c>
    </row>
    <row r="1346" spans="1:8" x14ac:dyDescent="0.25">
      <c r="A1346" t="s">
        <v>2010</v>
      </c>
      <c r="B1346" t="s">
        <v>148</v>
      </c>
      <c r="C1346" t="s">
        <v>31</v>
      </c>
      <c r="D1346" t="s">
        <v>235</v>
      </c>
      <c r="E1346">
        <v>727</v>
      </c>
      <c r="F1346">
        <v>37</v>
      </c>
      <c r="G1346">
        <v>45</v>
      </c>
      <c r="H1346">
        <v>18</v>
      </c>
    </row>
    <row r="1347" spans="1:8" x14ac:dyDescent="0.25">
      <c r="A1347" t="s">
        <v>2011</v>
      </c>
      <c r="B1347" t="s">
        <v>148</v>
      </c>
      <c r="C1347" t="s">
        <v>31</v>
      </c>
      <c r="D1347" t="s">
        <v>236</v>
      </c>
      <c r="E1347">
        <v>819</v>
      </c>
      <c r="F1347">
        <v>38</v>
      </c>
      <c r="G1347">
        <v>41</v>
      </c>
      <c r="H1347">
        <v>21</v>
      </c>
    </row>
    <row r="1348" spans="1:8" x14ac:dyDescent="0.25">
      <c r="A1348" t="s">
        <v>2012</v>
      </c>
      <c r="B1348" t="s">
        <v>148</v>
      </c>
      <c r="C1348" t="s">
        <v>31</v>
      </c>
      <c r="D1348" t="s">
        <v>237</v>
      </c>
      <c r="E1348">
        <v>752</v>
      </c>
      <c r="F1348">
        <v>34</v>
      </c>
      <c r="G1348">
        <v>44</v>
      </c>
      <c r="H1348">
        <v>22</v>
      </c>
    </row>
    <row r="1349" spans="1:8" x14ac:dyDescent="0.25">
      <c r="A1349" t="s">
        <v>2013</v>
      </c>
      <c r="B1349" t="s">
        <v>148</v>
      </c>
      <c r="C1349" t="s">
        <v>31</v>
      </c>
      <c r="D1349" t="s">
        <v>238</v>
      </c>
      <c r="E1349">
        <v>937</v>
      </c>
      <c r="F1349">
        <v>33</v>
      </c>
      <c r="G1349">
        <v>46</v>
      </c>
      <c r="H1349">
        <v>21</v>
      </c>
    </row>
    <row r="1350" spans="1:8" x14ac:dyDescent="0.25">
      <c r="A1350" t="s">
        <v>2014</v>
      </c>
      <c r="B1350" t="s">
        <v>148</v>
      </c>
      <c r="C1350" t="s">
        <v>31</v>
      </c>
      <c r="D1350" t="s">
        <v>239</v>
      </c>
      <c r="E1350">
        <v>761</v>
      </c>
      <c r="F1350">
        <v>33</v>
      </c>
      <c r="G1350">
        <v>47</v>
      </c>
      <c r="H1350">
        <v>20</v>
      </c>
    </row>
    <row r="1351" spans="1:8" x14ac:dyDescent="0.25">
      <c r="A1351" t="s">
        <v>2015</v>
      </c>
      <c r="B1351" t="s">
        <v>148</v>
      </c>
      <c r="C1351" t="s">
        <v>31</v>
      </c>
      <c r="D1351" t="s">
        <v>47</v>
      </c>
      <c r="E1351">
        <v>863</v>
      </c>
      <c r="F1351">
        <v>31</v>
      </c>
      <c r="G1351">
        <v>48</v>
      </c>
      <c r="H1351">
        <v>21</v>
      </c>
    </row>
    <row r="1352" spans="1:8" x14ac:dyDescent="0.25">
      <c r="A1352" t="s">
        <v>2016</v>
      </c>
      <c r="B1352" t="s">
        <v>153</v>
      </c>
      <c r="C1352" t="s">
        <v>103</v>
      </c>
      <c r="D1352" t="s">
        <v>232</v>
      </c>
      <c r="E1352">
        <v>944</v>
      </c>
      <c r="F1352">
        <v>10</v>
      </c>
      <c r="G1352">
        <v>75</v>
      </c>
      <c r="H1352">
        <v>15</v>
      </c>
    </row>
    <row r="1353" spans="1:8" x14ac:dyDescent="0.25">
      <c r="A1353" t="s">
        <v>2017</v>
      </c>
      <c r="B1353" t="s">
        <v>153</v>
      </c>
      <c r="C1353" t="s">
        <v>103</v>
      </c>
      <c r="D1353" t="s">
        <v>233</v>
      </c>
      <c r="E1353">
        <v>722</v>
      </c>
      <c r="F1353">
        <v>12</v>
      </c>
      <c r="G1353">
        <v>75</v>
      </c>
      <c r="H1353">
        <v>13</v>
      </c>
    </row>
    <row r="1354" spans="1:8" x14ac:dyDescent="0.25">
      <c r="A1354" t="s">
        <v>2018</v>
      </c>
      <c r="B1354" t="s">
        <v>153</v>
      </c>
      <c r="C1354" t="s">
        <v>103</v>
      </c>
      <c r="D1354" t="s">
        <v>234</v>
      </c>
      <c r="E1354">
        <v>772</v>
      </c>
      <c r="F1354">
        <v>11</v>
      </c>
      <c r="G1354">
        <v>75</v>
      </c>
      <c r="H1354">
        <v>14</v>
      </c>
    </row>
    <row r="1355" spans="1:8" x14ac:dyDescent="0.25">
      <c r="A1355" t="s">
        <v>2019</v>
      </c>
      <c r="B1355" t="s">
        <v>153</v>
      </c>
      <c r="C1355" t="s">
        <v>103</v>
      </c>
      <c r="D1355" t="s">
        <v>235</v>
      </c>
      <c r="E1355">
        <v>657</v>
      </c>
      <c r="F1355">
        <v>11</v>
      </c>
      <c r="G1355">
        <v>75</v>
      </c>
      <c r="H1355">
        <v>14</v>
      </c>
    </row>
    <row r="1356" spans="1:8" x14ac:dyDescent="0.25">
      <c r="A1356" t="s">
        <v>2020</v>
      </c>
      <c r="B1356" t="s">
        <v>153</v>
      </c>
      <c r="C1356" t="s">
        <v>103</v>
      </c>
      <c r="D1356" t="s">
        <v>236</v>
      </c>
      <c r="E1356">
        <v>701</v>
      </c>
      <c r="F1356">
        <v>13</v>
      </c>
      <c r="G1356">
        <v>75</v>
      </c>
      <c r="H1356">
        <v>12</v>
      </c>
    </row>
    <row r="1357" spans="1:8" x14ac:dyDescent="0.25">
      <c r="A1357" t="s">
        <v>2021</v>
      </c>
      <c r="B1357" t="s">
        <v>153</v>
      </c>
      <c r="C1357" t="s">
        <v>103</v>
      </c>
      <c r="D1357" t="s">
        <v>237</v>
      </c>
      <c r="E1357">
        <v>915</v>
      </c>
      <c r="F1357">
        <v>10</v>
      </c>
      <c r="G1357">
        <v>76</v>
      </c>
      <c r="H1357">
        <v>14</v>
      </c>
    </row>
    <row r="1358" spans="1:8" x14ac:dyDescent="0.25">
      <c r="A1358" t="s">
        <v>2022</v>
      </c>
      <c r="B1358" t="s">
        <v>153</v>
      </c>
      <c r="C1358" t="s">
        <v>103</v>
      </c>
      <c r="D1358" t="s">
        <v>238</v>
      </c>
      <c r="E1358">
        <v>1083</v>
      </c>
      <c r="F1358">
        <v>11</v>
      </c>
      <c r="G1358">
        <v>75</v>
      </c>
      <c r="H1358">
        <v>14</v>
      </c>
    </row>
    <row r="1359" spans="1:8" x14ac:dyDescent="0.25">
      <c r="A1359" t="s">
        <v>2023</v>
      </c>
      <c r="B1359" t="s">
        <v>153</v>
      </c>
      <c r="C1359" t="s">
        <v>103</v>
      </c>
      <c r="D1359" t="s">
        <v>239</v>
      </c>
      <c r="E1359">
        <v>894</v>
      </c>
      <c r="F1359">
        <v>10</v>
      </c>
      <c r="G1359">
        <v>74</v>
      </c>
      <c r="H1359">
        <v>16</v>
      </c>
    </row>
    <row r="1360" spans="1:8" x14ac:dyDescent="0.25">
      <c r="A1360" t="s">
        <v>2024</v>
      </c>
      <c r="B1360" t="s">
        <v>153</v>
      </c>
      <c r="C1360" t="s">
        <v>103</v>
      </c>
      <c r="D1360" t="s">
        <v>47</v>
      </c>
      <c r="E1360">
        <v>959</v>
      </c>
      <c r="F1360">
        <v>10</v>
      </c>
      <c r="G1360">
        <v>74</v>
      </c>
      <c r="H1360">
        <v>16</v>
      </c>
    </row>
    <row r="1361" spans="1:8" x14ac:dyDescent="0.25">
      <c r="A1361" t="s">
        <v>2025</v>
      </c>
      <c r="B1361" t="s">
        <v>153</v>
      </c>
      <c r="C1361" t="s">
        <v>100</v>
      </c>
      <c r="D1361" t="s">
        <v>232</v>
      </c>
      <c r="E1361">
        <v>951</v>
      </c>
      <c r="F1361">
        <v>12</v>
      </c>
      <c r="G1361">
        <v>62</v>
      </c>
      <c r="H1361">
        <v>26</v>
      </c>
    </row>
    <row r="1362" spans="1:8" x14ac:dyDescent="0.25">
      <c r="A1362" t="s">
        <v>2026</v>
      </c>
      <c r="B1362" t="s">
        <v>153</v>
      </c>
      <c r="C1362" t="s">
        <v>100</v>
      </c>
      <c r="D1362" t="s">
        <v>233</v>
      </c>
      <c r="E1362">
        <v>742</v>
      </c>
      <c r="F1362">
        <v>16</v>
      </c>
      <c r="G1362">
        <v>64</v>
      </c>
      <c r="H1362">
        <v>20</v>
      </c>
    </row>
    <row r="1363" spans="1:8" x14ac:dyDescent="0.25">
      <c r="A1363" t="s">
        <v>2027</v>
      </c>
      <c r="B1363" t="s">
        <v>153</v>
      </c>
      <c r="C1363" t="s">
        <v>100</v>
      </c>
      <c r="D1363" t="s">
        <v>234</v>
      </c>
      <c r="E1363">
        <v>787</v>
      </c>
      <c r="F1363">
        <v>15</v>
      </c>
      <c r="G1363">
        <v>65</v>
      </c>
      <c r="H1363">
        <v>20</v>
      </c>
    </row>
    <row r="1364" spans="1:8" x14ac:dyDescent="0.25">
      <c r="A1364" t="s">
        <v>2028</v>
      </c>
      <c r="B1364" t="s">
        <v>153</v>
      </c>
      <c r="C1364" t="s">
        <v>100</v>
      </c>
      <c r="D1364" t="s">
        <v>235</v>
      </c>
      <c r="E1364">
        <v>666</v>
      </c>
      <c r="F1364">
        <v>13</v>
      </c>
      <c r="G1364">
        <v>65</v>
      </c>
      <c r="H1364">
        <v>22</v>
      </c>
    </row>
    <row r="1365" spans="1:8" x14ac:dyDescent="0.25">
      <c r="A1365" t="s">
        <v>2029</v>
      </c>
      <c r="B1365" t="s">
        <v>153</v>
      </c>
      <c r="C1365" t="s">
        <v>100</v>
      </c>
      <c r="D1365" t="s">
        <v>236</v>
      </c>
      <c r="E1365">
        <v>718</v>
      </c>
      <c r="F1365">
        <v>11</v>
      </c>
      <c r="G1365">
        <v>67</v>
      </c>
      <c r="H1365">
        <v>22</v>
      </c>
    </row>
    <row r="1366" spans="1:8" x14ac:dyDescent="0.25">
      <c r="A1366" t="s">
        <v>2030</v>
      </c>
      <c r="B1366" t="s">
        <v>153</v>
      </c>
      <c r="C1366" t="s">
        <v>100</v>
      </c>
      <c r="D1366" t="s">
        <v>237</v>
      </c>
      <c r="E1366">
        <v>929</v>
      </c>
      <c r="F1366">
        <v>15</v>
      </c>
      <c r="G1366">
        <v>64</v>
      </c>
      <c r="H1366">
        <v>21</v>
      </c>
    </row>
    <row r="1367" spans="1:8" x14ac:dyDescent="0.25">
      <c r="A1367" t="s">
        <v>2031</v>
      </c>
      <c r="B1367" t="s">
        <v>153</v>
      </c>
      <c r="C1367" t="s">
        <v>100</v>
      </c>
      <c r="D1367" t="s">
        <v>238</v>
      </c>
      <c r="E1367">
        <v>1101</v>
      </c>
      <c r="F1367">
        <v>13</v>
      </c>
      <c r="G1367">
        <v>67</v>
      </c>
      <c r="H1367">
        <v>20</v>
      </c>
    </row>
    <row r="1368" spans="1:8" x14ac:dyDescent="0.25">
      <c r="A1368" t="s">
        <v>2032</v>
      </c>
      <c r="B1368" t="s">
        <v>153</v>
      </c>
      <c r="C1368" t="s">
        <v>100</v>
      </c>
      <c r="D1368" t="s">
        <v>239</v>
      </c>
      <c r="E1368">
        <v>923</v>
      </c>
      <c r="F1368">
        <v>10</v>
      </c>
      <c r="G1368">
        <v>63</v>
      </c>
      <c r="H1368">
        <v>27</v>
      </c>
    </row>
    <row r="1369" spans="1:8" x14ac:dyDescent="0.25">
      <c r="A1369" t="s">
        <v>2033</v>
      </c>
      <c r="B1369" t="s">
        <v>153</v>
      </c>
      <c r="C1369" t="s">
        <v>100</v>
      </c>
      <c r="D1369" t="s">
        <v>47</v>
      </c>
      <c r="E1369">
        <v>989</v>
      </c>
      <c r="F1369">
        <v>11</v>
      </c>
      <c r="G1369">
        <v>63</v>
      </c>
      <c r="H1369">
        <v>26</v>
      </c>
    </row>
    <row r="1370" spans="1:8" x14ac:dyDescent="0.25">
      <c r="A1370" t="s">
        <v>2034</v>
      </c>
      <c r="B1370" t="s">
        <v>153</v>
      </c>
      <c r="C1370" t="s">
        <v>101</v>
      </c>
      <c r="D1370" t="s">
        <v>232</v>
      </c>
    </row>
    <row r="1371" spans="1:8" x14ac:dyDescent="0.25">
      <c r="A1371" t="s">
        <v>2035</v>
      </c>
      <c r="B1371" t="s">
        <v>153</v>
      </c>
      <c r="C1371" t="s">
        <v>101</v>
      </c>
      <c r="D1371" t="s">
        <v>233</v>
      </c>
    </row>
    <row r="1372" spans="1:8" x14ac:dyDescent="0.25">
      <c r="A1372" t="s">
        <v>2036</v>
      </c>
      <c r="B1372" t="s">
        <v>153</v>
      </c>
      <c r="C1372" t="s">
        <v>101</v>
      </c>
      <c r="D1372" t="s">
        <v>234</v>
      </c>
    </row>
    <row r="1373" spans="1:8" x14ac:dyDescent="0.25">
      <c r="A1373" t="s">
        <v>2037</v>
      </c>
      <c r="B1373" t="s">
        <v>153</v>
      </c>
      <c r="C1373" t="s">
        <v>101</v>
      </c>
      <c r="D1373" t="s">
        <v>235</v>
      </c>
    </row>
    <row r="1374" spans="1:8" x14ac:dyDescent="0.25">
      <c r="A1374" t="s">
        <v>2038</v>
      </c>
      <c r="B1374" t="s">
        <v>153</v>
      </c>
      <c r="C1374" t="s">
        <v>101</v>
      </c>
      <c r="D1374" t="s">
        <v>236</v>
      </c>
    </row>
    <row r="1375" spans="1:8" x14ac:dyDescent="0.25">
      <c r="A1375" t="s">
        <v>2039</v>
      </c>
      <c r="B1375" t="s">
        <v>153</v>
      </c>
      <c r="C1375" t="s">
        <v>101</v>
      </c>
      <c r="D1375" t="s">
        <v>237</v>
      </c>
    </row>
    <row r="1376" spans="1:8" x14ac:dyDescent="0.25">
      <c r="A1376" t="s">
        <v>2040</v>
      </c>
      <c r="B1376" t="s">
        <v>153</v>
      </c>
      <c r="C1376" t="s">
        <v>101</v>
      </c>
      <c r="D1376" t="s">
        <v>238</v>
      </c>
    </row>
    <row r="1377" spans="1:8" x14ac:dyDescent="0.25">
      <c r="A1377" t="s">
        <v>2041</v>
      </c>
      <c r="B1377" t="s">
        <v>153</v>
      </c>
      <c r="C1377" t="s">
        <v>101</v>
      </c>
      <c r="D1377" t="s">
        <v>239</v>
      </c>
    </row>
    <row r="1378" spans="1:8" x14ac:dyDescent="0.25">
      <c r="A1378" t="s">
        <v>2042</v>
      </c>
      <c r="B1378" t="s">
        <v>153</v>
      </c>
      <c r="C1378" t="s">
        <v>101</v>
      </c>
      <c r="D1378" t="s">
        <v>47</v>
      </c>
    </row>
    <row r="1379" spans="1:8" x14ac:dyDescent="0.25">
      <c r="A1379" t="s">
        <v>2043</v>
      </c>
      <c r="B1379" t="s">
        <v>153</v>
      </c>
      <c r="C1379" t="s">
        <v>102</v>
      </c>
      <c r="D1379" t="s">
        <v>232</v>
      </c>
      <c r="E1379">
        <v>842</v>
      </c>
      <c r="F1379">
        <v>25</v>
      </c>
      <c r="G1379">
        <v>46</v>
      </c>
      <c r="H1379">
        <v>29</v>
      </c>
    </row>
    <row r="1380" spans="1:8" x14ac:dyDescent="0.25">
      <c r="A1380" t="s">
        <v>2044</v>
      </c>
      <c r="B1380" t="s">
        <v>153</v>
      </c>
      <c r="C1380" t="s">
        <v>102</v>
      </c>
      <c r="D1380" t="s">
        <v>233</v>
      </c>
      <c r="E1380">
        <v>635</v>
      </c>
      <c r="F1380">
        <v>26</v>
      </c>
      <c r="G1380">
        <v>48</v>
      </c>
      <c r="H1380">
        <v>26</v>
      </c>
    </row>
    <row r="1381" spans="1:8" x14ac:dyDescent="0.25">
      <c r="A1381" t="s">
        <v>2045</v>
      </c>
      <c r="B1381" t="s">
        <v>153</v>
      </c>
      <c r="C1381" t="s">
        <v>102</v>
      </c>
      <c r="D1381" t="s">
        <v>234</v>
      </c>
      <c r="E1381">
        <v>689</v>
      </c>
      <c r="F1381">
        <v>26</v>
      </c>
      <c r="G1381">
        <v>49</v>
      </c>
      <c r="H1381">
        <v>25</v>
      </c>
    </row>
    <row r="1382" spans="1:8" x14ac:dyDescent="0.25">
      <c r="A1382" t="s">
        <v>2046</v>
      </c>
      <c r="B1382" t="s">
        <v>153</v>
      </c>
      <c r="C1382" t="s">
        <v>102</v>
      </c>
      <c r="D1382" t="s">
        <v>235</v>
      </c>
      <c r="E1382">
        <v>589</v>
      </c>
      <c r="F1382">
        <v>26</v>
      </c>
      <c r="G1382">
        <v>50</v>
      </c>
      <c r="H1382">
        <v>24</v>
      </c>
    </row>
    <row r="1383" spans="1:8" x14ac:dyDescent="0.25">
      <c r="A1383" t="s">
        <v>2047</v>
      </c>
      <c r="B1383" t="s">
        <v>153</v>
      </c>
      <c r="C1383" t="s">
        <v>102</v>
      </c>
      <c r="D1383" t="s">
        <v>236</v>
      </c>
      <c r="E1383">
        <v>589</v>
      </c>
      <c r="F1383">
        <v>29</v>
      </c>
      <c r="G1383">
        <v>44</v>
      </c>
      <c r="H1383">
        <v>27</v>
      </c>
    </row>
    <row r="1384" spans="1:8" x14ac:dyDescent="0.25">
      <c r="A1384" t="s">
        <v>2048</v>
      </c>
      <c r="B1384" t="s">
        <v>153</v>
      </c>
      <c r="C1384" t="s">
        <v>102</v>
      </c>
      <c r="D1384" t="s">
        <v>237</v>
      </c>
      <c r="E1384">
        <v>796</v>
      </c>
      <c r="F1384">
        <v>27</v>
      </c>
      <c r="G1384">
        <v>49</v>
      </c>
      <c r="H1384">
        <v>24</v>
      </c>
    </row>
    <row r="1385" spans="1:8" x14ac:dyDescent="0.25">
      <c r="A1385" t="s">
        <v>2049</v>
      </c>
      <c r="B1385" t="s">
        <v>153</v>
      </c>
      <c r="C1385" t="s">
        <v>102</v>
      </c>
      <c r="D1385" t="s">
        <v>238</v>
      </c>
      <c r="E1385">
        <v>917</v>
      </c>
      <c r="F1385">
        <v>28</v>
      </c>
      <c r="G1385">
        <v>46</v>
      </c>
      <c r="H1385">
        <v>26</v>
      </c>
    </row>
    <row r="1386" spans="1:8" x14ac:dyDescent="0.25">
      <c r="A1386" t="s">
        <v>2050</v>
      </c>
      <c r="B1386" t="s">
        <v>153</v>
      </c>
      <c r="C1386" t="s">
        <v>102</v>
      </c>
      <c r="D1386" t="s">
        <v>239</v>
      </c>
      <c r="E1386">
        <v>771</v>
      </c>
      <c r="F1386">
        <v>28</v>
      </c>
      <c r="G1386">
        <v>47</v>
      </c>
      <c r="H1386">
        <v>25</v>
      </c>
    </row>
    <row r="1387" spans="1:8" x14ac:dyDescent="0.25">
      <c r="A1387" t="s">
        <v>2051</v>
      </c>
      <c r="B1387" t="s">
        <v>153</v>
      </c>
      <c r="C1387" t="s">
        <v>102</v>
      </c>
      <c r="D1387" t="s">
        <v>47</v>
      </c>
      <c r="E1387">
        <v>837</v>
      </c>
      <c r="F1387">
        <v>27</v>
      </c>
      <c r="G1387">
        <v>47</v>
      </c>
      <c r="H1387">
        <v>26</v>
      </c>
    </row>
    <row r="1388" spans="1:8" x14ac:dyDescent="0.25">
      <c r="A1388" t="s">
        <v>2052</v>
      </c>
      <c r="B1388" t="s">
        <v>153</v>
      </c>
      <c r="C1388" t="s">
        <v>31</v>
      </c>
      <c r="D1388" t="s">
        <v>232</v>
      </c>
      <c r="E1388">
        <v>962</v>
      </c>
      <c r="F1388">
        <v>31</v>
      </c>
      <c r="G1388">
        <v>50</v>
      </c>
      <c r="H1388">
        <v>19</v>
      </c>
    </row>
    <row r="1389" spans="1:8" x14ac:dyDescent="0.25">
      <c r="A1389" t="s">
        <v>2053</v>
      </c>
      <c r="B1389" t="s">
        <v>153</v>
      </c>
      <c r="C1389" t="s">
        <v>31</v>
      </c>
      <c r="D1389" t="s">
        <v>233</v>
      </c>
      <c r="E1389">
        <v>756</v>
      </c>
      <c r="F1389">
        <v>32</v>
      </c>
      <c r="G1389">
        <v>50</v>
      </c>
      <c r="H1389">
        <v>18</v>
      </c>
    </row>
    <row r="1390" spans="1:8" x14ac:dyDescent="0.25">
      <c r="A1390" t="s">
        <v>2054</v>
      </c>
      <c r="B1390" t="s">
        <v>153</v>
      </c>
      <c r="C1390" t="s">
        <v>31</v>
      </c>
      <c r="D1390" t="s">
        <v>234</v>
      </c>
      <c r="E1390">
        <v>790</v>
      </c>
      <c r="F1390">
        <v>32</v>
      </c>
      <c r="G1390">
        <v>51</v>
      </c>
      <c r="H1390">
        <v>17</v>
      </c>
    </row>
    <row r="1391" spans="1:8" x14ac:dyDescent="0.25">
      <c r="A1391" t="s">
        <v>2055</v>
      </c>
      <c r="B1391" t="s">
        <v>153</v>
      </c>
      <c r="C1391" t="s">
        <v>31</v>
      </c>
      <c r="D1391" t="s">
        <v>235</v>
      </c>
      <c r="E1391">
        <v>673</v>
      </c>
      <c r="F1391">
        <v>34</v>
      </c>
      <c r="G1391">
        <v>51</v>
      </c>
      <c r="H1391">
        <v>15</v>
      </c>
    </row>
    <row r="1392" spans="1:8" x14ac:dyDescent="0.25">
      <c r="A1392" t="s">
        <v>2056</v>
      </c>
      <c r="B1392" t="s">
        <v>153</v>
      </c>
      <c r="C1392" t="s">
        <v>31</v>
      </c>
      <c r="D1392" t="s">
        <v>236</v>
      </c>
      <c r="E1392">
        <v>724</v>
      </c>
      <c r="F1392">
        <v>34</v>
      </c>
      <c r="G1392">
        <v>52</v>
      </c>
      <c r="H1392">
        <v>14</v>
      </c>
    </row>
    <row r="1393" spans="1:8" x14ac:dyDescent="0.25">
      <c r="A1393" t="s">
        <v>2057</v>
      </c>
      <c r="B1393" t="s">
        <v>153</v>
      </c>
      <c r="C1393" t="s">
        <v>31</v>
      </c>
      <c r="D1393" t="s">
        <v>237</v>
      </c>
      <c r="E1393">
        <v>940</v>
      </c>
      <c r="F1393">
        <v>35</v>
      </c>
      <c r="G1393">
        <v>49</v>
      </c>
      <c r="H1393">
        <v>16</v>
      </c>
    </row>
    <row r="1394" spans="1:8" x14ac:dyDescent="0.25">
      <c r="A1394" t="s">
        <v>2058</v>
      </c>
      <c r="B1394" t="s">
        <v>153</v>
      </c>
      <c r="C1394" t="s">
        <v>31</v>
      </c>
      <c r="D1394" t="s">
        <v>238</v>
      </c>
      <c r="E1394">
        <v>1111</v>
      </c>
      <c r="F1394">
        <v>34</v>
      </c>
      <c r="G1394">
        <v>49</v>
      </c>
      <c r="H1394">
        <v>17</v>
      </c>
    </row>
    <row r="1395" spans="1:8" x14ac:dyDescent="0.25">
      <c r="A1395" t="s">
        <v>2059</v>
      </c>
      <c r="B1395" t="s">
        <v>153</v>
      </c>
      <c r="C1395" t="s">
        <v>31</v>
      </c>
      <c r="D1395" t="s">
        <v>239</v>
      </c>
      <c r="E1395">
        <v>930</v>
      </c>
      <c r="F1395">
        <v>30</v>
      </c>
      <c r="G1395">
        <v>50</v>
      </c>
      <c r="H1395">
        <v>20</v>
      </c>
    </row>
    <row r="1396" spans="1:8" x14ac:dyDescent="0.25">
      <c r="A1396" t="s">
        <v>2060</v>
      </c>
      <c r="B1396" t="s">
        <v>153</v>
      </c>
      <c r="C1396" t="s">
        <v>31</v>
      </c>
      <c r="D1396" t="s">
        <v>47</v>
      </c>
      <c r="E1396">
        <v>994</v>
      </c>
      <c r="F1396">
        <v>31</v>
      </c>
      <c r="G1396">
        <v>51</v>
      </c>
      <c r="H1396">
        <v>18</v>
      </c>
    </row>
    <row r="1397" spans="1:8" x14ac:dyDescent="0.25">
      <c r="A1397" t="s">
        <v>2061</v>
      </c>
      <c r="B1397" t="s">
        <v>110</v>
      </c>
      <c r="C1397" t="s">
        <v>103</v>
      </c>
      <c r="D1397" t="s">
        <v>232</v>
      </c>
      <c r="E1397">
        <v>6911</v>
      </c>
      <c r="F1397">
        <v>13</v>
      </c>
      <c r="G1397">
        <v>61</v>
      </c>
      <c r="H1397">
        <v>26</v>
      </c>
    </row>
    <row r="1398" spans="1:8" x14ac:dyDescent="0.25">
      <c r="A1398" t="s">
        <v>2062</v>
      </c>
      <c r="B1398" t="s">
        <v>110</v>
      </c>
      <c r="C1398" t="s">
        <v>103</v>
      </c>
      <c r="D1398" t="s">
        <v>233</v>
      </c>
      <c r="E1398">
        <v>6325</v>
      </c>
      <c r="F1398">
        <v>12</v>
      </c>
      <c r="G1398">
        <v>62</v>
      </c>
      <c r="H1398">
        <v>26</v>
      </c>
    </row>
    <row r="1399" spans="1:8" x14ac:dyDescent="0.25">
      <c r="A1399" t="s">
        <v>2063</v>
      </c>
      <c r="B1399" t="s">
        <v>110</v>
      </c>
      <c r="C1399" t="s">
        <v>103</v>
      </c>
      <c r="D1399" t="s">
        <v>234</v>
      </c>
      <c r="E1399">
        <v>6309</v>
      </c>
      <c r="F1399">
        <v>11</v>
      </c>
      <c r="G1399">
        <v>58</v>
      </c>
      <c r="H1399">
        <v>31</v>
      </c>
    </row>
    <row r="1400" spans="1:8" x14ac:dyDescent="0.25">
      <c r="A1400" t="s">
        <v>2064</v>
      </c>
      <c r="B1400" t="s">
        <v>110</v>
      </c>
      <c r="C1400" t="s">
        <v>103</v>
      </c>
      <c r="D1400" t="s">
        <v>235</v>
      </c>
      <c r="E1400">
        <v>6167</v>
      </c>
      <c r="F1400">
        <v>11</v>
      </c>
      <c r="G1400">
        <v>59</v>
      </c>
      <c r="H1400">
        <v>30</v>
      </c>
    </row>
    <row r="1401" spans="1:8" x14ac:dyDescent="0.25">
      <c r="A1401" t="s">
        <v>2065</v>
      </c>
      <c r="B1401" t="s">
        <v>110</v>
      </c>
      <c r="C1401" t="s">
        <v>103</v>
      </c>
      <c r="D1401" t="s">
        <v>236</v>
      </c>
      <c r="E1401">
        <v>5864</v>
      </c>
      <c r="F1401">
        <v>11</v>
      </c>
      <c r="G1401">
        <v>61</v>
      </c>
      <c r="H1401">
        <v>28</v>
      </c>
    </row>
    <row r="1402" spans="1:8" x14ac:dyDescent="0.25">
      <c r="A1402" t="s">
        <v>2066</v>
      </c>
      <c r="B1402" t="s">
        <v>110</v>
      </c>
      <c r="C1402" t="s">
        <v>103</v>
      </c>
      <c r="D1402" t="s">
        <v>237</v>
      </c>
      <c r="E1402">
        <v>5688</v>
      </c>
      <c r="F1402">
        <v>11</v>
      </c>
      <c r="G1402">
        <v>57</v>
      </c>
      <c r="H1402">
        <v>32</v>
      </c>
    </row>
    <row r="1403" spans="1:8" x14ac:dyDescent="0.25">
      <c r="A1403" t="s">
        <v>2067</v>
      </c>
      <c r="B1403" t="s">
        <v>110</v>
      </c>
      <c r="C1403" t="s">
        <v>103</v>
      </c>
      <c r="D1403" t="s">
        <v>238</v>
      </c>
      <c r="E1403">
        <v>6331</v>
      </c>
      <c r="F1403">
        <v>11</v>
      </c>
      <c r="G1403">
        <v>60</v>
      </c>
      <c r="H1403">
        <v>29</v>
      </c>
    </row>
    <row r="1404" spans="1:8" x14ac:dyDescent="0.25">
      <c r="A1404" t="s">
        <v>2068</v>
      </c>
      <c r="B1404" t="s">
        <v>110</v>
      </c>
      <c r="C1404" t="s">
        <v>103</v>
      </c>
      <c r="D1404" t="s">
        <v>239</v>
      </c>
      <c r="E1404">
        <v>5639</v>
      </c>
      <c r="F1404">
        <v>11</v>
      </c>
      <c r="G1404">
        <v>58</v>
      </c>
      <c r="H1404">
        <v>31</v>
      </c>
    </row>
    <row r="1405" spans="1:8" x14ac:dyDescent="0.25">
      <c r="A1405" t="s">
        <v>2069</v>
      </c>
      <c r="B1405" t="s">
        <v>110</v>
      </c>
      <c r="C1405" t="s">
        <v>103</v>
      </c>
      <c r="D1405" t="s">
        <v>47</v>
      </c>
      <c r="E1405">
        <v>5658</v>
      </c>
      <c r="F1405">
        <v>12</v>
      </c>
      <c r="G1405">
        <v>60</v>
      </c>
      <c r="H1405">
        <v>28</v>
      </c>
    </row>
    <row r="1406" spans="1:8" x14ac:dyDescent="0.25">
      <c r="A1406" t="s">
        <v>2070</v>
      </c>
      <c r="B1406" t="s">
        <v>110</v>
      </c>
      <c r="C1406" t="s">
        <v>100</v>
      </c>
      <c r="D1406" t="s">
        <v>232</v>
      </c>
      <c r="E1406">
        <v>7053</v>
      </c>
      <c r="F1406">
        <v>14</v>
      </c>
      <c r="G1406">
        <v>51</v>
      </c>
      <c r="H1406">
        <v>35</v>
      </c>
    </row>
    <row r="1407" spans="1:8" x14ac:dyDescent="0.25">
      <c r="A1407" t="s">
        <v>2071</v>
      </c>
      <c r="B1407" t="s">
        <v>110</v>
      </c>
      <c r="C1407" t="s">
        <v>100</v>
      </c>
      <c r="D1407" t="s">
        <v>233</v>
      </c>
      <c r="E1407">
        <v>6473</v>
      </c>
      <c r="F1407">
        <v>17</v>
      </c>
      <c r="G1407">
        <v>55</v>
      </c>
      <c r="H1407">
        <v>28</v>
      </c>
    </row>
    <row r="1408" spans="1:8" x14ac:dyDescent="0.25">
      <c r="A1408" t="s">
        <v>2072</v>
      </c>
      <c r="B1408" t="s">
        <v>110</v>
      </c>
      <c r="C1408" t="s">
        <v>100</v>
      </c>
      <c r="D1408" t="s">
        <v>234</v>
      </c>
      <c r="E1408">
        <v>6476</v>
      </c>
      <c r="F1408">
        <v>14</v>
      </c>
      <c r="G1408">
        <v>53</v>
      </c>
      <c r="H1408">
        <v>33</v>
      </c>
    </row>
    <row r="1409" spans="1:8" x14ac:dyDescent="0.25">
      <c r="A1409" t="s">
        <v>2073</v>
      </c>
      <c r="B1409" t="s">
        <v>110</v>
      </c>
      <c r="C1409" t="s">
        <v>100</v>
      </c>
      <c r="D1409" t="s">
        <v>235</v>
      </c>
      <c r="E1409">
        <v>6291</v>
      </c>
      <c r="F1409">
        <v>14</v>
      </c>
      <c r="G1409">
        <v>55</v>
      </c>
      <c r="H1409">
        <v>31</v>
      </c>
    </row>
    <row r="1410" spans="1:8" x14ac:dyDescent="0.25">
      <c r="A1410" t="s">
        <v>2074</v>
      </c>
      <c r="B1410" t="s">
        <v>110</v>
      </c>
      <c r="C1410" t="s">
        <v>100</v>
      </c>
      <c r="D1410" t="s">
        <v>236</v>
      </c>
      <c r="E1410">
        <v>6037</v>
      </c>
      <c r="F1410">
        <v>17</v>
      </c>
      <c r="G1410">
        <v>58</v>
      </c>
      <c r="H1410">
        <v>25</v>
      </c>
    </row>
    <row r="1411" spans="1:8" x14ac:dyDescent="0.25">
      <c r="A1411" t="s">
        <v>2075</v>
      </c>
      <c r="B1411" t="s">
        <v>110</v>
      </c>
      <c r="C1411" t="s">
        <v>100</v>
      </c>
      <c r="D1411" t="s">
        <v>237</v>
      </c>
      <c r="E1411">
        <v>5822</v>
      </c>
      <c r="F1411">
        <v>16</v>
      </c>
      <c r="G1411">
        <v>59</v>
      </c>
      <c r="H1411">
        <v>25</v>
      </c>
    </row>
    <row r="1412" spans="1:8" x14ac:dyDescent="0.25">
      <c r="A1412" t="s">
        <v>2076</v>
      </c>
      <c r="B1412" t="s">
        <v>110</v>
      </c>
      <c r="C1412" t="s">
        <v>100</v>
      </c>
      <c r="D1412" t="s">
        <v>238</v>
      </c>
      <c r="E1412">
        <v>6498</v>
      </c>
      <c r="F1412">
        <v>19</v>
      </c>
      <c r="G1412">
        <v>58</v>
      </c>
      <c r="H1412">
        <v>23</v>
      </c>
    </row>
    <row r="1413" spans="1:8" x14ac:dyDescent="0.25">
      <c r="A1413" t="s">
        <v>2077</v>
      </c>
      <c r="B1413" t="s">
        <v>110</v>
      </c>
      <c r="C1413" t="s">
        <v>100</v>
      </c>
      <c r="D1413" t="s">
        <v>239</v>
      </c>
      <c r="E1413">
        <v>5775</v>
      </c>
      <c r="F1413">
        <v>15</v>
      </c>
      <c r="G1413">
        <v>54</v>
      </c>
      <c r="H1413">
        <v>31</v>
      </c>
    </row>
    <row r="1414" spans="1:8" x14ac:dyDescent="0.25">
      <c r="A1414" t="s">
        <v>2078</v>
      </c>
      <c r="B1414" t="s">
        <v>110</v>
      </c>
      <c r="C1414" t="s">
        <v>100</v>
      </c>
      <c r="D1414" t="s">
        <v>47</v>
      </c>
      <c r="E1414">
        <v>5800</v>
      </c>
      <c r="F1414">
        <v>18</v>
      </c>
      <c r="G1414">
        <v>60</v>
      </c>
      <c r="H1414">
        <v>22</v>
      </c>
    </row>
    <row r="1415" spans="1:8" x14ac:dyDescent="0.25">
      <c r="A1415" t="s">
        <v>2079</v>
      </c>
      <c r="B1415" t="s">
        <v>110</v>
      </c>
      <c r="C1415" t="s">
        <v>101</v>
      </c>
      <c r="D1415" t="s">
        <v>232</v>
      </c>
      <c r="E1415">
        <v>5052</v>
      </c>
      <c r="F1415">
        <v>21</v>
      </c>
      <c r="G1415">
        <v>51</v>
      </c>
      <c r="H1415">
        <v>28</v>
      </c>
    </row>
    <row r="1416" spans="1:8" x14ac:dyDescent="0.25">
      <c r="A1416" t="s">
        <v>2080</v>
      </c>
      <c r="B1416" t="s">
        <v>110</v>
      </c>
      <c r="C1416" t="s">
        <v>101</v>
      </c>
      <c r="D1416" t="s">
        <v>233</v>
      </c>
      <c r="E1416">
        <v>4594</v>
      </c>
      <c r="F1416">
        <v>21</v>
      </c>
      <c r="G1416">
        <v>53</v>
      </c>
      <c r="H1416">
        <v>26</v>
      </c>
    </row>
    <row r="1417" spans="1:8" x14ac:dyDescent="0.25">
      <c r="A1417" t="s">
        <v>2081</v>
      </c>
      <c r="B1417" t="s">
        <v>110</v>
      </c>
      <c r="C1417" t="s">
        <v>101</v>
      </c>
      <c r="D1417" t="s">
        <v>234</v>
      </c>
      <c r="E1417">
        <v>4624</v>
      </c>
      <c r="F1417">
        <v>19</v>
      </c>
      <c r="G1417">
        <v>50</v>
      </c>
      <c r="H1417">
        <v>31</v>
      </c>
    </row>
    <row r="1418" spans="1:8" x14ac:dyDescent="0.25">
      <c r="A1418" t="s">
        <v>2082</v>
      </c>
      <c r="B1418" t="s">
        <v>110</v>
      </c>
      <c r="C1418" t="s">
        <v>101</v>
      </c>
      <c r="D1418" t="s">
        <v>235</v>
      </c>
      <c r="E1418">
        <v>4472</v>
      </c>
      <c r="F1418">
        <v>20</v>
      </c>
      <c r="G1418">
        <v>52</v>
      </c>
      <c r="H1418">
        <v>28</v>
      </c>
    </row>
    <row r="1419" spans="1:8" x14ac:dyDescent="0.25">
      <c r="A1419" t="s">
        <v>2083</v>
      </c>
      <c r="B1419" t="s">
        <v>110</v>
      </c>
      <c r="C1419" t="s">
        <v>101</v>
      </c>
      <c r="D1419" t="s">
        <v>236</v>
      </c>
      <c r="E1419">
        <v>4265</v>
      </c>
      <c r="F1419">
        <v>19</v>
      </c>
      <c r="G1419">
        <v>52</v>
      </c>
      <c r="H1419">
        <v>29</v>
      </c>
    </row>
    <row r="1420" spans="1:8" x14ac:dyDescent="0.25">
      <c r="A1420" t="s">
        <v>2084</v>
      </c>
      <c r="B1420" t="s">
        <v>110</v>
      </c>
      <c r="C1420" t="s">
        <v>101</v>
      </c>
      <c r="D1420" t="s">
        <v>237</v>
      </c>
      <c r="E1420">
        <v>4027</v>
      </c>
      <c r="F1420">
        <v>19</v>
      </c>
      <c r="G1420">
        <v>52</v>
      </c>
      <c r="H1420">
        <v>29</v>
      </c>
    </row>
    <row r="1421" spans="1:8" x14ac:dyDescent="0.25">
      <c r="A1421" t="s">
        <v>2085</v>
      </c>
      <c r="B1421" t="s">
        <v>110</v>
      </c>
      <c r="C1421" t="s">
        <v>101</v>
      </c>
      <c r="D1421" t="s">
        <v>238</v>
      </c>
      <c r="E1421">
        <v>4588</v>
      </c>
      <c r="F1421">
        <v>22</v>
      </c>
      <c r="G1421">
        <v>56</v>
      </c>
      <c r="H1421">
        <v>22</v>
      </c>
    </row>
    <row r="1422" spans="1:8" x14ac:dyDescent="0.25">
      <c r="A1422" t="s">
        <v>2086</v>
      </c>
      <c r="B1422" t="s">
        <v>110</v>
      </c>
      <c r="C1422" t="s">
        <v>101</v>
      </c>
      <c r="D1422" t="s">
        <v>239</v>
      </c>
      <c r="E1422">
        <v>4025</v>
      </c>
      <c r="F1422">
        <v>19</v>
      </c>
      <c r="G1422">
        <v>52</v>
      </c>
      <c r="H1422">
        <v>29</v>
      </c>
    </row>
    <row r="1423" spans="1:8" x14ac:dyDescent="0.25">
      <c r="A1423" t="s">
        <v>2087</v>
      </c>
      <c r="B1423" t="s">
        <v>110</v>
      </c>
      <c r="C1423" t="s">
        <v>101</v>
      </c>
      <c r="D1423" t="s">
        <v>47</v>
      </c>
      <c r="E1423">
        <v>4062</v>
      </c>
      <c r="F1423">
        <v>24</v>
      </c>
      <c r="G1423">
        <v>55</v>
      </c>
      <c r="H1423">
        <v>21</v>
      </c>
    </row>
    <row r="1424" spans="1:8" x14ac:dyDescent="0.25">
      <c r="A1424" t="s">
        <v>2088</v>
      </c>
      <c r="B1424" t="s">
        <v>110</v>
      </c>
      <c r="C1424" t="s">
        <v>102</v>
      </c>
      <c r="D1424" t="s">
        <v>232</v>
      </c>
      <c r="E1424">
        <v>6158</v>
      </c>
      <c r="F1424">
        <v>25</v>
      </c>
      <c r="G1424">
        <v>39</v>
      </c>
      <c r="H1424">
        <v>36</v>
      </c>
    </row>
    <row r="1425" spans="1:8" x14ac:dyDescent="0.25">
      <c r="A1425" t="s">
        <v>2089</v>
      </c>
      <c r="B1425" t="s">
        <v>110</v>
      </c>
      <c r="C1425" t="s">
        <v>102</v>
      </c>
      <c r="D1425" t="s">
        <v>233</v>
      </c>
      <c r="E1425">
        <v>5600</v>
      </c>
      <c r="F1425">
        <v>24</v>
      </c>
      <c r="G1425">
        <v>42</v>
      </c>
      <c r="H1425">
        <v>34</v>
      </c>
    </row>
    <row r="1426" spans="1:8" x14ac:dyDescent="0.25">
      <c r="A1426" t="s">
        <v>2090</v>
      </c>
      <c r="B1426" t="s">
        <v>110</v>
      </c>
      <c r="C1426" t="s">
        <v>102</v>
      </c>
      <c r="D1426" t="s">
        <v>234</v>
      </c>
      <c r="E1426">
        <v>5560</v>
      </c>
      <c r="F1426">
        <v>22</v>
      </c>
      <c r="G1426">
        <v>39</v>
      </c>
      <c r="H1426">
        <v>39</v>
      </c>
    </row>
    <row r="1427" spans="1:8" x14ac:dyDescent="0.25">
      <c r="A1427" t="s">
        <v>2091</v>
      </c>
      <c r="B1427" t="s">
        <v>110</v>
      </c>
      <c r="C1427" t="s">
        <v>102</v>
      </c>
      <c r="D1427" t="s">
        <v>235</v>
      </c>
      <c r="E1427">
        <v>5379</v>
      </c>
      <c r="F1427">
        <v>22</v>
      </c>
      <c r="G1427">
        <v>39</v>
      </c>
      <c r="H1427">
        <v>39</v>
      </c>
    </row>
    <row r="1428" spans="1:8" x14ac:dyDescent="0.25">
      <c r="A1428" t="s">
        <v>2092</v>
      </c>
      <c r="B1428" t="s">
        <v>110</v>
      </c>
      <c r="C1428" t="s">
        <v>102</v>
      </c>
      <c r="D1428" t="s">
        <v>236</v>
      </c>
      <c r="E1428">
        <v>5081</v>
      </c>
      <c r="F1428">
        <v>22</v>
      </c>
      <c r="G1428">
        <v>44</v>
      </c>
      <c r="H1428">
        <v>34</v>
      </c>
    </row>
    <row r="1429" spans="1:8" x14ac:dyDescent="0.25">
      <c r="A1429" t="s">
        <v>2093</v>
      </c>
      <c r="B1429" t="s">
        <v>110</v>
      </c>
      <c r="C1429" t="s">
        <v>102</v>
      </c>
      <c r="D1429" t="s">
        <v>237</v>
      </c>
      <c r="E1429">
        <v>4984</v>
      </c>
      <c r="F1429">
        <v>20</v>
      </c>
      <c r="G1429">
        <v>44</v>
      </c>
      <c r="H1429">
        <v>36</v>
      </c>
    </row>
    <row r="1430" spans="1:8" x14ac:dyDescent="0.25">
      <c r="A1430" t="s">
        <v>2094</v>
      </c>
      <c r="B1430" t="s">
        <v>110</v>
      </c>
      <c r="C1430" t="s">
        <v>102</v>
      </c>
      <c r="D1430" t="s">
        <v>238</v>
      </c>
      <c r="E1430">
        <v>5565</v>
      </c>
      <c r="F1430">
        <v>22</v>
      </c>
      <c r="G1430">
        <v>43</v>
      </c>
      <c r="H1430">
        <v>35</v>
      </c>
    </row>
    <row r="1431" spans="1:8" x14ac:dyDescent="0.25">
      <c r="A1431" t="s">
        <v>2095</v>
      </c>
      <c r="B1431" t="s">
        <v>110</v>
      </c>
      <c r="C1431" t="s">
        <v>102</v>
      </c>
      <c r="D1431" t="s">
        <v>239</v>
      </c>
      <c r="E1431">
        <v>4890</v>
      </c>
      <c r="F1431">
        <v>21</v>
      </c>
      <c r="G1431">
        <v>43</v>
      </c>
      <c r="H1431">
        <v>36</v>
      </c>
    </row>
    <row r="1432" spans="1:8" x14ac:dyDescent="0.25">
      <c r="A1432" t="s">
        <v>2096</v>
      </c>
      <c r="B1432" t="s">
        <v>110</v>
      </c>
      <c r="C1432" t="s">
        <v>102</v>
      </c>
      <c r="D1432" t="s">
        <v>47</v>
      </c>
      <c r="E1432">
        <v>4943</v>
      </c>
      <c r="F1432">
        <v>22</v>
      </c>
      <c r="G1432">
        <v>47</v>
      </c>
      <c r="H1432">
        <v>31</v>
      </c>
    </row>
    <row r="1433" spans="1:8" x14ac:dyDescent="0.25">
      <c r="A1433" t="s">
        <v>2097</v>
      </c>
      <c r="B1433" t="s">
        <v>110</v>
      </c>
      <c r="C1433" t="s">
        <v>31</v>
      </c>
      <c r="D1433" t="s">
        <v>232</v>
      </c>
      <c r="E1433">
        <v>7104</v>
      </c>
      <c r="F1433">
        <v>25</v>
      </c>
      <c r="G1433">
        <v>49</v>
      </c>
      <c r="H1433">
        <v>26</v>
      </c>
    </row>
    <row r="1434" spans="1:8" x14ac:dyDescent="0.25">
      <c r="A1434" t="s">
        <v>2098</v>
      </c>
      <c r="B1434" t="s">
        <v>110</v>
      </c>
      <c r="C1434" t="s">
        <v>31</v>
      </c>
      <c r="D1434" t="s">
        <v>233</v>
      </c>
      <c r="E1434">
        <v>6518</v>
      </c>
      <c r="F1434">
        <v>23</v>
      </c>
      <c r="G1434">
        <v>49</v>
      </c>
      <c r="H1434">
        <v>28</v>
      </c>
    </row>
    <row r="1435" spans="1:8" x14ac:dyDescent="0.25">
      <c r="A1435" t="s">
        <v>2099</v>
      </c>
      <c r="B1435" t="s">
        <v>110</v>
      </c>
      <c r="C1435" t="s">
        <v>31</v>
      </c>
      <c r="D1435" t="s">
        <v>234</v>
      </c>
      <c r="E1435">
        <v>6548</v>
      </c>
      <c r="F1435">
        <v>19</v>
      </c>
      <c r="G1435">
        <v>46</v>
      </c>
      <c r="H1435">
        <v>35</v>
      </c>
    </row>
    <row r="1436" spans="1:8" x14ac:dyDescent="0.25">
      <c r="A1436" t="s">
        <v>2100</v>
      </c>
      <c r="B1436" t="s">
        <v>110</v>
      </c>
      <c r="C1436" t="s">
        <v>31</v>
      </c>
      <c r="D1436" t="s">
        <v>235</v>
      </c>
      <c r="E1436">
        <v>6340</v>
      </c>
      <c r="F1436">
        <v>19</v>
      </c>
      <c r="G1436">
        <v>48</v>
      </c>
      <c r="H1436">
        <v>33</v>
      </c>
    </row>
    <row r="1437" spans="1:8" x14ac:dyDescent="0.25">
      <c r="A1437" t="s">
        <v>2101</v>
      </c>
      <c r="B1437" t="s">
        <v>110</v>
      </c>
      <c r="C1437" t="s">
        <v>31</v>
      </c>
      <c r="D1437" t="s">
        <v>236</v>
      </c>
      <c r="E1437">
        <v>6103</v>
      </c>
      <c r="F1437">
        <v>20</v>
      </c>
      <c r="G1437">
        <v>49</v>
      </c>
      <c r="H1437">
        <v>31</v>
      </c>
    </row>
    <row r="1438" spans="1:8" x14ac:dyDescent="0.25">
      <c r="A1438" t="s">
        <v>2102</v>
      </c>
      <c r="B1438" t="s">
        <v>110</v>
      </c>
      <c r="C1438" t="s">
        <v>31</v>
      </c>
      <c r="D1438" t="s">
        <v>237</v>
      </c>
      <c r="E1438">
        <v>5885</v>
      </c>
      <c r="F1438">
        <v>19</v>
      </c>
      <c r="G1438">
        <v>47</v>
      </c>
      <c r="H1438">
        <v>34</v>
      </c>
    </row>
    <row r="1439" spans="1:8" x14ac:dyDescent="0.25">
      <c r="A1439" t="s">
        <v>2103</v>
      </c>
      <c r="B1439" t="s">
        <v>110</v>
      </c>
      <c r="C1439" t="s">
        <v>31</v>
      </c>
      <c r="D1439" t="s">
        <v>238</v>
      </c>
      <c r="E1439">
        <v>6565</v>
      </c>
      <c r="F1439">
        <v>20</v>
      </c>
      <c r="G1439">
        <v>50</v>
      </c>
      <c r="H1439">
        <v>30</v>
      </c>
    </row>
    <row r="1440" spans="1:8" x14ac:dyDescent="0.25">
      <c r="A1440" t="s">
        <v>2104</v>
      </c>
      <c r="B1440" t="s">
        <v>110</v>
      </c>
      <c r="C1440" t="s">
        <v>31</v>
      </c>
      <c r="D1440" t="s">
        <v>239</v>
      </c>
      <c r="E1440">
        <v>5831</v>
      </c>
      <c r="F1440">
        <v>21</v>
      </c>
      <c r="G1440">
        <v>51</v>
      </c>
      <c r="H1440">
        <v>28</v>
      </c>
    </row>
    <row r="1441" spans="1:8" x14ac:dyDescent="0.25">
      <c r="A1441" t="s">
        <v>2105</v>
      </c>
      <c r="B1441" t="s">
        <v>110</v>
      </c>
      <c r="C1441" t="s">
        <v>31</v>
      </c>
      <c r="D1441" t="s">
        <v>47</v>
      </c>
      <c r="E1441">
        <v>5866</v>
      </c>
      <c r="F1441">
        <v>25</v>
      </c>
      <c r="G1441">
        <v>49</v>
      </c>
      <c r="H1441">
        <v>26</v>
      </c>
    </row>
    <row r="1442" spans="1:8" x14ac:dyDescent="0.25">
      <c r="A1442" t="s">
        <v>2106</v>
      </c>
      <c r="B1442" t="s">
        <v>149</v>
      </c>
      <c r="C1442" t="s">
        <v>103</v>
      </c>
      <c r="D1442" t="s">
        <v>232</v>
      </c>
      <c r="E1442">
        <v>92</v>
      </c>
      <c r="F1442">
        <v>28</v>
      </c>
      <c r="G1442">
        <v>55</v>
      </c>
      <c r="H1442">
        <v>17</v>
      </c>
    </row>
    <row r="1443" spans="1:8" x14ac:dyDescent="0.25">
      <c r="A1443" t="s">
        <v>2107</v>
      </c>
      <c r="B1443" t="s">
        <v>149</v>
      </c>
      <c r="C1443" t="s">
        <v>103</v>
      </c>
      <c r="D1443" t="s">
        <v>233</v>
      </c>
      <c r="E1443">
        <v>85</v>
      </c>
      <c r="F1443">
        <v>23</v>
      </c>
      <c r="G1443">
        <v>58</v>
      </c>
      <c r="H1443">
        <v>19</v>
      </c>
    </row>
    <row r="1444" spans="1:8" x14ac:dyDescent="0.25">
      <c r="A1444" t="s">
        <v>2108</v>
      </c>
      <c r="B1444" t="s">
        <v>149</v>
      </c>
      <c r="C1444" t="s">
        <v>103</v>
      </c>
      <c r="D1444" t="s">
        <v>234</v>
      </c>
      <c r="E1444">
        <v>77</v>
      </c>
      <c r="F1444">
        <v>20</v>
      </c>
      <c r="G1444">
        <v>65</v>
      </c>
      <c r="H1444">
        <v>15</v>
      </c>
    </row>
    <row r="1445" spans="1:8" x14ac:dyDescent="0.25">
      <c r="A1445" t="s">
        <v>2109</v>
      </c>
      <c r="B1445" t="s">
        <v>149</v>
      </c>
      <c r="C1445" t="s">
        <v>103</v>
      </c>
      <c r="D1445" t="s">
        <v>235</v>
      </c>
      <c r="E1445">
        <v>90</v>
      </c>
      <c r="F1445">
        <v>27</v>
      </c>
      <c r="G1445">
        <v>60</v>
      </c>
      <c r="H1445">
        <v>13</v>
      </c>
    </row>
    <row r="1446" spans="1:8" x14ac:dyDescent="0.25">
      <c r="A1446" t="s">
        <v>2110</v>
      </c>
      <c r="B1446" t="s">
        <v>149</v>
      </c>
      <c r="C1446" t="s">
        <v>103</v>
      </c>
      <c r="D1446" t="s">
        <v>236</v>
      </c>
      <c r="E1446">
        <v>99</v>
      </c>
      <c r="F1446">
        <v>14</v>
      </c>
      <c r="G1446">
        <v>70</v>
      </c>
      <c r="H1446">
        <v>16</v>
      </c>
    </row>
    <row r="1447" spans="1:8" x14ac:dyDescent="0.25">
      <c r="A1447" t="s">
        <v>2111</v>
      </c>
      <c r="B1447" t="s">
        <v>149</v>
      </c>
      <c r="C1447" t="s">
        <v>103</v>
      </c>
      <c r="D1447" t="s">
        <v>237</v>
      </c>
      <c r="E1447">
        <v>70</v>
      </c>
      <c r="F1447">
        <v>19</v>
      </c>
      <c r="G1447">
        <v>62</v>
      </c>
      <c r="H1447">
        <v>19</v>
      </c>
    </row>
    <row r="1448" spans="1:8" x14ac:dyDescent="0.25">
      <c r="A1448" t="s">
        <v>2112</v>
      </c>
      <c r="B1448" t="s">
        <v>149</v>
      </c>
      <c r="C1448" t="s">
        <v>103</v>
      </c>
      <c r="D1448" t="s">
        <v>238</v>
      </c>
      <c r="E1448">
        <v>83</v>
      </c>
      <c r="F1448">
        <v>19</v>
      </c>
      <c r="G1448">
        <v>67</v>
      </c>
      <c r="H1448">
        <v>14</v>
      </c>
    </row>
    <row r="1449" spans="1:8" x14ac:dyDescent="0.25">
      <c r="A1449" t="s">
        <v>2113</v>
      </c>
      <c r="B1449" t="s">
        <v>149</v>
      </c>
      <c r="C1449" t="s">
        <v>103</v>
      </c>
      <c r="D1449" t="s">
        <v>239</v>
      </c>
      <c r="E1449">
        <v>71</v>
      </c>
      <c r="F1449">
        <v>11</v>
      </c>
      <c r="G1449">
        <v>74</v>
      </c>
      <c r="H1449">
        <v>15</v>
      </c>
    </row>
    <row r="1450" spans="1:8" x14ac:dyDescent="0.25">
      <c r="A1450" t="s">
        <v>2114</v>
      </c>
      <c r="B1450" t="s">
        <v>149</v>
      </c>
      <c r="C1450" t="s">
        <v>103</v>
      </c>
      <c r="D1450" t="s">
        <v>47</v>
      </c>
      <c r="E1450">
        <v>66</v>
      </c>
      <c r="F1450">
        <v>11</v>
      </c>
      <c r="G1450">
        <v>65</v>
      </c>
      <c r="H1450">
        <v>24</v>
      </c>
    </row>
    <row r="1451" spans="1:8" x14ac:dyDescent="0.25">
      <c r="A1451" t="s">
        <v>2115</v>
      </c>
      <c r="B1451" t="s">
        <v>149</v>
      </c>
      <c r="C1451" t="s">
        <v>100</v>
      </c>
      <c r="D1451" t="s">
        <v>232</v>
      </c>
      <c r="E1451">
        <v>95</v>
      </c>
      <c r="F1451">
        <v>23</v>
      </c>
      <c r="G1451">
        <v>59</v>
      </c>
      <c r="H1451">
        <v>18</v>
      </c>
    </row>
    <row r="1452" spans="1:8" x14ac:dyDescent="0.25">
      <c r="A1452" t="s">
        <v>2116</v>
      </c>
      <c r="B1452" t="s">
        <v>149</v>
      </c>
      <c r="C1452" t="s">
        <v>100</v>
      </c>
      <c r="D1452" t="s">
        <v>233</v>
      </c>
      <c r="E1452">
        <v>85</v>
      </c>
      <c r="F1452">
        <v>22</v>
      </c>
      <c r="G1452">
        <v>56</v>
      </c>
      <c r="H1452">
        <v>22</v>
      </c>
    </row>
    <row r="1453" spans="1:8" x14ac:dyDescent="0.25">
      <c r="A1453" t="s">
        <v>2117</v>
      </c>
      <c r="B1453" t="s">
        <v>149</v>
      </c>
      <c r="C1453" t="s">
        <v>100</v>
      </c>
      <c r="D1453" t="s">
        <v>234</v>
      </c>
      <c r="E1453">
        <v>80</v>
      </c>
      <c r="F1453">
        <v>24</v>
      </c>
      <c r="G1453">
        <v>56</v>
      </c>
      <c r="H1453">
        <v>20</v>
      </c>
    </row>
    <row r="1454" spans="1:8" x14ac:dyDescent="0.25">
      <c r="A1454" t="s">
        <v>2118</v>
      </c>
      <c r="B1454" t="s">
        <v>149</v>
      </c>
      <c r="C1454" t="s">
        <v>100</v>
      </c>
      <c r="D1454" t="s">
        <v>235</v>
      </c>
      <c r="E1454">
        <v>89</v>
      </c>
      <c r="F1454">
        <v>25</v>
      </c>
      <c r="G1454">
        <v>59</v>
      </c>
      <c r="H1454">
        <v>16</v>
      </c>
    </row>
    <row r="1455" spans="1:8" x14ac:dyDescent="0.25">
      <c r="A1455" t="s">
        <v>2119</v>
      </c>
      <c r="B1455" t="s">
        <v>149</v>
      </c>
      <c r="C1455" t="s">
        <v>100</v>
      </c>
      <c r="D1455" t="s">
        <v>236</v>
      </c>
      <c r="E1455">
        <v>101</v>
      </c>
      <c r="F1455">
        <v>16</v>
      </c>
      <c r="G1455">
        <v>50</v>
      </c>
      <c r="H1455">
        <v>34</v>
      </c>
    </row>
    <row r="1456" spans="1:8" x14ac:dyDescent="0.25">
      <c r="A1456" t="s">
        <v>2120</v>
      </c>
      <c r="B1456" t="s">
        <v>149</v>
      </c>
      <c r="C1456" t="s">
        <v>100</v>
      </c>
      <c r="D1456" t="s">
        <v>237</v>
      </c>
      <c r="E1456">
        <v>72</v>
      </c>
      <c r="F1456">
        <v>26</v>
      </c>
      <c r="G1456">
        <v>56</v>
      </c>
      <c r="H1456">
        <v>18</v>
      </c>
    </row>
    <row r="1457" spans="1:8" x14ac:dyDescent="0.25">
      <c r="A1457" t="s">
        <v>2121</v>
      </c>
      <c r="B1457" t="s">
        <v>149</v>
      </c>
      <c r="C1457" t="s">
        <v>100</v>
      </c>
      <c r="D1457" t="s">
        <v>238</v>
      </c>
      <c r="E1457">
        <v>87</v>
      </c>
      <c r="F1457">
        <v>20</v>
      </c>
      <c r="G1457">
        <v>53</v>
      </c>
      <c r="H1457">
        <v>27</v>
      </c>
    </row>
    <row r="1458" spans="1:8" x14ac:dyDescent="0.25">
      <c r="A1458" t="s">
        <v>2122</v>
      </c>
      <c r="B1458" t="s">
        <v>149</v>
      </c>
      <c r="C1458" t="s">
        <v>100</v>
      </c>
      <c r="D1458" t="s">
        <v>239</v>
      </c>
      <c r="E1458">
        <v>73</v>
      </c>
      <c r="F1458">
        <v>9</v>
      </c>
      <c r="G1458">
        <v>62</v>
      </c>
      <c r="H1458">
        <v>29</v>
      </c>
    </row>
    <row r="1459" spans="1:8" x14ac:dyDescent="0.25">
      <c r="A1459" t="s">
        <v>2123</v>
      </c>
      <c r="B1459" t="s">
        <v>149</v>
      </c>
      <c r="C1459" t="s">
        <v>100</v>
      </c>
      <c r="D1459" t="s">
        <v>47</v>
      </c>
      <c r="E1459">
        <v>67</v>
      </c>
      <c r="F1459">
        <v>19</v>
      </c>
      <c r="G1459">
        <v>56</v>
      </c>
      <c r="H1459">
        <v>25</v>
      </c>
    </row>
    <row r="1460" spans="1:8" x14ac:dyDescent="0.25">
      <c r="A1460" t="s">
        <v>2124</v>
      </c>
      <c r="B1460" t="s">
        <v>149</v>
      </c>
      <c r="C1460" t="s">
        <v>101</v>
      </c>
      <c r="D1460" t="s">
        <v>232</v>
      </c>
    </row>
    <row r="1461" spans="1:8" x14ac:dyDescent="0.25">
      <c r="A1461" t="s">
        <v>2125</v>
      </c>
      <c r="B1461" t="s">
        <v>149</v>
      </c>
      <c r="C1461" t="s">
        <v>101</v>
      </c>
      <c r="D1461" t="s">
        <v>233</v>
      </c>
    </row>
    <row r="1462" spans="1:8" x14ac:dyDescent="0.25">
      <c r="A1462" t="s">
        <v>2126</v>
      </c>
      <c r="B1462" t="s">
        <v>149</v>
      </c>
      <c r="C1462" t="s">
        <v>101</v>
      </c>
      <c r="D1462" t="s">
        <v>234</v>
      </c>
    </row>
    <row r="1463" spans="1:8" x14ac:dyDescent="0.25">
      <c r="A1463" t="s">
        <v>2127</v>
      </c>
      <c r="B1463" t="s">
        <v>149</v>
      </c>
      <c r="C1463" t="s">
        <v>101</v>
      </c>
      <c r="D1463" t="s">
        <v>235</v>
      </c>
    </row>
    <row r="1464" spans="1:8" x14ac:dyDescent="0.25">
      <c r="A1464" t="s">
        <v>2128</v>
      </c>
      <c r="B1464" t="s">
        <v>149</v>
      </c>
      <c r="C1464" t="s">
        <v>101</v>
      </c>
      <c r="D1464" t="s">
        <v>236</v>
      </c>
    </row>
    <row r="1465" spans="1:8" x14ac:dyDescent="0.25">
      <c r="A1465" t="s">
        <v>2129</v>
      </c>
      <c r="B1465" t="s">
        <v>149</v>
      </c>
      <c r="C1465" t="s">
        <v>101</v>
      </c>
      <c r="D1465" t="s">
        <v>237</v>
      </c>
    </row>
    <row r="1466" spans="1:8" x14ac:dyDescent="0.25">
      <c r="A1466" t="s">
        <v>2130</v>
      </c>
      <c r="B1466" t="s">
        <v>149</v>
      </c>
      <c r="C1466" t="s">
        <v>101</v>
      </c>
      <c r="D1466" t="s">
        <v>238</v>
      </c>
    </row>
    <row r="1467" spans="1:8" x14ac:dyDescent="0.25">
      <c r="A1467" t="s">
        <v>2131</v>
      </c>
      <c r="B1467" t="s">
        <v>149</v>
      </c>
      <c r="C1467" t="s">
        <v>101</v>
      </c>
      <c r="D1467" t="s">
        <v>239</v>
      </c>
    </row>
    <row r="1468" spans="1:8" x14ac:dyDescent="0.25">
      <c r="A1468" t="s">
        <v>2132</v>
      </c>
      <c r="B1468" t="s">
        <v>149</v>
      </c>
      <c r="C1468" t="s">
        <v>101</v>
      </c>
      <c r="D1468" t="s">
        <v>47</v>
      </c>
    </row>
    <row r="1469" spans="1:8" x14ac:dyDescent="0.25">
      <c r="A1469" t="s">
        <v>2133</v>
      </c>
      <c r="B1469" t="s">
        <v>149</v>
      </c>
      <c r="C1469" t="s">
        <v>102</v>
      </c>
      <c r="D1469" t="s">
        <v>232</v>
      </c>
      <c r="E1469">
        <v>84</v>
      </c>
      <c r="F1469">
        <v>20</v>
      </c>
      <c r="G1469">
        <v>50</v>
      </c>
      <c r="H1469">
        <v>30</v>
      </c>
    </row>
    <row r="1470" spans="1:8" x14ac:dyDescent="0.25">
      <c r="A1470" t="s">
        <v>2134</v>
      </c>
      <c r="B1470" t="s">
        <v>149</v>
      </c>
      <c r="C1470" t="s">
        <v>102</v>
      </c>
      <c r="D1470" t="s">
        <v>233</v>
      </c>
      <c r="E1470">
        <v>73</v>
      </c>
      <c r="F1470">
        <v>24</v>
      </c>
      <c r="G1470">
        <v>47</v>
      </c>
      <c r="H1470">
        <v>29</v>
      </c>
    </row>
    <row r="1471" spans="1:8" x14ac:dyDescent="0.25">
      <c r="A1471" t="s">
        <v>2135</v>
      </c>
      <c r="B1471" t="s">
        <v>149</v>
      </c>
      <c r="C1471" t="s">
        <v>102</v>
      </c>
      <c r="D1471" t="s">
        <v>234</v>
      </c>
      <c r="E1471">
        <v>70</v>
      </c>
      <c r="F1471">
        <v>16</v>
      </c>
      <c r="G1471">
        <v>67</v>
      </c>
      <c r="H1471">
        <v>17</v>
      </c>
    </row>
    <row r="1472" spans="1:8" x14ac:dyDescent="0.25">
      <c r="A1472" t="s">
        <v>2136</v>
      </c>
      <c r="B1472" t="s">
        <v>149</v>
      </c>
      <c r="C1472" t="s">
        <v>102</v>
      </c>
      <c r="D1472" t="s">
        <v>235</v>
      </c>
      <c r="E1472">
        <v>78</v>
      </c>
      <c r="F1472">
        <v>31</v>
      </c>
      <c r="G1472">
        <v>49</v>
      </c>
      <c r="H1472">
        <v>20</v>
      </c>
    </row>
    <row r="1473" spans="1:8" x14ac:dyDescent="0.25">
      <c r="A1473" t="s">
        <v>2137</v>
      </c>
      <c r="B1473" t="s">
        <v>149</v>
      </c>
      <c r="C1473" t="s">
        <v>102</v>
      </c>
      <c r="D1473" t="s">
        <v>236</v>
      </c>
      <c r="E1473">
        <v>77</v>
      </c>
      <c r="F1473">
        <v>30</v>
      </c>
      <c r="G1473">
        <v>47</v>
      </c>
      <c r="H1473">
        <v>23</v>
      </c>
    </row>
    <row r="1474" spans="1:8" x14ac:dyDescent="0.25">
      <c r="A1474" t="s">
        <v>2138</v>
      </c>
      <c r="B1474" t="s">
        <v>149</v>
      </c>
      <c r="C1474" t="s">
        <v>102</v>
      </c>
      <c r="D1474" t="s">
        <v>237</v>
      </c>
      <c r="E1474">
        <v>58</v>
      </c>
      <c r="F1474">
        <v>27</v>
      </c>
      <c r="G1474">
        <v>48</v>
      </c>
      <c r="H1474">
        <v>25</v>
      </c>
    </row>
    <row r="1475" spans="1:8" x14ac:dyDescent="0.25">
      <c r="A1475" t="s">
        <v>2139</v>
      </c>
      <c r="B1475" t="s">
        <v>149</v>
      </c>
      <c r="C1475" t="s">
        <v>102</v>
      </c>
      <c r="D1475" t="s">
        <v>238</v>
      </c>
      <c r="E1475">
        <v>68</v>
      </c>
      <c r="F1475">
        <v>26</v>
      </c>
      <c r="G1475">
        <v>44</v>
      </c>
      <c r="H1475">
        <v>30</v>
      </c>
    </row>
    <row r="1476" spans="1:8" x14ac:dyDescent="0.25">
      <c r="A1476" t="s">
        <v>2140</v>
      </c>
      <c r="B1476" t="s">
        <v>149</v>
      </c>
      <c r="C1476" t="s">
        <v>102</v>
      </c>
      <c r="D1476" t="s">
        <v>239</v>
      </c>
      <c r="E1476">
        <v>57</v>
      </c>
      <c r="F1476">
        <v>29</v>
      </c>
      <c r="G1476">
        <v>43</v>
      </c>
      <c r="H1476">
        <v>28</v>
      </c>
    </row>
    <row r="1477" spans="1:8" x14ac:dyDescent="0.25">
      <c r="A1477" t="s">
        <v>2141</v>
      </c>
      <c r="B1477" t="s">
        <v>149</v>
      </c>
      <c r="C1477" t="s">
        <v>102</v>
      </c>
      <c r="D1477" t="s">
        <v>47</v>
      </c>
      <c r="E1477">
        <v>53</v>
      </c>
      <c r="F1477">
        <v>31</v>
      </c>
      <c r="G1477">
        <v>38</v>
      </c>
      <c r="H1477">
        <v>31</v>
      </c>
    </row>
    <row r="1478" spans="1:8" x14ac:dyDescent="0.25">
      <c r="A1478" t="s">
        <v>2142</v>
      </c>
      <c r="B1478" t="s">
        <v>149</v>
      </c>
      <c r="C1478" t="s">
        <v>31</v>
      </c>
      <c r="D1478" t="s">
        <v>232</v>
      </c>
      <c r="E1478">
        <v>97</v>
      </c>
      <c r="F1478">
        <v>47</v>
      </c>
      <c r="G1478">
        <v>38</v>
      </c>
      <c r="H1478">
        <v>15</v>
      </c>
    </row>
    <row r="1479" spans="1:8" x14ac:dyDescent="0.25">
      <c r="A1479" t="s">
        <v>2143</v>
      </c>
      <c r="B1479" t="s">
        <v>149</v>
      </c>
      <c r="C1479" t="s">
        <v>31</v>
      </c>
      <c r="D1479" t="s">
        <v>233</v>
      </c>
      <c r="E1479">
        <v>86</v>
      </c>
      <c r="F1479">
        <v>43</v>
      </c>
      <c r="G1479">
        <v>42</v>
      </c>
      <c r="H1479">
        <v>15</v>
      </c>
    </row>
    <row r="1480" spans="1:8" x14ac:dyDescent="0.25">
      <c r="A1480" t="s">
        <v>2144</v>
      </c>
      <c r="B1480" t="s">
        <v>149</v>
      </c>
      <c r="C1480" t="s">
        <v>31</v>
      </c>
      <c r="D1480" t="s">
        <v>234</v>
      </c>
      <c r="E1480">
        <v>81</v>
      </c>
      <c r="F1480">
        <v>37</v>
      </c>
      <c r="G1480">
        <v>53</v>
      </c>
      <c r="H1480">
        <v>10</v>
      </c>
    </row>
    <row r="1481" spans="1:8" x14ac:dyDescent="0.25">
      <c r="A1481" t="s">
        <v>2145</v>
      </c>
      <c r="B1481" t="s">
        <v>149</v>
      </c>
      <c r="C1481" t="s">
        <v>31</v>
      </c>
      <c r="D1481" t="s">
        <v>235</v>
      </c>
      <c r="E1481">
        <v>88</v>
      </c>
      <c r="F1481">
        <v>39</v>
      </c>
      <c r="G1481">
        <v>49</v>
      </c>
      <c r="H1481">
        <v>12</v>
      </c>
    </row>
    <row r="1482" spans="1:8" x14ac:dyDescent="0.25">
      <c r="A1482" t="s">
        <v>2146</v>
      </c>
      <c r="B1482" t="s">
        <v>149</v>
      </c>
      <c r="C1482" t="s">
        <v>31</v>
      </c>
      <c r="D1482" t="s">
        <v>236</v>
      </c>
      <c r="E1482">
        <v>102</v>
      </c>
      <c r="F1482">
        <v>38</v>
      </c>
      <c r="G1482">
        <v>47</v>
      </c>
      <c r="H1482">
        <v>15</v>
      </c>
    </row>
    <row r="1483" spans="1:8" x14ac:dyDescent="0.25">
      <c r="A1483" t="s">
        <v>2147</v>
      </c>
      <c r="B1483" t="s">
        <v>149</v>
      </c>
      <c r="C1483" t="s">
        <v>31</v>
      </c>
      <c r="D1483" t="s">
        <v>237</v>
      </c>
      <c r="E1483">
        <v>72</v>
      </c>
      <c r="F1483">
        <v>27</v>
      </c>
      <c r="G1483">
        <v>51</v>
      </c>
      <c r="H1483">
        <v>22</v>
      </c>
    </row>
    <row r="1484" spans="1:8" x14ac:dyDescent="0.25">
      <c r="A1484" t="s">
        <v>2148</v>
      </c>
      <c r="B1484" t="s">
        <v>149</v>
      </c>
      <c r="C1484" t="s">
        <v>31</v>
      </c>
      <c r="D1484" t="s">
        <v>238</v>
      </c>
      <c r="E1484">
        <v>90</v>
      </c>
      <c r="F1484">
        <v>34</v>
      </c>
      <c r="G1484">
        <v>53</v>
      </c>
      <c r="H1484">
        <v>13</v>
      </c>
    </row>
    <row r="1485" spans="1:8" x14ac:dyDescent="0.25">
      <c r="A1485" t="s">
        <v>2149</v>
      </c>
      <c r="B1485" t="s">
        <v>149</v>
      </c>
      <c r="C1485" t="s">
        <v>31</v>
      </c>
      <c r="D1485" t="s">
        <v>239</v>
      </c>
      <c r="E1485">
        <v>73</v>
      </c>
      <c r="F1485">
        <v>32</v>
      </c>
      <c r="G1485">
        <v>57</v>
      </c>
      <c r="H1485">
        <v>11</v>
      </c>
    </row>
    <row r="1486" spans="1:8" x14ac:dyDescent="0.25">
      <c r="A1486" t="s">
        <v>2150</v>
      </c>
      <c r="B1486" t="s">
        <v>149</v>
      </c>
      <c r="C1486" t="s">
        <v>31</v>
      </c>
      <c r="D1486" t="s">
        <v>47</v>
      </c>
      <c r="E1486">
        <v>67</v>
      </c>
      <c r="F1486">
        <v>21</v>
      </c>
      <c r="G1486">
        <v>52</v>
      </c>
      <c r="H1486">
        <v>27</v>
      </c>
    </row>
    <row r="1487" spans="1:8" x14ac:dyDescent="0.25">
      <c r="A1487" t="s">
        <v>2151</v>
      </c>
      <c r="B1487" t="s">
        <v>170</v>
      </c>
      <c r="C1487" t="s">
        <v>103</v>
      </c>
      <c r="D1487" t="s">
        <v>232</v>
      </c>
      <c r="E1487">
        <v>1279</v>
      </c>
      <c r="F1487">
        <v>26</v>
      </c>
      <c r="G1487">
        <v>61</v>
      </c>
      <c r="H1487">
        <v>13</v>
      </c>
    </row>
    <row r="1488" spans="1:8" x14ac:dyDescent="0.25">
      <c r="A1488" t="s">
        <v>2152</v>
      </c>
      <c r="B1488" t="s">
        <v>170</v>
      </c>
      <c r="C1488" t="s">
        <v>103</v>
      </c>
      <c r="D1488" t="s">
        <v>233</v>
      </c>
      <c r="E1488">
        <v>1033</v>
      </c>
      <c r="F1488">
        <v>25</v>
      </c>
      <c r="G1488">
        <v>60</v>
      </c>
      <c r="H1488">
        <v>15</v>
      </c>
    </row>
    <row r="1489" spans="1:8" x14ac:dyDescent="0.25">
      <c r="A1489" t="s">
        <v>2153</v>
      </c>
      <c r="B1489" t="s">
        <v>170</v>
      </c>
      <c r="C1489" t="s">
        <v>103</v>
      </c>
      <c r="D1489" t="s">
        <v>234</v>
      </c>
      <c r="E1489">
        <v>1016</v>
      </c>
      <c r="F1489">
        <v>21</v>
      </c>
      <c r="G1489">
        <v>61</v>
      </c>
      <c r="H1489">
        <v>18</v>
      </c>
    </row>
    <row r="1490" spans="1:8" x14ac:dyDescent="0.25">
      <c r="A1490" t="s">
        <v>2154</v>
      </c>
      <c r="B1490" t="s">
        <v>170</v>
      </c>
      <c r="C1490" t="s">
        <v>103</v>
      </c>
      <c r="D1490" t="s">
        <v>235</v>
      </c>
      <c r="E1490">
        <v>1012</v>
      </c>
      <c r="F1490">
        <v>23</v>
      </c>
      <c r="G1490">
        <v>60</v>
      </c>
      <c r="H1490">
        <v>17</v>
      </c>
    </row>
    <row r="1491" spans="1:8" x14ac:dyDescent="0.25">
      <c r="A1491" t="s">
        <v>2155</v>
      </c>
      <c r="B1491" t="s">
        <v>170</v>
      </c>
      <c r="C1491" t="s">
        <v>103</v>
      </c>
      <c r="D1491" t="s">
        <v>236</v>
      </c>
      <c r="E1491">
        <v>1088</v>
      </c>
      <c r="F1491">
        <v>22</v>
      </c>
      <c r="G1491">
        <v>59</v>
      </c>
      <c r="H1491">
        <v>19</v>
      </c>
    </row>
    <row r="1492" spans="1:8" x14ac:dyDescent="0.25">
      <c r="A1492" t="s">
        <v>2156</v>
      </c>
      <c r="B1492" t="s">
        <v>170</v>
      </c>
      <c r="C1492" t="s">
        <v>103</v>
      </c>
      <c r="D1492" t="s">
        <v>237</v>
      </c>
      <c r="E1492">
        <v>1009</v>
      </c>
      <c r="F1492">
        <v>18</v>
      </c>
      <c r="G1492">
        <v>61</v>
      </c>
      <c r="H1492">
        <v>21</v>
      </c>
    </row>
    <row r="1493" spans="1:8" x14ac:dyDescent="0.25">
      <c r="A1493" t="s">
        <v>2157</v>
      </c>
      <c r="B1493" t="s">
        <v>170</v>
      </c>
      <c r="C1493" t="s">
        <v>103</v>
      </c>
      <c r="D1493" t="s">
        <v>238</v>
      </c>
      <c r="E1493">
        <v>1250</v>
      </c>
      <c r="F1493">
        <v>19</v>
      </c>
      <c r="G1493">
        <v>59</v>
      </c>
      <c r="H1493">
        <v>22</v>
      </c>
    </row>
    <row r="1494" spans="1:8" x14ac:dyDescent="0.25">
      <c r="A1494" t="s">
        <v>2158</v>
      </c>
      <c r="B1494" t="s">
        <v>170</v>
      </c>
      <c r="C1494" t="s">
        <v>103</v>
      </c>
      <c r="D1494" t="s">
        <v>239</v>
      </c>
      <c r="E1494">
        <v>1034</v>
      </c>
      <c r="F1494">
        <v>16</v>
      </c>
      <c r="G1494">
        <v>63</v>
      </c>
      <c r="H1494">
        <v>21</v>
      </c>
    </row>
    <row r="1495" spans="1:8" x14ac:dyDescent="0.25">
      <c r="A1495" t="s">
        <v>2159</v>
      </c>
      <c r="B1495" t="s">
        <v>170</v>
      </c>
      <c r="C1495" t="s">
        <v>103</v>
      </c>
      <c r="D1495" t="s">
        <v>47</v>
      </c>
      <c r="E1495">
        <v>1104</v>
      </c>
      <c r="F1495">
        <v>15</v>
      </c>
      <c r="G1495">
        <v>63</v>
      </c>
      <c r="H1495">
        <v>22</v>
      </c>
    </row>
    <row r="1496" spans="1:8" x14ac:dyDescent="0.25">
      <c r="A1496" t="s">
        <v>2160</v>
      </c>
      <c r="B1496" t="s">
        <v>170</v>
      </c>
      <c r="C1496" t="s">
        <v>100</v>
      </c>
      <c r="D1496" t="s">
        <v>232</v>
      </c>
      <c r="E1496">
        <v>1301</v>
      </c>
      <c r="F1496">
        <v>21</v>
      </c>
      <c r="G1496">
        <v>58</v>
      </c>
      <c r="H1496">
        <v>21</v>
      </c>
    </row>
    <row r="1497" spans="1:8" x14ac:dyDescent="0.25">
      <c r="A1497" t="s">
        <v>2161</v>
      </c>
      <c r="B1497" t="s">
        <v>170</v>
      </c>
      <c r="C1497" t="s">
        <v>100</v>
      </c>
      <c r="D1497" t="s">
        <v>233</v>
      </c>
      <c r="E1497">
        <v>1060</v>
      </c>
      <c r="F1497">
        <v>21</v>
      </c>
      <c r="G1497">
        <v>58</v>
      </c>
      <c r="H1497">
        <v>21</v>
      </c>
    </row>
    <row r="1498" spans="1:8" x14ac:dyDescent="0.25">
      <c r="A1498" t="s">
        <v>2162</v>
      </c>
      <c r="B1498" t="s">
        <v>170</v>
      </c>
      <c r="C1498" t="s">
        <v>100</v>
      </c>
      <c r="D1498" t="s">
        <v>234</v>
      </c>
      <c r="E1498">
        <v>1041</v>
      </c>
      <c r="F1498">
        <v>22</v>
      </c>
      <c r="G1498">
        <v>55</v>
      </c>
      <c r="H1498">
        <v>23</v>
      </c>
    </row>
    <row r="1499" spans="1:8" x14ac:dyDescent="0.25">
      <c r="A1499" t="s">
        <v>2163</v>
      </c>
      <c r="B1499" t="s">
        <v>170</v>
      </c>
      <c r="C1499" t="s">
        <v>100</v>
      </c>
      <c r="D1499" t="s">
        <v>235</v>
      </c>
      <c r="E1499">
        <v>1030</v>
      </c>
      <c r="F1499">
        <v>23</v>
      </c>
      <c r="G1499">
        <v>53</v>
      </c>
      <c r="H1499">
        <v>24</v>
      </c>
    </row>
    <row r="1500" spans="1:8" x14ac:dyDescent="0.25">
      <c r="A1500" t="s">
        <v>2164</v>
      </c>
      <c r="B1500" t="s">
        <v>170</v>
      </c>
      <c r="C1500" t="s">
        <v>100</v>
      </c>
      <c r="D1500" t="s">
        <v>236</v>
      </c>
      <c r="E1500">
        <v>1121</v>
      </c>
      <c r="F1500">
        <v>25</v>
      </c>
      <c r="G1500">
        <v>52</v>
      </c>
      <c r="H1500">
        <v>23</v>
      </c>
    </row>
    <row r="1501" spans="1:8" x14ac:dyDescent="0.25">
      <c r="A1501" t="s">
        <v>2165</v>
      </c>
      <c r="B1501" t="s">
        <v>170</v>
      </c>
      <c r="C1501" t="s">
        <v>100</v>
      </c>
      <c r="D1501" t="s">
        <v>237</v>
      </c>
      <c r="E1501">
        <v>1048</v>
      </c>
      <c r="F1501">
        <v>23</v>
      </c>
      <c r="G1501">
        <v>55</v>
      </c>
      <c r="H1501">
        <v>22</v>
      </c>
    </row>
    <row r="1502" spans="1:8" x14ac:dyDescent="0.25">
      <c r="A1502" t="s">
        <v>2166</v>
      </c>
      <c r="B1502" t="s">
        <v>170</v>
      </c>
      <c r="C1502" t="s">
        <v>100</v>
      </c>
      <c r="D1502" t="s">
        <v>238</v>
      </c>
      <c r="E1502">
        <v>1286</v>
      </c>
      <c r="F1502">
        <v>21</v>
      </c>
      <c r="G1502">
        <v>54</v>
      </c>
      <c r="H1502">
        <v>25</v>
      </c>
    </row>
    <row r="1503" spans="1:8" x14ac:dyDescent="0.25">
      <c r="A1503" t="s">
        <v>2167</v>
      </c>
      <c r="B1503" t="s">
        <v>170</v>
      </c>
      <c r="C1503" t="s">
        <v>100</v>
      </c>
      <c r="D1503" t="s">
        <v>239</v>
      </c>
      <c r="E1503">
        <v>1063</v>
      </c>
      <c r="F1503">
        <v>17</v>
      </c>
      <c r="G1503">
        <v>57</v>
      </c>
      <c r="H1503">
        <v>26</v>
      </c>
    </row>
    <row r="1504" spans="1:8" x14ac:dyDescent="0.25">
      <c r="A1504" t="s">
        <v>2168</v>
      </c>
      <c r="B1504" t="s">
        <v>170</v>
      </c>
      <c r="C1504" t="s">
        <v>100</v>
      </c>
      <c r="D1504" t="s">
        <v>47</v>
      </c>
      <c r="E1504">
        <v>1135</v>
      </c>
      <c r="F1504">
        <v>23</v>
      </c>
      <c r="G1504">
        <v>54</v>
      </c>
      <c r="H1504">
        <v>23</v>
      </c>
    </row>
    <row r="1505" spans="1:8" x14ac:dyDescent="0.25">
      <c r="A1505" t="s">
        <v>2169</v>
      </c>
      <c r="B1505" t="s">
        <v>170</v>
      </c>
      <c r="C1505" t="s">
        <v>101</v>
      </c>
      <c r="D1505" t="s">
        <v>232</v>
      </c>
    </row>
    <row r="1506" spans="1:8" x14ac:dyDescent="0.25">
      <c r="A1506" t="s">
        <v>2170</v>
      </c>
      <c r="B1506" t="s">
        <v>170</v>
      </c>
      <c r="C1506" t="s">
        <v>101</v>
      </c>
      <c r="D1506" t="s">
        <v>233</v>
      </c>
    </row>
    <row r="1507" spans="1:8" x14ac:dyDescent="0.25">
      <c r="A1507" t="s">
        <v>2171</v>
      </c>
      <c r="B1507" t="s">
        <v>170</v>
      </c>
      <c r="C1507" t="s">
        <v>101</v>
      </c>
      <c r="D1507" t="s">
        <v>234</v>
      </c>
    </row>
    <row r="1508" spans="1:8" x14ac:dyDescent="0.25">
      <c r="A1508" t="s">
        <v>2172</v>
      </c>
      <c r="B1508" t="s">
        <v>170</v>
      </c>
      <c r="C1508" t="s">
        <v>101</v>
      </c>
      <c r="D1508" t="s">
        <v>235</v>
      </c>
    </row>
    <row r="1509" spans="1:8" x14ac:dyDescent="0.25">
      <c r="A1509" t="s">
        <v>2173</v>
      </c>
      <c r="B1509" t="s">
        <v>170</v>
      </c>
      <c r="C1509" t="s">
        <v>101</v>
      </c>
      <c r="D1509" t="s">
        <v>236</v>
      </c>
    </row>
    <row r="1510" spans="1:8" x14ac:dyDescent="0.25">
      <c r="A1510" t="s">
        <v>2174</v>
      </c>
      <c r="B1510" t="s">
        <v>170</v>
      </c>
      <c r="C1510" t="s">
        <v>101</v>
      </c>
      <c r="D1510" t="s">
        <v>237</v>
      </c>
    </row>
    <row r="1511" spans="1:8" x14ac:dyDescent="0.25">
      <c r="A1511" t="s">
        <v>2175</v>
      </c>
      <c r="B1511" t="s">
        <v>170</v>
      </c>
      <c r="C1511" t="s">
        <v>101</v>
      </c>
      <c r="D1511" t="s">
        <v>238</v>
      </c>
    </row>
    <row r="1512" spans="1:8" x14ac:dyDescent="0.25">
      <c r="A1512" t="s">
        <v>2176</v>
      </c>
      <c r="B1512" t="s">
        <v>170</v>
      </c>
      <c r="C1512" t="s">
        <v>101</v>
      </c>
      <c r="D1512" t="s">
        <v>239</v>
      </c>
    </row>
    <row r="1513" spans="1:8" x14ac:dyDescent="0.25">
      <c r="A1513" t="s">
        <v>2177</v>
      </c>
      <c r="B1513" t="s">
        <v>170</v>
      </c>
      <c r="C1513" t="s">
        <v>101</v>
      </c>
      <c r="D1513" t="s">
        <v>47</v>
      </c>
    </row>
    <row r="1514" spans="1:8" x14ac:dyDescent="0.25">
      <c r="A1514" t="s">
        <v>2178</v>
      </c>
      <c r="B1514" t="s">
        <v>170</v>
      </c>
      <c r="C1514" t="s">
        <v>102</v>
      </c>
      <c r="D1514" t="s">
        <v>232</v>
      </c>
      <c r="E1514">
        <v>1141</v>
      </c>
      <c r="F1514">
        <v>26</v>
      </c>
      <c r="G1514">
        <v>52</v>
      </c>
      <c r="H1514">
        <v>22</v>
      </c>
    </row>
    <row r="1515" spans="1:8" x14ac:dyDescent="0.25">
      <c r="A1515" t="s">
        <v>2179</v>
      </c>
      <c r="B1515" t="s">
        <v>170</v>
      </c>
      <c r="C1515" t="s">
        <v>102</v>
      </c>
      <c r="D1515" t="s">
        <v>233</v>
      </c>
      <c r="E1515">
        <v>892</v>
      </c>
      <c r="F1515">
        <v>25</v>
      </c>
      <c r="G1515">
        <v>54</v>
      </c>
      <c r="H1515">
        <v>21</v>
      </c>
    </row>
    <row r="1516" spans="1:8" x14ac:dyDescent="0.25">
      <c r="A1516" t="s">
        <v>2180</v>
      </c>
      <c r="B1516" t="s">
        <v>170</v>
      </c>
      <c r="C1516" t="s">
        <v>102</v>
      </c>
      <c r="D1516" t="s">
        <v>234</v>
      </c>
      <c r="E1516">
        <v>891</v>
      </c>
      <c r="F1516">
        <v>25</v>
      </c>
      <c r="G1516">
        <v>48</v>
      </c>
      <c r="H1516">
        <v>27</v>
      </c>
    </row>
    <row r="1517" spans="1:8" x14ac:dyDescent="0.25">
      <c r="A1517" t="s">
        <v>2181</v>
      </c>
      <c r="B1517" t="s">
        <v>170</v>
      </c>
      <c r="C1517" t="s">
        <v>102</v>
      </c>
      <c r="D1517" t="s">
        <v>235</v>
      </c>
      <c r="E1517">
        <v>884</v>
      </c>
      <c r="F1517">
        <v>24</v>
      </c>
      <c r="G1517">
        <v>50</v>
      </c>
      <c r="H1517">
        <v>26</v>
      </c>
    </row>
    <row r="1518" spans="1:8" x14ac:dyDescent="0.25">
      <c r="A1518" t="s">
        <v>2182</v>
      </c>
      <c r="B1518" t="s">
        <v>170</v>
      </c>
      <c r="C1518" t="s">
        <v>102</v>
      </c>
      <c r="D1518" t="s">
        <v>236</v>
      </c>
      <c r="E1518">
        <v>904</v>
      </c>
      <c r="F1518">
        <v>28</v>
      </c>
      <c r="G1518">
        <v>50</v>
      </c>
      <c r="H1518">
        <v>22</v>
      </c>
    </row>
    <row r="1519" spans="1:8" x14ac:dyDescent="0.25">
      <c r="A1519" t="s">
        <v>2183</v>
      </c>
      <c r="B1519" t="s">
        <v>170</v>
      </c>
      <c r="C1519" t="s">
        <v>102</v>
      </c>
      <c r="D1519" t="s">
        <v>237</v>
      </c>
      <c r="E1519">
        <v>874</v>
      </c>
      <c r="F1519">
        <v>22</v>
      </c>
      <c r="G1519">
        <v>51</v>
      </c>
      <c r="H1519">
        <v>27</v>
      </c>
    </row>
    <row r="1520" spans="1:8" x14ac:dyDescent="0.25">
      <c r="A1520" t="s">
        <v>2184</v>
      </c>
      <c r="B1520" t="s">
        <v>170</v>
      </c>
      <c r="C1520" t="s">
        <v>102</v>
      </c>
      <c r="D1520" t="s">
        <v>238</v>
      </c>
      <c r="E1520">
        <v>1051</v>
      </c>
      <c r="F1520">
        <v>20</v>
      </c>
      <c r="G1520">
        <v>50</v>
      </c>
      <c r="H1520">
        <v>30</v>
      </c>
    </row>
    <row r="1521" spans="1:8" x14ac:dyDescent="0.25">
      <c r="A1521" t="s">
        <v>2185</v>
      </c>
      <c r="B1521" t="s">
        <v>170</v>
      </c>
      <c r="C1521" t="s">
        <v>102</v>
      </c>
      <c r="D1521" t="s">
        <v>239</v>
      </c>
      <c r="E1521">
        <v>872</v>
      </c>
      <c r="F1521">
        <v>22</v>
      </c>
      <c r="G1521">
        <v>49</v>
      </c>
      <c r="H1521">
        <v>29</v>
      </c>
    </row>
    <row r="1522" spans="1:8" x14ac:dyDescent="0.25">
      <c r="A1522" t="s">
        <v>2186</v>
      </c>
      <c r="B1522" t="s">
        <v>170</v>
      </c>
      <c r="C1522" t="s">
        <v>102</v>
      </c>
      <c r="D1522" t="s">
        <v>47</v>
      </c>
      <c r="E1522">
        <v>940</v>
      </c>
      <c r="F1522">
        <v>24</v>
      </c>
      <c r="G1522">
        <v>50</v>
      </c>
      <c r="H1522">
        <v>26</v>
      </c>
    </row>
    <row r="1523" spans="1:8" x14ac:dyDescent="0.25">
      <c r="A1523" t="s">
        <v>2187</v>
      </c>
      <c r="B1523" t="s">
        <v>170</v>
      </c>
      <c r="C1523" t="s">
        <v>31</v>
      </c>
      <c r="D1523" t="s">
        <v>232</v>
      </c>
      <c r="E1523">
        <v>1315</v>
      </c>
      <c r="F1523">
        <v>40</v>
      </c>
      <c r="G1523">
        <v>45</v>
      </c>
      <c r="H1523">
        <v>15</v>
      </c>
    </row>
    <row r="1524" spans="1:8" x14ac:dyDescent="0.25">
      <c r="A1524" t="s">
        <v>2188</v>
      </c>
      <c r="B1524" t="s">
        <v>170</v>
      </c>
      <c r="C1524" t="s">
        <v>31</v>
      </c>
      <c r="D1524" t="s">
        <v>233</v>
      </c>
      <c r="E1524">
        <v>1071</v>
      </c>
      <c r="F1524">
        <v>39</v>
      </c>
      <c r="G1524">
        <v>45</v>
      </c>
      <c r="H1524">
        <v>16</v>
      </c>
    </row>
    <row r="1525" spans="1:8" x14ac:dyDescent="0.25">
      <c r="A1525" t="s">
        <v>2189</v>
      </c>
      <c r="B1525" t="s">
        <v>170</v>
      </c>
      <c r="C1525" t="s">
        <v>31</v>
      </c>
      <c r="D1525" t="s">
        <v>234</v>
      </c>
      <c r="E1525">
        <v>1059</v>
      </c>
      <c r="F1525">
        <v>33</v>
      </c>
      <c r="G1525">
        <v>47</v>
      </c>
      <c r="H1525">
        <v>20</v>
      </c>
    </row>
    <row r="1526" spans="1:8" x14ac:dyDescent="0.25">
      <c r="A1526" t="s">
        <v>2190</v>
      </c>
      <c r="B1526" t="s">
        <v>170</v>
      </c>
      <c r="C1526" t="s">
        <v>31</v>
      </c>
      <c r="D1526" t="s">
        <v>235</v>
      </c>
      <c r="E1526">
        <v>1036</v>
      </c>
      <c r="F1526">
        <v>34</v>
      </c>
      <c r="G1526">
        <v>46</v>
      </c>
      <c r="H1526">
        <v>20</v>
      </c>
    </row>
    <row r="1527" spans="1:8" x14ac:dyDescent="0.25">
      <c r="A1527" t="s">
        <v>2191</v>
      </c>
      <c r="B1527" t="s">
        <v>170</v>
      </c>
      <c r="C1527" t="s">
        <v>31</v>
      </c>
      <c r="D1527" t="s">
        <v>236</v>
      </c>
      <c r="E1527">
        <v>1130</v>
      </c>
      <c r="F1527">
        <v>34</v>
      </c>
      <c r="G1527">
        <v>44</v>
      </c>
      <c r="H1527">
        <v>22</v>
      </c>
    </row>
    <row r="1528" spans="1:8" x14ac:dyDescent="0.25">
      <c r="A1528" t="s">
        <v>2192</v>
      </c>
      <c r="B1528" t="s">
        <v>170</v>
      </c>
      <c r="C1528" t="s">
        <v>31</v>
      </c>
      <c r="D1528" t="s">
        <v>237</v>
      </c>
      <c r="E1528">
        <v>1054</v>
      </c>
      <c r="F1528">
        <v>29</v>
      </c>
      <c r="G1528">
        <v>47</v>
      </c>
      <c r="H1528">
        <v>24</v>
      </c>
    </row>
    <row r="1529" spans="1:8" x14ac:dyDescent="0.25">
      <c r="A1529" t="s">
        <v>2193</v>
      </c>
      <c r="B1529" t="s">
        <v>170</v>
      </c>
      <c r="C1529" t="s">
        <v>31</v>
      </c>
      <c r="D1529" t="s">
        <v>238</v>
      </c>
      <c r="E1529">
        <v>1299</v>
      </c>
      <c r="F1529">
        <v>30</v>
      </c>
      <c r="G1529">
        <v>47</v>
      </c>
      <c r="H1529">
        <v>23</v>
      </c>
    </row>
    <row r="1530" spans="1:8" x14ac:dyDescent="0.25">
      <c r="A1530" t="s">
        <v>2194</v>
      </c>
      <c r="B1530" t="s">
        <v>170</v>
      </c>
      <c r="C1530" t="s">
        <v>31</v>
      </c>
      <c r="D1530" t="s">
        <v>239</v>
      </c>
      <c r="E1530">
        <v>1072</v>
      </c>
      <c r="F1530">
        <v>29</v>
      </c>
      <c r="G1530">
        <v>49</v>
      </c>
      <c r="H1530">
        <v>22</v>
      </c>
    </row>
    <row r="1531" spans="1:8" x14ac:dyDescent="0.25">
      <c r="A1531" t="s">
        <v>2195</v>
      </c>
      <c r="B1531" t="s">
        <v>170</v>
      </c>
      <c r="C1531" t="s">
        <v>31</v>
      </c>
      <c r="D1531" t="s">
        <v>47</v>
      </c>
      <c r="E1531">
        <v>1148</v>
      </c>
      <c r="F1531">
        <v>27</v>
      </c>
      <c r="G1531">
        <v>51</v>
      </c>
      <c r="H1531">
        <v>22</v>
      </c>
    </row>
    <row r="1532" spans="1:8" x14ac:dyDescent="0.25">
      <c r="A1532" t="s">
        <v>2196</v>
      </c>
      <c r="B1532" t="s">
        <v>72</v>
      </c>
      <c r="C1532" t="s">
        <v>103</v>
      </c>
      <c r="D1532" t="s">
        <v>232</v>
      </c>
      <c r="E1532">
        <v>150</v>
      </c>
      <c r="F1532">
        <v>5</v>
      </c>
      <c r="G1532">
        <v>51</v>
      </c>
      <c r="H1532">
        <v>44</v>
      </c>
    </row>
    <row r="1533" spans="1:8" x14ac:dyDescent="0.25">
      <c r="A1533" t="s">
        <v>2197</v>
      </c>
      <c r="B1533" t="s">
        <v>72</v>
      </c>
      <c r="C1533" t="s">
        <v>103</v>
      </c>
      <c r="D1533" t="s">
        <v>233</v>
      </c>
      <c r="E1533">
        <v>125</v>
      </c>
      <c r="F1533">
        <v>9</v>
      </c>
      <c r="G1533">
        <v>50</v>
      </c>
      <c r="H1533">
        <v>41</v>
      </c>
    </row>
    <row r="1534" spans="1:8" x14ac:dyDescent="0.25">
      <c r="A1534" t="s">
        <v>2198</v>
      </c>
      <c r="B1534" t="s">
        <v>72</v>
      </c>
      <c r="C1534" t="s">
        <v>103</v>
      </c>
      <c r="D1534" t="s">
        <v>234</v>
      </c>
      <c r="E1534">
        <v>132</v>
      </c>
      <c r="F1534">
        <v>7</v>
      </c>
      <c r="G1534">
        <v>42</v>
      </c>
      <c r="H1534">
        <v>51</v>
      </c>
    </row>
    <row r="1535" spans="1:8" x14ac:dyDescent="0.25">
      <c r="A1535" t="s">
        <v>2199</v>
      </c>
      <c r="B1535" t="s">
        <v>72</v>
      </c>
      <c r="C1535" t="s">
        <v>103</v>
      </c>
      <c r="D1535" t="s">
        <v>235</v>
      </c>
      <c r="E1535">
        <v>150</v>
      </c>
      <c r="F1535">
        <v>5</v>
      </c>
      <c r="G1535">
        <v>44</v>
      </c>
      <c r="H1535">
        <v>51</v>
      </c>
    </row>
    <row r="1536" spans="1:8" x14ac:dyDescent="0.25">
      <c r="A1536" t="s">
        <v>2200</v>
      </c>
      <c r="B1536" t="s">
        <v>72</v>
      </c>
      <c r="C1536" t="s">
        <v>103</v>
      </c>
      <c r="D1536" t="s">
        <v>236</v>
      </c>
      <c r="E1536">
        <v>129</v>
      </c>
      <c r="F1536">
        <v>4</v>
      </c>
      <c r="G1536">
        <v>54</v>
      </c>
      <c r="H1536">
        <v>42</v>
      </c>
    </row>
    <row r="1537" spans="1:8" x14ac:dyDescent="0.25">
      <c r="A1537" t="s">
        <v>2201</v>
      </c>
      <c r="B1537" t="s">
        <v>72</v>
      </c>
      <c r="C1537" t="s">
        <v>103</v>
      </c>
      <c r="D1537" t="s">
        <v>237</v>
      </c>
      <c r="E1537">
        <v>119</v>
      </c>
      <c r="F1537">
        <v>5</v>
      </c>
      <c r="G1537">
        <v>39</v>
      </c>
      <c r="H1537">
        <v>56</v>
      </c>
    </row>
    <row r="1538" spans="1:8" x14ac:dyDescent="0.25">
      <c r="A1538" t="s">
        <v>2202</v>
      </c>
      <c r="B1538" t="s">
        <v>72</v>
      </c>
      <c r="C1538" t="s">
        <v>103</v>
      </c>
      <c r="D1538" t="s">
        <v>238</v>
      </c>
      <c r="E1538">
        <v>128</v>
      </c>
      <c r="F1538">
        <v>6</v>
      </c>
      <c r="G1538">
        <v>43</v>
      </c>
      <c r="H1538">
        <v>51</v>
      </c>
    </row>
    <row r="1539" spans="1:8" x14ac:dyDescent="0.25">
      <c r="A1539" t="s">
        <v>2203</v>
      </c>
      <c r="B1539" t="s">
        <v>72</v>
      </c>
      <c r="C1539" t="s">
        <v>103</v>
      </c>
      <c r="D1539" t="s">
        <v>239</v>
      </c>
      <c r="E1539">
        <v>123</v>
      </c>
      <c r="F1539">
        <v>10</v>
      </c>
      <c r="G1539">
        <v>38</v>
      </c>
      <c r="H1539">
        <v>52</v>
      </c>
    </row>
    <row r="1540" spans="1:8" x14ac:dyDescent="0.25">
      <c r="A1540" t="s">
        <v>2204</v>
      </c>
      <c r="B1540" t="s">
        <v>72</v>
      </c>
      <c r="C1540" t="s">
        <v>103</v>
      </c>
      <c r="D1540" t="s">
        <v>47</v>
      </c>
      <c r="E1540">
        <v>118</v>
      </c>
      <c r="F1540">
        <v>12</v>
      </c>
      <c r="G1540">
        <v>42</v>
      </c>
      <c r="H1540">
        <v>46</v>
      </c>
    </row>
    <row r="1541" spans="1:8" x14ac:dyDescent="0.25">
      <c r="A1541" t="s">
        <v>2205</v>
      </c>
      <c r="B1541" t="s">
        <v>72</v>
      </c>
      <c r="C1541" t="s">
        <v>100</v>
      </c>
      <c r="D1541" t="s">
        <v>232</v>
      </c>
      <c r="E1541">
        <v>159</v>
      </c>
      <c r="F1541">
        <v>7</v>
      </c>
      <c r="G1541">
        <v>53</v>
      </c>
      <c r="H1541">
        <v>40</v>
      </c>
    </row>
    <row r="1542" spans="1:8" x14ac:dyDescent="0.25">
      <c r="A1542" t="s">
        <v>2206</v>
      </c>
      <c r="B1542" t="s">
        <v>72</v>
      </c>
      <c r="C1542" t="s">
        <v>100</v>
      </c>
      <c r="D1542" t="s">
        <v>233</v>
      </c>
      <c r="E1542">
        <v>134</v>
      </c>
      <c r="F1542">
        <v>13</v>
      </c>
      <c r="G1542">
        <v>58</v>
      </c>
      <c r="H1542">
        <v>29</v>
      </c>
    </row>
    <row r="1543" spans="1:8" x14ac:dyDescent="0.25">
      <c r="A1543" t="s">
        <v>2207</v>
      </c>
      <c r="B1543" t="s">
        <v>72</v>
      </c>
      <c r="C1543" t="s">
        <v>100</v>
      </c>
      <c r="D1543" t="s">
        <v>234</v>
      </c>
      <c r="E1543">
        <v>140</v>
      </c>
      <c r="F1543">
        <v>10</v>
      </c>
      <c r="G1543">
        <v>46</v>
      </c>
      <c r="H1543">
        <v>44</v>
      </c>
    </row>
    <row r="1544" spans="1:8" x14ac:dyDescent="0.25">
      <c r="A1544" t="s">
        <v>2208</v>
      </c>
      <c r="B1544" t="s">
        <v>72</v>
      </c>
      <c r="C1544" t="s">
        <v>100</v>
      </c>
      <c r="D1544" t="s">
        <v>235</v>
      </c>
      <c r="E1544">
        <v>159</v>
      </c>
      <c r="F1544">
        <v>8</v>
      </c>
      <c r="G1544">
        <v>60</v>
      </c>
      <c r="H1544">
        <v>32</v>
      </c>
    </row>
    <row r="1545" spans="1:8" x14ac:dyDescent="0.25">
      <c r="A1545" t="s">
        <v>2209</v>
      </c>
      <c r="B1545" t="s">
        <v>72</v>
      </c>
      <c r="C1545" t="s">
        <v>100</v>
      </c>
      <c r="D1545" t="s">
        <v>236</v>
      </c>
      <c r="E1545">
        <v>140</v>
      </c>
      <c r="F1545">
        <v>15</v>
      </c>
      <c r="G1545">
        <v>66</v>
      </c>
      <c r="H1545">
        <v>19</v>
      </c>
    </row>
    <row r="1546" spans="1:8" x14ac:dyDescent="0.25">
      <c r="A1546" t="s">
        <v>2210</v>
      </c>
      <c r="B1546" t="s">
        <v>72</v>
      </c>
      <c r="C1546" t="s">
        <v>100</v>
      </c>
      <c r="D1546" t="s">
        <v>237</v>
      </c>
      <c r="E1546">
        <v>132</v>
      </c>
      <c r="F1546">
        <v>15</v>
      </c>
      <c r="G1546">
        <v>54</v>
      </c>
      <c r="H1546">
        <v>31</v>
      </c>
    </row>
    <row r="1547" spans="1:8" x14ac:dyDescent="0.25">
      <c r="A1547" t="s">
        <v>2211</v>
      </c>
      <c r="B1547" t="s">
        <v>72</v>
      </c>
      <c r="C1547" t="s">
        <v>100</v>
      </c>
      <c r="D1547" t="s">
        <v>238</v>
      </c>
      <c r="E1547">
        <v>140</v>
      </c>
      <c r="F1547">
        <v>19</v>
      </c>
      <c r="G1547">
        <v>64</v>
      </c>
      <c r="H1547">
        <v>17</v>
      </c>
    </row>
    <row r="1548" spans="1:8" x14ac:dyDescent="0.25">
      <c r="A1548" t="s">
        <v>2212</v>
      </c>
      <c r="B1548" t="s">
        <v>72</v>
      </c>
      <c r="C1548" t="s">
        <v>100</v>
      </c>
      <c r="D1548" t="s">
        <v>239</v>
      </c>
      <c r="E1548">
        <v>136</v>
      </c>
      <c r="F1548">
        <v>14</v>
      </c>
      <c r="G1548">
        <v>55</v>
      </c>
      <c r="H1548">
        <v>31</v>
      </c>
    </row>
    <row r="1549" spans="1:8" x14ac:dyDescent="0.25">
      <c r="A1549" t="s">
        <v>2213</v>
      </c>
      <c r="B1549" t="s">
        <v>72</v>
      </c>
      <c r="C1549" t="s">
        <v>100</v>
      </c>
      <c r="D1549" t="s">
        <v>47</v>
      </c>
      <c r="E1549">
        <v>132</v>
      </c>
      <c r="F1549">
        <v>17</v>
      </c>
      <c r="G1549">
        <v>55</v>
      </c>
      <c r="H1549">
        <v>28</v>
      </c>
    </row>
    <row r="1550" spans="1:8" x14ac:dyDescent="0.25">
      <c r="A1550" t="s">
        <v>2214</v>
      </c>
      <c r="B1550" t="s">
        <v>72</v>
      </c>
      <c r="C1550" t="s">
        <v>101</v>
      </c>
      <c r="D1550" t="s">
        <v>232</v>
      </c>
      <c r="E1550">
        <v>124</v>
      </c>
      <c r="F1550">
        <v>18</v>
      </c>
      <c r="G1550">
        <v>53</v>
      </c>
      <c r="H1550">
        <v>29</v>
      </c>
    </row>
    <row r="1551" spans="1:8" x14ac:dyDescent="0.25">
      <c r="A1551" t="s">
        <v>2215</v>
      </c>
      <c r="B1551" t="s">
        <v>72</v>
      </c>
      <c r="C1551" t="s">
        <v>101</v>
      </c>
      <c r="D1551" t="s">
        <v>233</v>
      </c>
      <c r="E1551">
        <v>105</v>
      </c>
      <c r="F1551">
        <v>18</v>
      </c>
      <c r="G1551">
        <v>53</v>
      </c>
      <c r="H1551">
        <v>29</v>
      </c>
    </row>
    <row r="1552" spans="1:8" x14ac:dyDescent="0.25">
      <c r="A1552" t="s">
        <v>2216</v>
      </c>
      <c r="B1552" t="s">
        <v>72</v>
      </c>
      <c r="C1552" t="s">
        <v>101</v>
      </c>
      <c r="D1552" t="s">
        <v>234</v>
      </c>
      <c r="E1552">
        <v>116</v>
      </c>
      <c r="F1552">
        <v>15</v>
      </c>
      <c r="G1552">
        <v>52</v>
      </c>
      <c r="H1552">
        <v>33</v>
      </c>
    </row>
    <row r="1553" spans="1:8" x14ac:dyDescent="0.25">
      <c r="A1553" t="s">
        <v>2217</v>
      </c>
      <c r="B1553" t="s">
        <v>72</v>
      </c>
      <c r="C1553" t="s">
        <v>101</v>
      </c>
      <c r="D1553" t="s">
        <v>235</v>
      </c>
      <c r="E1553">
        <v>120</v>
      </c>
      <c r="F1553">
        <v>15</v>
      </c>
      <c r="G1553">
        <v>58</v>
      </c>
      <c r="H1553">
        <v>27</v>
      </c>
    </row>
    <row r="1554" spans="1:8" x14ac:dyDescent="0.25">
      <c r="A1554" t="s">
        <v>2218</v>
      </c>
      <c r="B1554" t="s">
        <v>72</v>
      </c>
      <c r="C1554" t="s">
        <v>101</v>
      </c>
      <c r="D1554" t="s">
        <v>236</v>
      </c>
      <c r="E1554">
        <v>108</v>
      </c>
      <c r="F1554">
        <v>15</v>
      </c>
      <c r="G1554">
        <v>61</v>
      </c>
      <c r="H1554">
        <v>24</v>
      </c>
    </row>
    <row r="1555" spans="1:8" x14ac:dyDescent="0.25">
      <c r="A1555" t="s">
        <v>2219</v>
      </c>
      <c r="B1555" t="s">
        <v>72</v>
      </c>
      <c r="C1555" t="s">
        <v>101</v>
      </c>
      <c r="D1555" t="s">
        <v>237</v>
      </c>
      <c r="E1555">
        <v>99</v>
      </c>
      <c r="F1555">
        <v>13</v>
      </c>
      <c r="G1555">
        <v>58</v>
      </c>
      <c r="H1555">
        <v>29</v>
      </c>
    </row>
    <row r="1556" spans="1:8" x14ac:dyDescent="0.25">
      <c r="A1556" t="s">
        <v>2220</v>
      </c>
      <c r="B1556" t="s">
        <v>72</v>
      </c>
      <c r="C1556" t="s">
        <v>101</v>
      </c>
      <c r="D1556" t="s">
        <v>238</v>
      </c>
      <c r="E1556">
        <v>108</v>
      </c>
      <c r="F1556">
        <v>18</v>
      </c>
      <c r="G1556">
        <v>61</v>
      </c>
      <c r="H1556">
        <v>21</v>
      </c>
    </row>
    <row r="1557" spans="1:8" x14ac:dyDescent="0.25">
      <c r="A1557" t="s">
        <v>2221</v>
      </c>
      <c r="B1557" t="s">
        <v>72</v>
      </c>
      <c r="C1557" t="s">
        <v>101</v>
      </c>
      <c r="D1557" t="s">
        <v>239</v>
      </c>
      <c r="E1557">
        <v>107</v>
      </c>
      <c r="F1557">
        <v>29</v>
      </c>
      <c r="G1557">
        <v>42</v>
      </c>
      <c r="H1557">
        <v>29</v>
      </c>
    </row>
    <row r="1558" spans="1:8" x14ac:dyDescent="0.25">
      <c r="A1558" t="s">
        <v>2222</v>
      </c>
      <c r="B1558" t="s">
        <v>72</v>
      </c>
      <c r="C1558" t="s">
        <v>101</v>
      </c>
      <c r="D1558" t="s">
        <v>47</v>
      </c>
      <c r="E1558">
        <v>100</v>
      </c>
      <c r="F1558">
        <v>16</v>
      </c>
      <c r="G1558">
        <v>50</v>
      </c>
      <c r="H1558">
        <v>34</v>
      </c>
    </row>
    <row r="1559" spans="1:8" x14ac:dyDescent="0.25">
      <c r="A1559" t="s">
        <v>2223</v>
      </c>
      <c r="B1559" t="s">
        <v>72</v>
      </c>
      <c r="C1559" t="s">
        <v>102</v>
      </c>
      <c r="D1559" t="s">
        <v>232</v>
      </c>
      <c r="E1559">
        <v>137</v>
      </c>
      <c r="F1559">
        <v>25</v>
      </c>
      <c r="G1559">
        <v>43</v>
      </c>
      <c r="H1559">
        <v>32</v>
      </c>
    </row>
    <row r="1560" spans="1:8" x14ac:dyDescent="0.25">
      <c r="A1560" t="s">
        <v>2224</v>
      </c>
      <c r="B1560" t="s">
        <v>72</v>
      </c>
      <c r="C1560" t="s">
        <v>102</v>
      </c>
      <c r="D1560" t="s">
        <v>233</v>
      </c>
      <c r="E1560">
        <v>118</v>
      </c>
      <c r="F1560">
        <v>26</v>
      </c>
      <c r="G1560">
        <v>33</v>
      </c>
      <c r="H1560">
        <v>41</v>
      </c>
    </row>
    <row r="1561" spans="1:8" x14ac:dyDescent="0.25">
      <c r="A1561" t="s">
        <v>2225</v>
      </c>
      <c r="B1561" t="s">
        <v>72</v>
      </c>
      <c r="C1561" t="s">
        <v>102</v>
      </c>
      <c r="D1561" t="s">
        <v>234</v>
      </c>
      <c r="E1561">
        <v>126</v>
      </c>
      <c r="F1561">
        <v>22</v>
      </c>
      <c r="G1561">
        <v>27</v>
      </c>
      <c r="H1561">
        <v>51</v>
      </c>
    </row>
    <row r="1562" spans="1:8" x14ac:dyDescent="0.25">
      <c r="A1562" t="s">
        <v>2226</v>
      </c>
      <c r="B1562" t="s">
        <v>72</v>
      </c>
      <c r="C1562" t="s">
        <v>102</v>
      </c>
      <c r="D1562" t="s">
        <v>235</v>
      </c>
      <c r="E1562">
        <v>133</v>
      </c>
      <c r="F1562">
        <v>19</v>
      </c>
      <c r="G1562">
        <v>23</v>
      </c>
      <c r="H1562">
        <v>58</v>
      </c>
    </row>
    <row r="1563" spans="1:8" x14ac:dyDescent="0.25">
      <c r="A1563" t="s">
        <v>2227</v>
      </c>
      <c r="B1563" t="s">
        <v>72</v>
      </c>
      <c r="C1563" t="s">
        <v>102</v>
      </c>
      <c r="D1563" t="s">
        <v>236</v>
      </c>
      <c r="E1563">
        <v>120</v>
      </c>
      <c r="F1563">
        <v>28</v>
      </c>
      <c r="G1563">
        <v>27</v>
      </c>
      <c r="H1563">
        <v>45</v>
      </c>
    </row>
    <row r="1564" spans="1:8" x14ac:dyDescent="0.25">
      <c r="A1564" t="s">
        <v>2228</v>
      </c>
      <c r="B1564" t="s">
        <v>72</v>
      </c>
      <c r="C1564" t="s">
        <v>102</v>
      </c>
      <c r="D1564" t="s">
        <v>237</v>
      </c>
      <c r="E1564">
        <v>111</v>
      </c>
      <c r="F1564">
        <v>15</v>
      </c>
      <c r="G1564">
        <v>37</v>
      </c>
      <c r="H1564">
        <v>48</v>
      </c>
    </row>
    <row r="1565" spans="1:8" x14ac:dyDescent="0.25">
      <c r="A1565" t="s">
        <v>2229</v>
      </c>
      <c r="B1565" t="s">
        <v>72</v>
      </c>
      <c r="C1565" t="s">
        <v>102</v>
      </c>
      <c r="D1565" t="s">
        <v>238</v>
      </c>
      <c r="E1565">
        <v>120</v>
      </c>
      <c r="F1565">
        <v>21</v>
      </c>
      <c r="G1565">
        <v>37</v>
      </c>
      <c r="H1565">
        <v>42</v>
      </c>
    </row>
    <row r="1566" spans="1:8" x14ac:dyDescent="0.25">
      <c r="A1566" t="s">
        <v>2230</v>
      </c>
      <c r="B1566" t="s">
        <v>72</v>
      </c>
      <c r="C1566" t="s">
        <v>102</v>
      </c>
      <c r="D1566" t="s">
        <v>239</v>
      </c>
      <c r="E1566">
        <v>118</v>
      </c>
      <c r="F1566">
        <v>26</v>
      </c>
      <c r="G1566">
        <v>38</v>
      </c>
      <c r="H1566">
        <v>36</v>
      </c>
    </row>
    <row r="1567" spans="1:8" x14ac:dyDescent="0.25">
      <c r="A1567" t="s">
        <v>2231</v>
      </c>
      <c r="B1567" t="s">
        <v>72</v>
      </c>
      <c r="C1567" t="s">
        <v>102</v>
      </c>
      <c r="D1567" t="s">
        <v>47</v>
      </c>
      <c r="E1567">
        <v>109</v>
      </c>
      <c r="F1567">
        <v>20</v>
      </c>
      <c r="G1567">
        <v>44</v>
      </c>
      <c r="H1567">
        <v>36</v>
      </c>
    </row>
    <row r="1568" spans="1:8" x14ac:dyDescent="0.25">
      <c r="A1568" t="s">
        <v>2232</v>
      </c>
      <c r="B1568" t="s">
        <v>72</v>
      </c>
      <c r="C1568" t="s">
        <v>31</v>
      </c>
      <c r="D1568" t="s">
        <v>232</v>
      </c>
      <c r="E1568">
        <v>161</v>
      </c>
      <c r="F1568">
        <v>31</v>
      </c>
      <c r="G1568">
        <v>51</v>
      </c>
      <c r="H1568">
        <v>18</v>
      </c>
    </row>
    <row r="1569" spans="1:8" x14ac:dyDescent="0.25">
      <c r="A1569" t="s">
        <v>2233</v>
      </c>
      <c r="B1569" t="s">
        <v>72</v>
      </c>
      <c r="C1569" t="s">
        <v>31</v>
      </c>
      <c r="D1569" t="s">
        <v>233</v>
      </c>
      <c r="E1569">
        <v>139</v>
      </c>
      <c r="F1569">
        <v>20</v>
      </c>
      <c r="G1569">
        <v>64</v>
      </c>
      <c r="H1569">
        <v>16</v>
      </c>
    </row>
    <row r="1570" spans="1:8" x14ac:dyDescent="0.25">
      <c r="A1570" t="s">
        <v>2234</v>
      </c>
      <c r="B1570" t="s">
        <v>72</v>
      </c>
      <c r="C1570" t="s">
        <v>31</v>
      </c>
      <c r="D1570" t="s">
        <v>234</v>
      </c>
      <c r="E1570">
        <v>144</v>
      </c>
      <c r="F1570">
        <v>11</v>
      </c>
      <c r="G1570">
        <v>47</v>
      </c>
      <c r="H1570">
        <v>42</v>
      </c>
    </row>
    <row r="1571" spans="1:8" x14ac:dyDescent="0.25">
      <c r="A1571" t="s">
        <v>2235</v>
      </c>
      <c r="B1571" t="s">
        <v>72</v>
      </c>
      <c r="C1571" t="s">
        <v>31</v>
      </c>
      <c r="D1571" t="s">
        <v>235</v>
      </c>
      <c r="E1571">
        <v>163</v>
      </c>
      <c r="F1571">
        <v>11</v>
      </c>
      <c r="G1571">
        <v>48</v>
      </c>
      <c r="H1571">
        <v>41</v>
      </c>
    </row>
    <row r="1572" spans="1:8" x14ac:dyDescent="0.25">
      <c r="A1572" t="s">
        <v>2236</v>
      </c>
      <c r="B1572" t="s">
        <v>72</v>
      </c>
      <c r="C1572" t="s">
        <v>31</v>
      </c>
      <c r="D1572" t="s">
        <v>236</v>
      </c>
      <c r="E1572">
        <v>140</v>
      </c>
      <c r="F1572">
        <v>11</v>
      </c>
      <c r="G1572">
        <v>63</v>
      </c>
      <c r="H1572">
        <v>26</v>
      </c>
    </row>
    <row r="1573" spans="1:8" x14ac:dyDescent="0.25">
      <c r="A1573" t="s">
        <v>2237</v>
      </c>
      <c r="B1573" t="s">
        <v>72</v>
      </c>
      <c r="C1573" t="s">
        <v>31</v>
      </c>
      <c r="D1573" t="s">
        <v>237</v>
      </c>
      <c r="E1573">
        <v>134</v>
      </c>
      <c r="F1573">
        <v>10</v>
      </c>
      <c r="G1573">
        <v>48</v>
      </c>
      <c r="H1573">
        <v>42</v>
      </c>
    </row>
    <row r="1574" spans="1:8" x14ac:dyDescent="0.25">
      <c r="A1574" t="s">
        <v>2238</v>
      </c>
      <c r="B1574" t="s">
        <v>72</v>
      </c>
      <c r="C1574" t="s">
        <v>31</v>
      </c>
      <c r="D1574" t="s">
        <v>238</v>
      </c>
      <c r="E1574">
        <v>139</v>
      </c>
      <c r="F1574">
        <v>21</v>
      </c>
      <c r="G1574">
        <v>49</v>
      </c>
      <c r="H1574">
        <v>30</v>
      </c>
    </row>
    <row r="1575" spans="1:8" x14ac:dyDescent="0.25">
      <c r="A1575" t="s">
        <v>2239</v>
      </c>
      <c r="B1575" t="s">
        <v>72</v>
      </c>
      <c r="C1575" t="s">
        <v>31</v>
      </c>
      <c r="D1575" t="s">
        <v>239</v>
      </c>
      <c r="E1575">
        <v>136</v>
      </c>
      <c r="F1575">
        <v>23</v>
      </c>
      <c r="G1575">
        <v>54</v>
      </c>
      <c r="H1575">
        <v>23</v>
      </c>
    </row>
    <row r="1576" spans="1:8" x14ac:dyDescent="0.25">
      <c r="A1576" t="s">
        <v>2240</v>
      </c>
      <c r="B1576" t="s">
        <v>72</v>
      </c>
      <c r="C1576" t="s">
        <v>31</v>
      </c>
      <c r="D1576" t="s">
        <v>47</v>
      </c>
      <c r="E1576">
        <v>135</v>
      </c>
      <c r="F1576">
        <v>25</v>
      </c>
      <c r="G1576">
        <v>52</v>
      </c>
      <c r="H1576">
        <v>23</v>
      </c>
    </row>
    <row r="1577" spans="1:8" x14ac:dyDescent="0.25">
      <c r="A1577" t="s">
        <v>2241</v>
      </c>
      <c r="B1577" t="s">
        <v>151</v>
      </c>
      <c r="C1577" t="s">
        <v>103</v>
      </c>
      <c r="D1577" t="s">
        <v>232</v>
      </c>
      <c r="E1577">
        <v>500</v>
      </c>
      <c r="F1577">
        <v>11</v>
      </c>
      <c r="G1577">
        <v>70</v>
      </c>
      <c r="H1577">
        <v>19</v>
      </c>
    </row>
    <row r="1578" spans="1:8" x14ac:dyDescent="0.25">
      <c r="A1578" t="s">
        <v>2242</v>
      </c>
      <c r="B1578" t="s">
        <v>151</v>
      </c>
      <c r="C1578" t="s">
        <v>103</v>
      </c>
      <c r="D1578" t="s">
        <v>233</v>
      </c>
      <c r="E1578">
        <v>453</v>
      </c>
      <c r="F1578">
        <v>11</v>
      </c>
      <c r="G1578">
        <v>75</v>
      </c>
      <c r="H1578">
        <v>14</v>
      </c>
    </row>
    <row r="1579" spans="1:8" x14ac:dyDescent="0.25">
      <c r="A1579" t="s">
        <v>2243</v>
      </c>
      <c r="B1579" t="s">
        <v>151</v>
      </c>
      <c r="C1579" t="s">
        <v>103</v>
      </c>
      <c r="D1579" t="s">
        <v>234</v>
      </c>
      <c r="E1579">
        <v>439</v>
      </c>
      <c r="F1579">
        <v>13</v>
      </c>
      <c r="G1579">
        <v>74</v>
      </c>
      <c r="H1579">
        <v>13</v>
      </c>
    </row>
    <row r="1580" spans="1:8" x14ac:dyDescent="0.25">
      <c r="A1580" t="s">
        <v>2244</v>
      </c>
      <c r="B1580" t="s">
        <v>151</v>
      </c>
      <c r="C1580" t="s">
        <v>103</v>
      </c>
      <c r="D1580" t="s">
        <v>235</v>
      </c>
      <c r="E1580">
        <v>414</v>
      </c>
      <c r="F1580">
        <v>14</v>
      </c>
      <c r="G1580">
        <v>72</v>
      </c>
      <c r="H1580">
        <v>14</v>
      </c>
    </row>
    <row r="1581" spans="1:8" x14ac:dyDescent="0.25">
      <c r="A1581" t="s">
        <v>2245</v>
      </c>
      <c r="B1581" t="s">
        <v>151</v>
      </c>
      <c r="C1581" t="s">
        <v>103</v>
      </c>
      <c r="D1581" t="s">
        <v>236</v>
      </c>
      <c r="E1581">
        <v>399</v>
      </c>
      <c r="F1581">
        <v>14</v>
      </c>
      <c r="G1581">
        <v>74</v>
      </c>
      <c r="H1581">
        <v>12</v>
      </c>
    </row>
    <row r="1582" spans="1:8" x14ac:dyDescent="0.25">
      <c r="A1582" t="s">
        <v>2246</v>
      </c>
      <c r="B1582" t="s">
        <v>151</v>
      </c>
      <c r="C1582" t="s">
        <v>103</v>
      </c>
      <c r="D1582" t="s">
        <v>237</v>
      </c>
      <c r="E1582">
        <v>378</v>
      </c>
      <c r="F1582">
        <v>13</v>
      </c>
      <c r="G1582">
        <v>72</v>
      </c>
      <c r="H1582">
        <v>15</v>
      </c>
    </row>
    <row r="1583" spans="1:8" x14ac:dyDescent="0.25">
      <c r="A1583" t="s">
        <v>2247</v>
      </c>
      <c r="B1583" t="s">
        <v>151</v>
      </c>
      <c r="C1583" t="s">
        <v>103</v>
      </c>
      <c r="D1583" t="s">
        <v>238</v>
      </c>
      <c r="E1583">
        <v>425</v>
      </c>
      <c r="F1583">
        <v>14</v>
      </c>
      <c r="G1583">
        <v>72</v>
      </c>
      <c r="H1583">
        <v>14</v>
      </c>
    </row>
    <row r="1584" spans="1:8" x14ac:dyDescent="0.25">
      <c r="A1584" t="s">
        <v>2248</v>
      </c>
      <c r="B1584" t="s">
        <v>151</v>
      </c>
      <c r="C1584" t="s">
        <v>103</v>
      </c>
      <c r="D1584" t="s">
        <v>239</v>
      </c>
      <c r="E1584">
        <v>404</v>
      </c>
      <c r="F1584">
        <v>13</v>
      </c>
      <c r="G1584">
        <v>71</v>
      </c>
      <c r="H1584">
        <v>16</v>
      </c>
    </row>
    <row r="1585" spans="1:8" x14ac:dyDescent="0.25">
      <c r="A1585" t="s">
        <v>2249</v>
      </c>
      <c r="B1585" t="s">
        <v>151</v>
      </c>
      <c r="C1585" t="s">
        <v>103</v>
      </c>
      <c r="D1585" t="s">
        <v>47</v>
      </c>
      <c r="E1585">
        <v>411</v>
      </c>
      <c r="F1585">
        <v>14</v>
      </c>
      <c r="G1585">
        <v>67</v>
      </c>
      <c r="H1585">
        <v>19</v>
      </c>
    </row>
    <row r="1586" spans="1:8" x14ac:dyDescent="0.25">
      <c r="A1586" t="s">
        <v>2250</v>
      </c>
      <c r="B1586" t="s">
        <v>151</v>
      </c>
      <c r="C1586" t="s">
        <v>100</v>
      </c>
      <c r="D1586" t="s">
        <v>232</v>
      </c>
      <c r="E1586">
        <v>512</v>
      </c>
      <c r="F1586">
        <v>11</v>
      </c>
      <c r="G1586">
        <v>71</v>
      </c>
      <c r="H1586">
        <v>18</v>
      </c>
    </row>
    <row r="1587" spans="1:8" x14ac:dyDescent="0.25">
      <c r="A1587" t="s">
        <v>2251</v>
      </c>
      <c r="B1587" t="s">
        <v>151</v>
      </c>
      <c r="C1587" t="s">
        <v>100</v>
      </c>
      <c r="D1587" t="s">
        <v>233</v>
      </c>
      <c r="E1587">
        <v>465</v>
      </c>
      <c r="F1587">
        <v>13</v>
      </c>
      <c r="G1587">
        <v>75</v>
      </c>
      <c r="H1587">
        <v>12</v>
      </c>
    </row>
    <row r="1588" spans="1:8" x14ac:dyDescent="0.25">
      <c r="A1588" t="s">
        <v>2252</v>
      </c>
      <c r="B1588" t="s">
        <v>151</v>
      </c>
      <c r="C1588" t="s">
        <v>100</v>
      </c>
      <c r="D1588" t="s">
        <v>234</v>
      </c>
      <c r="E1588">
        <v>451</v>
      </c>
      <c r="F1588">
        <v>14</v>
      </c>
      <c r="G1588">
        <v>76</v>
      </c>
      <c r="H1588">
        <v>10</v>
      </c>
    </row>
    <row r="1589" spans="1:8" x14ac:dyDescent="0.25">
      <c r="A1589" t="s">
        <v>2253</v>
      </c>
      <c r="B1589" t="s">
        <v>151</v>
      </c>
      <c r="C1589" t="s">
        <v>100</v>
      </c>
      <c r="D1589" t="s">
        <v>235</v>
      </c>
      <c r="E1589">
        <v>426</v>
      </c>
      <c r="F1589">
        <v>13</v>
      </c>
      <c r="G1589">
        <v>73</v>
      </c>
      <c r="H1589">
        <v>14</v>
      </c>
    </row>
    <row r="1590" spans="1:8" x14ac:dyDescent="0.25">
      <c r="A1590" t="s">
        <v>2254</v>
      </c>
      <c r="B1590" t="s">
        <v>151</v>
      </c>
      <c r="C1590" t="s">
        <v>100</v>
      </c>
      <c r="D1590" t="s">
        <v>236</v>
      </c>
      <c r="E1590">
        <v>413</v>
      </c>
      <c r="F1590">
        <v>13</v>
      </c>
      <c r="G1590">
        <v>77</v>
      </c>
      <c r="H1590">
        <v>10</v>
      </c>
    </row>
    <row r="1591" spans="1:8" x14ac:dyDescent="0.25">
      <c r="A1591" t="s">
        <v>2255</v>
      </c>
      <c r="B1591" t="s">
        <v>151</v>
      </c>
      <c r="C1591" t="s">
        <v>100</v>
      </c>
      <c r="D1591" t="s">
        <v>237</v>
      </c>
      <c r="E1591">
        <v>385</v>
      </c>
      <c r="F1591">
        <v>19</v>
      </c>
      <c r="G1591">
        <v>75</v>
      </c>
      <c r="H1591">
        <v>6</v>
      </c>
    </row>
    <row r="1592" spans="1:8" x14ac:dyDescent="0.25">
      <c r="A1592" t="s">
        <v>2256</v>
      </c>
      <c r="B1592" t="s">
        <v>151</v>
      </c>
      <c r="C1592" t="s">
        <v>100</v>
      </c>
      <c r="D1592" t="s">
        <v>238</v>
      </c>
      <c r="E1592">
        <v>436</v>
      </c>
      <c r="F1592">
        <v>18</v>
      </c>
      <c r="G1592">
        <v>75</v>
      </c>
      <c r="H1592">
        <v>7</v>
      </c>
    </row>
    <row r="1593" spans="1:8" x14ac:dyDescent="0.25">
      <c r="A1593" t="s">
        <v>2257</v>
      </c>
      <c r="B1593" t="s">
        <v>151</v>
      </c>
      <c r="C1593" t="s">
        <v>100</v>
      </c>
      <c r="D1593" t="s">
        <v>239</v>
      </c>
      <c r="E1593">
        <v>420</v>
      </c>
      <c r="F1593">
        <v>13</v>
      </c>
      <c r="G1593">
        <v>77</v>
      </c>
      <c r="H1593">
        <v>10</v>
      </c>
    </row>
    <row r="1594" spans="1:8" x14ac:dyDescent="0.25">
      <c r="A1594" t="s">
        <v>2258</v>
      </c>
      <c r="B1594" t="s">
        <v>151</v>
      </c>
      <c r="C1594" t="s">
        <v>100</v>
      </c>
      <c r="D1594" t="s">
        <v>47</v>
      </c>
      <c r="E1594">
        <v>424</v>
      </c>
      <c r="F1594">
        <v>19</v>
      </c>
      <c r="G1594">
        <v>72</v>
      </c>
      <c r="H1594">
        <v>9</v>
      </c>
    </row>
    <row r="1595" spans="1:8" x14ac:dyDescent="0.25">
      <c r="A1595" t="s">
        <v>2259</v>
      </c>
      <c r="B1595" t="s">
        <v>151</v>
      </c>
      <c r="C1595" t="s">
        <v>101</v>
      </c>
      <c r="D1595" t="s">
        <v>232</v>
      </c>
    </row>
    <row r="1596" spans="1:8" x14ac:dyDescent="0.25">
      <c r="A1596" t="s">
        <v>2260</v>
      </c>
      <c r="B1596" t="s">
        <v>151</v>
      </c>
      <c r="C1596" t="s">
        <v>101</v>
      </c>
      <c r="D1596" t="s">
        <v>233</v>
      </c>
    </row>
    <row r="1597" spans="1:8" x14ac:dyDescent="0.25">
      <c r="A1597" t="s">
        <v>2261</v>
      </c>
      <c r="B1597" t="s">
        <v>151</v>
      </c>
      <c r="C1597" t="s">
        <v>101</v>
      </c>
      <c r="D1597" t="s">
        <v>234</v>
      </c>
    </row>
    <row r="1598" spans="1:8" x14ac:dyDescent="0.25">
      <c r="A1598" t="s">
        <v>2262</v>
      </c>
      <c r="B1598" t="s">
        <v>151</v>
      </c>
      <c r="C1598" t="s">
        <v>101</v>
      </c>
      <c r="D1598" t="s">
        <v>235</v>
      </c>
    </row>
    <row r="1599" spans="1:8" x14ac:dyDescent="0.25">
      <c r="A1599" t="s">
        <v>2263</v>
      </c>
      <c r="B1599" t="s">
        <v>151</v>
      </c>
      <c r="C1599" t="s">
        <v>101</v>
      </c>
      <c r="D1599" t="s">
        <v>236</v>
      </c>
    </row>
    <row r="1600" spans="1:8" x14ac:dyDescent="0.25">
      <c r="A1600" t="s">
        <v>2264</v>
      </c>
      <c r="B1600" t="s">
        <v>151</v>
      </c>
      <c r="C1600" t="s">
        <v>101</v>
      </c>
      <c r="D1600" t="s">
        <v>237</v>
      </c>
    </row>
    <row r="1601" spans="1:8" x14ac:dyDescent="0.25">
      <c r="A1601" t="s">
        <v>2265</v>
      </c>
      <c r="B1601" t="s">
        <v>151</v>
      </c>
      <c r="C1601" t="s">
        <v>101</v>
      </c>
      <c r="D1601" t="s">
        <v>238</v>
      </c>
    </row>
    <row r="1602" spans="1:8" x14ac:dyDescent="0.25">
      <c r="A1602" t="s">
        <v>2266</v>
      </c>
      <c r="B1602" t="s">
        <v>151</v>
      </c>
      <c r="C1602" t="s">
        <v>101</v>
      </c>
      <c r="D1602" t="s">
        <v>239</v>
      </c>
    </row>
    <row r="1603" spans="1:8" x14ac:dyDescent="0.25">
      <c r="A1603" t="s">
        <v>2267</v>
      </c>
      <c r="B1603" t="s">
        <v>151</v>
      </c>
      <c r="C1603" t="s">
        <v>101</v>
      </c>
      <c r="D1603" t="s">
        <v>47</v>
      </c>
    </row>
    <row r="1604" spans="1:8" x14ac:dyDescent="0.25">
      <c r="A1604" t="s">
        <v>2268</v>
      </c>
      <c r="B1604" t="s">
        <v>151</v>
      </c>
      <c r="C1604" t="s">
        <v>102</v>
      </c>
      <c r="D1604" t="s">
        <v>232</v>
      </c>
      <c r="E1604">
        <v>491</v>
      </c>
      <c r="F1604">
        <v>37</v>
      </c>
      <c r="G1604">
        <v>58</v>
      </c>
      <c r="H1604">
        <v>5</v>
      </c>
    </row>
    <row r="1605" spans="1:8" x14ac:dyDescent="0.25">
      <c r="A1605" t="s">
        <v>2269</v>
      </c>
      <c r="B1605" t="s">
        <v>151</v>
      </c>
      <c r="C1605" t="s">
        <v>102</v>
      </c>
      <c r="D1605" t="s">
        <v>233</v>
      </c>
      <c r="E1605">
        <v>444</v>
      </c>
      <c r="F1605">
        <v>38</v>
      </c>
      <c r="G1605">
        <v>55</v>
      </c>
      <c r="H1605">
        <v>7</v>
      </c>
    </row>
    <row r="1606" spans="1:8" x14ac:dyDescent="0.25">
      <c r="A1606" t="s">
        <v>2270</v>
      </c>
      <c r="B1606" t="s">
        <v>151</v>
      </c>
      <c r="C1606" t="s">
        <v>102</v>
      </c>
      <c r="D1606" t="s">
        <v>234</v>
      </c>
      <c r="E1606">
        <v>427</v>
      </c>
      <c r="F1606">
        <v>36</v>
      </c>
      <c r="G1606">
        <v>54</v>
      </c>
      <c r="H1606">
        <v>10</v>
      </c>
    </row>
    <row r="1607" spans="1:8" x14ac:dyDescent="0.25">
      <c r="A1607" t="s">
        <v>2271</v>
      </c>
      <c r="B1607" t="s">
        <v>151</v>
      </c>
      <c r="C1607" t="s">
        <v>102</v>
      </c>
      <c r="D1607" t="s">
        <v>235</v>
      </c>
      <c r="E1607">
        <v>401</v>
      </c>
      <c r="F1607">
        <v>39</v>
      </c>
      <c r="G1607">
        <v>54</v>
      </c>
      <c r="H1607">
        <v>7</v>
      </c>
    </row>
    <row r="1608" spans="1:8" x14ac:dyDescent="0.25">
      <c r="A1608" t="s">
        <v>2272</v>
      </c>
      <c r="B1608" t="s">
        <v>151</v>
      </c>
      <c r="C1608" t="s">
        <v>102</v>
      </c>
      <c r="D1608" t="s">
        <v>236</v>
      </c>
      <c r="E1608">
        <v>385</v>
      </c>
      <c r="F1608">
        <v>41</v>
      </c>
      <c r="G1608">
        <v>53</v>
      </c>
      <c r="H1608">
        <v>6</v>
      </c>
    </row>
    <row r="1609" spans="1:8" x14ac:dyDescent="0.25">
      <c r="A1609" t="s">
        <v>2273</v>
      </c>
      <c r="B1609" t="s">
        <v>151</v>
      </c>
      <c r="C1609" t="s">
        <v>102</v>
      </c>
      <c r="D1609" t="s">
        <v>237</v>
      </c>
      <c r="E1609">
        <v>363</v>
      </c>
      <c r="F1609">
        <v>39</v>
      </c>
      <c r="G1609">
        <v>54</v>
      </c>
      <c r="H1609">
        <v>7</v>
      </c>
    </row>
    <row r="1610" spans="1:8" x14ac:dyDescent="0.25">
      <c r="A1610" t="s">
        <v>2274</v>
      </c>
      <c r="B1610" t="s">
        <v>151</v>
      </c>
      <c r="C1610" t="s">
        <v>102</v>
      </c>
      <c r="D1610" t="s">
        <v>238</v>
      </c>
      <c r="E1610">
        <v>412</v>
      </c>
      <c r="F1610">
        <v>37</v>
      </c>
      <c r="G1610">
        <v>56</v>
      </c>
      <c r="H1610">
        <v>7</v>
      </c>
    </row>
    <row r="1611" spans="1:8" x14ac:dyDescent="0.25">
      <c r="A1611" t="s">
        <v>2275</v>
      </c>
      <c r="B1611" t="s">
        <v>151</v>
      </c>
      <c r="C1611" t="s">
        <v>102</v>
      </c>
      <c r="D1611" t="s">
        <v>239</v>
      </c>
      <c r="E1611">
        <v>398</v>
      </c>
      <c r="F1611">
        <v>35</v>
      </c>
      <c r="G1611">
        <v>58</v>
      </c>
      <c r="H1611">
        <v>7</v>
      </c>
    </row>
    <row r="1612" spans="1:8" x14ac:dyDescent="0.25">
      <c r="A1612" t="s">
        <v>2276</v>
      </c>
      <c r="B1612" t="s">
        <v>151</v>
      </c>
      <c r="C1612" t="s">
        <v>102</v>
      </c>
      <c r="D1612" t="s">
        <v>47</v>
      </c>
      <c r="E1612">
        <v>402</v>
      </c>
      <c r="F1612">
        <v>34</v>
      </c>
      <c r="G1612">
        <v>57</v>
      </c>
      <c r="H1612">
        <v>9</v>
      </c>
    </row>
    <row r="1613" spans="1:8" x14ac:dyDescent="0.25">
      <c r="A1613" t="s">
        <v>2277</v>
      </c>
      <c r="B1613" t="s">
        <v>151</v>
      </c>
      <c r="C1613" t="s">
        <v>31</v>
      </c>
      <c r="D1613" t="s">
        <v>232</v>
      </c>
      <c r="E1613">
        <v>510</v>
      </c>
      <c r="F1613">
        <v>46</v>
      </c>
      <c r="G1613">
        <v>53</v>
      </c>
      <c r="H1613">
        <v>1</v>
      </c>
    </row>
    <row r="1614" spans="1:8" x14ac:dyDescent="0.25">
      <c r="A1614" t="s">
        <v>2278</v>
      </c>
      <c r="B1614" t="s">
        <v>151</v>
      </c>
      <c r="C1614" t="s">
        <v>31</v>
      </c>
      <c r="D1614" t="s">
        <v>233</v>
      </c>
      <c r="E1614">
        <v>468</v>
      </c>
      <c r="F1614">
        <v>41</v>
      </c>
      <c r="G1614">
        <v>58</v>
      </c>
      <c r="H1614">
        <v>1</v>
      </c>
    </row>
    <row r="1615" spans="1:8" x14ac:dyDescent="0.25">
      <c r="A1615" t="s">
        <v>2279</v>
      </c>
      <c r="B1615" t="s">
        <v>151</v>
      </c>
      <c r="C1615" t="s">
        <v>31</v>
      </c>
      <c r="D1615" t="s">
        <v>234</v>
      </c>
      <c r="E1615">
        <v>458</v>
      </c>
      <c r="F1615">
        <v>43</v>
      </c>
      <c r="G1615">
        <v>55</v>
      </c>
      <c r="H1615">
        <v>2</v>
      </c>
    </row>
    <row r="1616" spans="1:8" x14ac:dyDescent="0.25">
      <c r="A1616" t="s">
        <v>2280</v>
      </c>
      <c r="B1616" t="s">
        <v>151</v>
      </c>
      <c r="C1616" t="s">
        <v>31</v>
      </c>
      <c r="D1616" t="s">
        <v>235</v>
      </c>
      <c r="E1616">
        <v>433</v>
      </c>
      <c r="F1616">
        <v>47</v>
      </c>
      <c r="G1616">
        <v>53</v>
      </c>
      <c r="H1616">
        <v>0</v>
      </c>
    </row>
    <row r="1617" spans="1:8" x14ac:dyDescent="0.25">
      <c r="A1617" t="s">
        <v>2281</v>
      </c>
      <c r="B1617" t="s">
        <v>151</v>
      </c>
      <c r="C1617" t="s">
        <v>31</v>
      </c>
      <c r="D1617" t="s">
        <v>236</v>
      </c>
      <c r="E1617">
        <v>416</v>
      </c>
      <c r="F1617">
        <v>48</v>
      </c>
      <c r="G1617">
        <v>51</v>
      </c>
      <c r="H1617">
        <v>1</v>
      </c>
    </row>
    <row r="1618" spans="1:8" x14ac:dyDescent="0.25">
      <c r="A1618" t="s">
        <v>2282</v>
      </c>
      <c r="B1618" t="s">
        <v>151</v>
      </c>
      <c r="C1618" t="s">
        <v>31</v>
      </c>
      <c r="D1618" t="s">
        <v>237</v>
      </c>
      <c r="E1618">
        <v>388</v>
      </c>
      <c r="F1618">
        <v>43</v>
      </c>
      <c r="G1618">
        <v>56</v>
      </c>
      <c r="H1618">
        <v>1</v>
      </c>
    </row>
    <row r="1619" spans="1:8" x14ac:dyDescent="0.25">
      <c r="A1619" t="s">
        <v>2283</v>
      </c>
      <c r="B1619" t="s">
        <v>151</v>
      </c>
      <c r="C1619" t="s">
        <v>31</v>
      </c>
      <c r="D1619" t="s">
        <v>238</v>
      </c>
      <c r="E1619">
        <v>440</v>
      </c>
      <c r="F1619">
        <v>53</v>
      </c>
      <c r="G1619">
        <v>47</v>
      </c>
      <c r="H1619">
        <v>0</v>
      </c>
    </row>
    <row r="1620" spans="1:8" x14ac:dyDescent="0.25">
      <c r="A1620" t="s">
        <v>2284</v>
      </c>
      <c r="B1620" t="s">
        <v>151</v>
      </c>
      <c r="C1620" t="s">
        <v>31</v>
      </c>
      <c r="D1620" t="s">
        <v>239</v>
      </c>
      <c r="E1620">
        <v>421</v>
      </c>
      <c r="F1620">
        <v>44</v>
      </c>
      <c r="G1620">
        <v>55</v>
      </c>
      <c r="H1620">
        <v>1</v>
      </c>
    </row>
    <row r="1621" spans="1:8" x14ac:dyDescent="0.25">
      <c r="A1621" t="s">
        <v>2285</v>
      </c>
      <c r="B1621" t="s">
        <v>151</v>
      </c>
      <c r="C1621" t="s">
        <v>31</v>
      </c>
      <c r="D1621" t="s">
        <v>47</v>
      </c>
      <c r="E1621">
        <v>428</v>
      </c>
      <c r="F1621">
        <v>49</v>
      </c>
      <c r="G1621">
        <v>49</v>
      </c>
      <c r="H1621">
        <v>2</v>
      </c>
    </row>
    <row r="1622" spans="1:8" x14ac:dyDescent="0.25">
      <c r="A1622" t="s">
        <v>2286</v>
      </c>
      <c r="B1622" t="s">
        <v>247</v>
      </c>
      <c r="C1622" t="s">
        <v>103</v>
      </c>
      <c r="D1622" t="s">
        <v>232</v>
      </c>
      <c r="E1622">
        <v>166</v>
      </c>
      <c r="F1622">
        <v>12</v>
      </c>
      <c r="G1622">
        <v>74</v>
      </c>
      <c r="H1622">
        <v>14</v>
      </c>
    </row>
    <row r="1623" spans="1:8" x14ac:dyDescent="0.25">
      <c r="A1623" t="s">
        <v>2287</v>
      </c>
      <c r="B1623" t="s">
        <v>247</v>
      </c>
      <c r="C1623" t="s">
        <v>103</v>
      </c>
      <c r="D1623" t="s">
        <v>233</v>
      </c>
      <c r="E1623">
        <v>162</v>
      </c>
      <c r="F1623">
        <v>17</v>
      </c>
      <c r="G1623">
        <v>70</v>
      </c>
      <c r="H1623">
        <v>13</v>
      </c>
    </row>
    <row r="1624" spans="1:8" x14ac:dyDescent="0.25">
      <c r="A1624" t="s">
        <v>2288</v>
      </c>
      <c r="B1624" t="s">
        <v>247</v>
      </c>
      <c r="C1624" t="s">
        <v>103</v>
      </c>
      <c r="D1624" t="s">
        <v>234</v>
      </c>
      <c r="E1624">
        <v>150</v>
      </c>
      <c r="F1624">
        <v>13</v>
      </c>
      <c r="G1624">
        <v>76</v>
      </c>
      <c r="H1624">
        <v>11</v>
      </c>
    </row>
    <row r="1625" spans="1:8" x14ac:dyDescent="0.25">
      <c r="A1625" t="s">
        <v>2289</v>
      </c>
      <c r="B1625" t="s">
        <v>247</v>
      </c>
      <c r="C1625" t="s">
        <v>103</v>
      </c>
      <c r="D1625" t="s">
        <v>235</v>
      </c>
      <c r="E1625">
        <v>147</v>
      </c>
      <c r="F1625">
        <v>12</v>
      </c>
      <c r="G1625">
        <v>68</v>
      </c>
      <c r="H1625">
        <v>20</v>
      </c>
    </row>
    <row r="1626" spans="1:8" x14ac:dyDescent="0.25">
      <c r="A1626" t="s">
        <v>2290</v>
      </c>
      <c r="B1626" t="s">
        <v>247</v>
      </c>
      <c r="C1626" t="s">
        <v>103</v>
      </c>
      <c r="D1626" t="s">
        <v>236</v>
      </c>
      <c r="E1626">
        <v>167</v>
      </c>
      <c r="F1626">
        <v>11</v>
      </c>
      <c r="G1626">
        <v>74</v>
      </c>
      <c r="H1626">
        <v>15</v>
      </c>
    </row>
    <row r="1627" spans="1:8" x14ac:dyDescent="0.25">
      <c r="A1627" t="s">
        <v>2291</v>
      </c>
      <c r="B1627" t="s">
        <v>247</v>
      </c>
      <c r="C1627" t="s">
        <v>103</v>
      </c>
      <c r="D1627" t="s">
        <v>237</v>
      </c>
      <c r="E1627">
        <v>193</v>
      </c>
      <c r="F1627">
        <v>11</v>
      </c>
      <c r="G1627">
        <v>71</v>
      </c>
      <c r="H1627">
        <v>18</v>
      </c>
    </row>
    <row r="1628" spans="1:8" x14ac:dyDescent="0.25">
      <c r="A1628" t="s">
        <v>2292</v>
      </c>
      <c r="B1628" t="s">
        <v>247</v>
      </c>
      <c r="C1628" t="s">
        <v>103</v>
      </c>
      <c r="D1628" t="s">
        <v>238</v>
      </c>
      <c r="E1628">
        <v>263</v>
      </c>
      <c r="F1628">
        <v>7</v>
      </c>
      <c r="G1628">
        <v>74</v>
      </c>
      <c r="H1628">
        <v>19</v>
      </c>
    </row>
    <row r="1629" spans="1:8" x14ac:dyDescent="0.25">
      <c r="A1629" t="s">
        <v>2293</v>
      </c>
      <c r="B1629" t="s">
        <v>247</v>
      </c>
      <c r="C1629" t="s">
        <v>103</v>
      </c>
      <c r="D1629" t="s">
        <v>239</v>
      </c>
      <c r="E1629">
        <v>228</v>
      </c>
      <c r="F1629">
        <v>9</v>
      </c>
      <c r="G1629">
        <v>69</v>
      </c>
      <c r="H1629">
        <v>22</v>
      </c>
    </row>
    <row r="1630" spans="1:8" x14ac:dyDescent="0.25">
      <c r="A1630" t="s">
        <v>2294</v>
      </c>
      <c r="B1630" t="s">
        <v>247</v>
      </c>
      <c r="C1630" t="s">
        <v>103</v>
      </c>
      <c r="D1630" t="s">
        <v>47</v>
      </c>
      <c r="E1630">
        <v>231</v>
      </c>
      <c r="F1630">
        <v>8</v>
      </c>
      <c r="G1630">
        <v>66</v>
      </c>
      <c r="H1630">
        <v>26</v>
      </c>
    </row>
    <row r="1631" spans="1:8" x14ac:dyDescent="0.25">
      <c r="A1631" t="s">
        <v>2295</v>
      </c>
      <c r="B1631" t="s">
        <v>247</v>
      </c>
      <c r="C1631" t="s">
        <v>100</v>
      </c>
      <c r="D1631" t="s">
        <v>232</v>
      </c>
      <c r="E1631">
        <v>168</v>
      </c>
      <c r="F1631">
        <v>12</v>
      </c>
      <c r="G1631">
        <v>65</v>
      </c>
      <c r="H1631">
        <v>23</v>
      </c>
    </row>
    <row r="1632" spans="1:8" x14ac:dyDescent="0.25">
      <c r="A1632" t="s">
        <v>2296</v>
      </c>
      <c r="B1632" t="s">
        <v>247</v>
      </c>
      <c r="C1632" t="s">
        <v>100</v>
      </c>
      <c r="D1632" t="s">
        <v>233</v>
      </c>
      <c r="E1632">
        <v>165</v>
      </c>
      <c r="F1632">
        <v>20</v>
      </c>
      <c r="G1632">
        <v>64</v>
      </c>
      <c r="H1632">
        <v>16</v>
      </c>
    </row>
    <row r="1633" spans="1:8" x14ac:dyDescent="0.25">
      <c r="A1633" t="s">
        <v>2297</v>
      </c>
      <c r="B1633" t="s">
        <v>247</v>
      </c>
      <c r="C1633" t="s">
        <v>100</v>
      </c>
      <c r="D1633" t="s">
        <v>234</v>
      </c>
      <c r="E1633">
        <v>154</v>
      </c>
      <c r="F1633">
        <v>14</v>
      </c>
      <c r="G1633">
        <v>66</v>
      </c>
      <c r="H1633">
        <v>20</v>
      </c>
    </row>
    <row r="1634" spans="1:8" x14ac:dyDescent="0.25">
      <c r="A1634" t="s">
        <v>2298</v>
      </c>
      <c r="B1634" t="s">
        <v>247</v>
      </c>
      <c r="C1634" t="s">
        <v>100</v>
      </c>
      <c r="D1634" t="s">
        <v>235</v>
      </c>
      <c r="E1634">
        <v>150</v>
      </c>
      <c r="F1634">
        <v>13</v>
      </c>
      <c r="G1634">
        <v>70</v>
      </c>
      <c r="H1634">
        <v>17</v>
      </c>
    </row>
    <row r="1635" spans="1:8" x14ac:dyDescent="0.25">
      <c r="A1635" t="s">
        <v>2299</v>
      </c>
      <c r="B1635" t="s">
        <v>247</v>
      </c>
      <c r="C1635" t="s">
        <v>100</v>
      </c>
      <c r="D1635" t="s">
        <v>236</v>
      </c>
      <c r="E1635">
        <v>171</v>
      </c>
      <c r="F1635">
        <v>12</v>
      </c>
      <c r="G1635">
        <v>61</v>
      </c>
      <c r="H1635">
        <v>27</v>
      </c>
    </row>
    <row r="1636" spans="1:8" x14ac:dyDescent="0.25">
      <c r="A1636" t="s">
        <v>2300</v>
      </c>
      <c r="B1636" t="s">
        <v>247</v>
      </c>
      <c r="C1636" t="s">
        <v>100</v>
      </c>
      <c r="D1636" t="s">
        <v>237</v>
      </c>
      <c r="E1636">
        <v>203</v>
      </c>
      <c r="F1636">
        <v>15</v>
      </c>
      <c r="G1636">
        <v>62</v>
      </c>
      <c r="H1636">
        <v>23</v>
      </c>
    </row>
    <row r="1637" spans="1:8" x14ac:dyDescent="0.25">
      <c r="A1637" t="s">
        <v>2301</v>
      </c>
      <c r="B1637" t="s">
        <v>247</v>
      </c>
      <c r="C1637" t="s">
        <v>100</v>
      </c>
      <c r="D1637" t="s">
        <v>238</v>
      </c>
      <c r="E1637">
        <v>274</v>
      </c>
      <c r="F1637">
        <v>12</v>
      </c>
      <c r="G1637">
        <v>62</v>
      </c>
      <c r="H1637">
        <v>26</v>
      </c>
    </row>
    <row r="1638" spans="1:8" x14ac:dyDescent="0.25">
      <c r="A1638" t="s">
        <v>2302</v>
      </c>
      <c r="B1638" t="s">
        <v>247</v>
      </c>
      <c r="C1638" t="s">
        <v>100</v>
      </c>
      <c r="D1638" t="s">
        <v>239</v>
      </c>
      <c r="E1638">
        <v>235</v>
      </c>
      <c r="F1638">
        <v>13</v>
      </c>
      <c r="G1638">
        <v>58</v>
      </c>
      <c r="H1638">
        <v>29</v>
      </c>
    </row>
    <row r="1639" spans="1:8" x14ac:dyDescent="0.25">
      <c r="A1639" t="s">
        <v>2303</v>
      </c>
      <c r="B1639" t="s">
        <v>247</v>
      </c>
      <c r="C1639" t="s">
        <v>100</v>
      </c>
      <c r="D1639" t="s">
        <v>47</v>
      </c>
      <c r="E1639">
        <v>239</v>
      </c>
      <c r="F1639">
        <v>15</v>
      </c>
      <c r="G1639">
        <v>54</v>
      </c>
      <c r="H1639">
        <v>31</v>
      </c>
    </row>
    <row r="1640" spans="1:8" x14ac:dyDescent="0.25">
      <c r="A1640" t="s">
        <v>2304</v>
      </c>
      <c r="B1640" t="s">
        <v>247</v>
      </c>
      <c r="C1640" t="s">
        <v>101</v>
      </c>
      <c r="D1640" t="s">
        <v>232</v>
      </c>
    </row>
    <row r="1641" spans="1:8" x14ac:dyDescent="0.25">
      <c r="A1641" t="s">
        <v>2305</v>
      </c>
      <c r="B1641" t="s">
        <v>247</v>
      </c>
      <c r="C1641" t="s">
        <v>101</v>
      </c>
      <c r="D1641" t="s">
        <v>233</v>
      </c>
    </row>
    <row r="1642" spans="1:8" x14ac:dyDescent="0.25">
      <c r="A1642" t="s">
        <v>2306</v>
      </c>
      <c r="B1642" t="s">
        <v>247</v>
      </c>
      <c r="C1642" t="s">
        <v>101</v>
      </c>
      <c r="D1642" t="s">
        <v>234</v>
      </c>
    </row>
    <row r="1643" spans="1:8" x14ac:dyDescent="0.25">
      <c r="A1643" t="s">
        <v>2307</v>
      </c>
      <c r="B1643" t="s">
        <v>247</v>
      </c>
      <c r="C1643" t="s">
        <v>101</v>
      </c>
      <c r="D1643" t="s">
        <v>235</v>
      </c>
    </row>
    <row r="1644" spans="1:8" x14ac:dyDescent="0.25">
      <c r="A1644" t="s">
        <v>2308</v>
      </c>
      <c r="B1644" t="s">
        <v>247</v>
      </c>
      <c r="C1644" t="s">
        <v>101</v>
      </c>
      <c r="D1644" t="s">
        <v>236</v>
      </c>
    </row>
    <row r="1645" spans="1:8" x14ac:dyDescent="0.25">
      <c r="A1645" t="s">
        <v>2309</v>
      </c>
      <c r="B1645" t="s">
        <v>247</v>
      </c>
      <c r="C1645" t="s">
        <v>101</v>
      </c>
      <c r="D1645" t="s">
        <v>237</v>
      </c>
    </row>
    <row r="1646" spans="1:8" x14ac:dyDescent="0.25">
      <c r="A1646" t="s">
        <v>2310</v>
      </c>
      <c r="B1646" t="s">
        <v>247</v>
      </c>
      <c r="C1646" t="s">
        <v>101</v>
      </c>
      <c r="D1646" t="s">
        <v>238</v>
      </c>
    </row>
    <row r="1647" spans="1:8" x14ac:dyDescent="0.25">
      <c r="A1647" t="s">
        <v>2311</v>
      </c>
      <c r="B1647" t="s">
        <v>247</v>
      </c>
      <c r="C1647" t="s">
        <v>101</v>
      </c>
      <c r="D1647" t="s">
        <v>239</v>
      </c>
    </row>
    <row r="1648" spans="1:8" x14ac:dyDescent="0.25">
      <c r="A1648" t="s">
        <v>2312</v>
      </c>
      <c r="B1648" t="s">
        <v>247</v>
      </c>
      <c r="C1648" t="s">
        <v>101</v>
      </c>
      <c r="D1648" t="s">
        <v>47</v>
      </c>
    </row>
    <row r="1649" spans="1:8" x14ac:dyDescent="0.25">
      <c r="A1649" t="s">
        <v>2313</v>
      </c>
      <c r="B1649" t="s">
        <v>247</v>
      </c>
      <c r="C1649" t="s">
        <v>102</v>
      </c>
      <c r="D1649" t="s">
        <v>232</v>
      </c>
      <c r="E1649">
        <v>131</v>
      </c>
      <c r="F1649">
        <v>29</v>
      </c>
      <c r="G1649">
        <v>45</v>
      </c>
      <c r="H1649">
        <v>26</v>
      </c>
    </row>
    <row r="1650" spans="1:8" x14ac:dyDescent="0.25">
      <c r="A1650" t="s">
        <v>2314</v>
      </c>
      <c r="B1650" t="s">
        <v>247</v>
      </c>
      <c r="C1650" t="s">
        <v>102</v>
      </c>
      <c r="D1650" t="s">
        <v>233</v>
      </c>
      <c r="E1650">
        <v>136</v>
      </c>
      <c r="F1650">
        <v>33</v>
      </c>
      <c r="G1650">
        <v>44</v>
      </c>
      <c r="H1650">
        <v>23</v>
      </c>
    </row>
    <row r="1651" spans="1:8" x14ac:dyDescent="0.25">
      <c r="A1651" t="s">
        <v>2315</v>
      </c>
      <c r="B1651" t="s">
        <v>247</v>
      </c>
      <c r="C1651" t="s">
        <v>102</v>
      </c>
      <c r="D1651" t="s">
        <v>234</v>
      </c>
      <c r="E1651">
        <v>121</v>
      </c>
      <c r="F1651">
        <v>36</v>
      </c>
      <c r="G1651">
        <v>43</v>
      </c>
      <c r="H1651">
        <v>21</v>
      </c>
    </row>
    <row r="1652" spans="1:8" x14ac:dyDescent="0.25">
      <c r="A1652" t="s">
        <v>2316</v>
      </c>
      <c r="B1652" t="s">
        <v>247</v>
      </c>
      <c r="C1652" t="s">
        <v>102</v>
      </c>
      <c r="D1652" t="s">
        <v>235</v>
      </c>
      <c r="E1652">
        <v>123</v>
      </c>
      <c r="F1652">
        <v>35</v>
      </c>
      <c r="G1652">
        <v>40</v>
      </c>
      <c r="H1652">
        <v>25</v>
      </c>
    </row>
    <row r="1653" spans="1:8" x14ac:dyDescent="0.25">
      <c r="A1653" t="s">
        <v>2317</v>
      </c>
      <c r="B1653" t="s">
        <v>247</v>
      </c>
      <c r="C1653" t="s">
        <v>102</v>
      </c>
      <c r="D1653" t="s">
        <v>236</v>
      </c>
      <c r="E1653">
        <v>126</v>
      </c>
      <c r="F1653">
        <v>33</v>
      </c>
      <c r="G1653">
        <v>43</v>
      </c>
      <c r="H1653">
        <v>24</v>
      </c>
    </row>
    <row r="1654" spans="1:8" x14ac:dyDescent="0.25">
      <c r="A1654" t="s">
        <v>2318</v>
      </c>
      <c r="B1654" t="s">
        <v>247</v>
      </c>
      <c r="C1654" t="s">
        <v>102</v>
      </c>
      <c r="D1654" t="s">
        <v>237</v>
      </c>
      <c r="E1654">
        <v>149</v>
      </c>
      <c r="F1654">
        <v>28</v>
      </c>
      <c r="G1654">
        <v>41</v>
      </c>
      <c r="H1654">
        <v>31</v>
      </c>
    </row>
    <row r="1655" spans="1:8" x14ac:dyDescent="0.25">
      <c r="A1655" t="s">
        <v>2319</v>
      </c>
      <c r="B1655" t="s">
        <v>247</v>
      </c>
      <c r="C1655" t="s">
        <v>102</v>
      </c>
      <c r="D1655" t="s">
        <v>238</v>
      </c>
      <c r="E1655">
        <v>206</v>
      </c>
      <c r="F1655">
        <v>29</v>
      </c>
      <c r="G1655">
        <v>44</v>
      </c>
      <c r="H1655">
        <v>27</v>
      </c>
    </row>
    <row r="1656" spans="1:8" x14ac:dyDescent="0.25">
      <c r="A1656" t="s">
        <v>2320</v>
      </c>
      <c r="B1656" t="s">
        <v>247</v>
      </c>
      <c r="C1656" t="s">
        <v>102</v>
      </c>
      <c r="D1656" t="s">
        <v>239</v>
      </c>
      <c r="E1656">
        <v>172</v>
      </c>
      <c r="F1656">
        <v>23</v>
      </c>
      <c r="G1656">
        <v>45</v>
      </c>
      <c r="H1656">
        <v>32</v>
      </c>
    </row>
    <row r="1657" spans="1:8" x14ac:dyDescent="0.25">
      <c r="A1657" t="s">
        <v>2321</v>
      </c>
      <c r="B1657" t="s">
        <v>247</v>
      </c>
      <c r="C1657" t="s">
        <v>102</v>
      </c>
      <c r="D1657" t="s">
        <v>47</v>
      </c>
      <c r="E1657">
        <v>196</v>
      </c>
      <c r="F1657">
        <v>30</v>
      </c>
      <c r="G1657">
        <v>38</v>
      </c>
      <c r="H1657">
        <v>32</v>
      </c>
    </row>
    <row r="1658" spans="1:8" x14ac:dyDescent="0.25">
      <c r="A1658" t="s">
        <v>2322</v>
      </c>
      <c r="B1658" t="s">
        <v>247</v>
      </c>
      <c r="C1658" t="s">
        <v>31</v>
      </c>
      <c r="D1658" t="s">
        <v>232</v>
      </c>
      <c r="E1658">
        <v>172</v>
      </c>
      <c r="F1658">
        <v>32</v>
      </c>
      <c r="G1658">
        <v>48</v>
      </c>
      <c r="H1658">
        <v>20</v>
      </c>
    </row>
    <row r="1659" spans="1:8" x14ac:dyDescent="0.25">
      <c r="A1659" t="s">
        <v>2323</v>
      </c>
      <c r="B1659" t="s">
        <v>247</v>
      </c>
      <c r="C1659" t="s">
        <v>31</v>
      </c>
      <c r="D1659" t="s">
        <v>233</v>
      </c>
      <c r="E1659">
        <v>170</v>
      </c>
      <c r="F1659">
        <v>30</v>
      </c>
      <c r="G1659">
        <v>53</v>
      </c>
      <c r="H1659">
        <v>17</v>
      </c>
    </row>
    <row r="1660" spans="1:8" x14ac:dyDescent="0.25">
      <c r="A1660" t="s">
        <v>2324</v>
      </c>
      <c r="B1660" t="s">
        <v>247</v>
      </c>
      <c r="C1660" t="s">
        <v>31</v>
      </c>
      <c r="D1660" t="s">
        <v>234</v>
      </c>
      <c r="E1660">
        <v>154</v>
      </c>
      <c r="F1660">
        <v>26</v>
      </c>
      <c r="G1660">
        <v>55</v>
      </c>
      <c r="H1660">
        <v>19</v>
      </c>
    </row>
    <row r="1661" spans="1:8" x14ac:dyDescent="0.25">
      <c r="A1661" t="s">
        <v>2325</v>
      </c>
      <c r="B1661" t="s">
        <v>247</v>
      </c>
      <c r="C1661" t="s">
        <v>31</v>
      </c>
      <c r="D1661" t="s">
        <v>235</v>
      </c>
      <c r="E1661">
        <v>154</v>
      </c>
      <c r="F1661">
        <v>26</v>
      </c>
      <c r="G1661">
        <v>55</v>
      </c>
      <c r="H1661">
        <v>19</v>
      </c>
    </row>
    <row r="1662" spans="1:8" x14ac:dyDescent="0.25">
      <c r="A1662" t="s">
        <v>2326</v>
      </c>
      <c r="B1662" t="s">
        <v>247</v>
      </c>
      <c r="C1662" t="s">
        <v>31</v>
      </c>
      <c r="D1662" t="s">
        <v>236</v>
      </c>
      <c r="E1662">
        <v>173</v>
      </c>
      <c r="F1662">
        <v>23</v>
      </c>
      <c r="G1662">
        <v>54</v>
      </c>
      <c r="H1662">
        <v>23</v>
      </c>
    </row>
    <row r="1663" spans="1:8" x14ac:dyDescent="0.25">
      <c r="A1663" t="s">
        <v>2327</v>
      </c>
      <c r="B1663" t="s">
        <v>247</v>
      </c>
      <c r="C1663" t="s">
        <v>31</v>
      </c>
      <c r="D1663" t="s">
        <v>237</v>
      </c>
      <c r="E1663">
        <v>204</v>
      </c>
      <c r="F1663">
        <v>23</v>
      </c>
      <c r="G1663">
        <v>51</v>
      </c>
      <c r="H1663">
        <v>26</v>
      </c>
    </row>
    <row r="1664" spans="1:8" x14ac:dyDescent="0.25">
      <c r="A1664" t="s">
        <v>2328</v>
      </c>
      <c r="B1664" t="s">
        <v>247</v>
      </c>
      <c r="C1664" t="s">
        <v>31</v>
      </c>
      <c r="D1664" t="s">
        <v>238</v>
      </c>
      <c r="E1664">
        <v>277</v>
      </c>
      <c r="F1664">
        <v>27</v>
      </c>
      <c r="G1664">
        <v>51</v>
      </c>
      <c r="H1664">
        <v>22</v>
      </c>
    </row>
    <row r="1665" spans="1:8" x14ac:dyDescent="0.25">
      <c r="A1665" t="s">
        <v>2329</v>
      </c>
      <c r="B1665" t="s">
        <v>247</v>
      </c>
      <c r="C1665" t="s">
        <v>31</v>
      </c>
      <c r="D1665" t="s">
        <v>239</v>
      </c>
      <c r="E1665">
        <v>237</v>
      </c>
      <c r="F1665">
        <v>23</v>
      </c>
      <c r="G1665">
        <v>50</v>
      </c>
      <c r="H1665">
        <v>27</v>
      </c>
    </row>
    <row r="1666" spans="1:8" x14ac:dyDescent="0.25">
      <c r="A1666" t="s">
        <v>2330</v>
      </c>
      <c r="B1666" t="s">
        <v>247</v>
      </c>
      <c r="C1666" t="s">
        <v>31</v>
      </c>
      <c r="D1666" t="s">
        <v>47</v>
      </c>
      <c r="E1666">
        <v>246</v>
      </c>
      <c r="F1666">
        <v>23</v>
      </c>
      <c r="G1666">
        <v>51</v>
      </c>
      <c r="H1666">
        <v>26</v>
      </c>
    </row>
    <row r="1667" spans="1:8" x14ac:dyDescent="0.25">
      <c r="A1667" t="s">
        <v>2331</v>
      </c>
      <c r="B1667" t="s">
        <v>142</v>
      </c>
      <c r="C1667" t="s">
        <v>103</v>
      </c>
      <c r="D1667" t="s">
        <v>232</v>
      </c>
      <c r="E1667">
        <v>690</v>
      </c>
      <c r="F1667">
        <v>9</v>
      </c>
      <c r="G1667">
        <v>60</v>
      </c>
      <c r="H1667">
        <v>31</v>
      </c>
    </row>
    <row r="1668" spans="1:8" x14ac:dyDescent="0.25">
      <c r="A1668" t="s">
        <v>2332</v>
      </c>
      <c r="B1668" t="s">
        <v>142</v>
      </c>
      <c r="C1668" t="s">
        <v>103</v>
      </c>
      <c r="D1668" t="s">
        <v>233</v>
      </c>
      <c r="E1668">
        <v>650</v>
      </c>
      <c r="F1668">
        <v>12</v>
      </c>
      <c r="G1668">
        <v>63</v>
      </c>
      <c r="H1668">
        <v>25</v>
      </c>
    </row>
    <row r="1669" spans="1:8" x14ac:dyDescent="0.25">
      <c r="A1669" t="s">
        <v>2333</v>
      </c>
      <c r="B1669" t="s">
        <v>142</v>
      </c>
      <c r="C1669" t="s">
        <v>103</v>
      </c>
      <c r="D1669" t="s">
        <v>234</v>
      </c>
      <c r="E1669">
        <v>610</v>
      </c>
      <c r="F1669">
        <v>8</v>
      </c>
      <c r="G1669">
        <v>65</v>
      </c>
      <c r="H1669">
        <v>27</v>
      </c>
    </row>
    <row r="1670" spans="1:8" x14ac:dyDescent="0.25">
      <c r="A1670" t="s">
        <v>2334</v>
      </c>
      <c r="B1670" t="s">
        <v>142</v>
      </c>
      <c r="C1670" t="s">
        <v>103</v>
      </c>
      <c r="D1670" t="s">
        <v>235</v>
      </c>
      <c r="E1670">
        <v>603</v>
      </c>
      <c r="F1670">
        <v>9</v>
      </c>
      <c r="G1670">
        <v>65</v>
      </c>
      <c r="H1670">
        <v>26</v>
      </c>
    </row>
    <row r="1671" spans="1:8" x14ac:dyDescent="0.25">
      <c r="A1671" t="s">
        <v>2335</v>
      </c>
      <c r="B1671" t="s">
        <v>142</v>
      </c>
      <c r="C1671" t="s">
        <v>103</v>
      </c>
      <c r="D1671" t="s">
        <v>236</v>
      </c>
      <c r="E1671">
        <v>597</v>
      </c>
      <c r="F1671">
        <v>10</v>
      </c>
      <c r="G1671">
        <v>66</v>
      </c>
      <c r="H1671">
        <v>24</v>
      </c>
    </row>
    <row r="1672" spans="1:8" x14ac:dyDescent="0.25">
      <c r="A1672" t="s">
        <v>2336</v>
      </c>
      <c r="B1672" t="s">
        <v>142</v>
      </c>
      <c r="C1672" t="s">
        <v>103</v>
      </c>
      <c r="D1672" t="s">
        <v>237</v>
      </c>
      <c r="E1672">
        <v>599</v>
      </c>
      <c r="F1672">
        <v>12</v>
      </c>
      <c r="G1672">
        <v>64</v>
      </c>
      <c r="H1672">
        <v>24</v>
      </c>
    </row>
    <row r="1673" spans="1:8" x14ac:dyDescent="0.25">
      <c r="A1673" t="s">
        <v>2337</v>
      </c>
      <c r="B1673" t="s">
        <v>142</v>
      </c>
      <c r="C1673" t="s">
        <v>103</v>
      </c>
      <c r="D1673" t="s">
        <v>238</v>
      </c>
      <c r="E1673">
        <v>692</v>
      </c>
      <c r="F1673">
        <v>10</v>
      </c>
      <c r="G1673">
        <v>62</v>
      </c>
      <c r="H1673">
        <v>28</v>
      </c>
    </row>
    <row r="1674" spans="1:8" x14ac:dyDescent="0.25">
      <c r="A1674" t="s">
        <v>2338</v>
      </c>
      <c r="B1674" t="s">
        <v>142</v>
      </c>
      <c r="C1674" t="s">
        <v>103</v>
      </c>
      <c r="D1674" t="s">
        <v>239</v>
      </c>
      <c r="E1674">
        <v>606</v>
      </c>
      <c r="F1674">
        <v>10</v>
      </c>
      <c r="G1674">
        <v>64</v>
      </c>
      <c r="H1674">
        <v>26</v>
      </c>
    </row>
    <row r="1675" spans="1:8" x14ac:dyDescent="0.25">
      <c r="A1675" t="s">
        <v>2339</v>
      </c>
      <c r="B1675" t="s">
        <v>142</v>
      </c>
      <c r="C1675" t="s">
        <v>103</v>
      </c>
      <c r="D1675" t="s">
        <v>47</v>
      </c>
      <c r="E1675">
        <v>583</v>
      </c>
      <c r="F1675">
        <v>11</v>
      </c>
      <c r="G1675">
        <v>67</v>
      </c>
      <c r="H1675">
        <v>22</v>
      </c>
    </row>
    <row r="1676" spans="1:8" x14ac:dyDescent="0.25">
      <c r="A1676" t="s">
        <v>2340</v>
      </c>
      <c r="B1676" t="s">
        <v>142</v>
      </c>
      <c r="C1676" t="s">
        <v>100</v>
      </c>
      <c r="D1676" t="s">
        <v>232</v>
      </c>
      <c r="E1676">
        <v>695</v>
      </c>
      <c r="F1676">
        <v>10</v>
      </c>
      <c r="G1676">
        <v>47</v>
      </c>
      <c r="H1676">
        <v>43</v>
      </c>
    </row>
    <row r="1677" spans="1:8" x14ac:dyDescent="0.25">
      <c r="A1677" t="s">
        <v>2341</v>
      </c>
      <c r="B1677" t="s">
        <v>142</v>
      </c>
      <c r="C1677" t="s">
        <v>100</v>
      </c>
      <c r="D1677" t="s">
        <v>233</v>
      </c>
      <c r="E1677">
        <v>654</v>
      </c>
      <c r="F1677">
        <v>15</v>
      </c>
      <c r="G1677">
        <v>56</v>
      </c>
      <c r="H1677">
        <v>29</v>
      </c>
    </row>
    <row r="1678" spans="1:8" x14ac:dyDescent="0.25">
      <c r="A1678" t="s">
        <v>2342</v>
      </c>
      <c r="B1678" t="s">
        <v>142</v>
      </c>
      <c r="C1678" t="s">
        <v>100</v>
      </c>
      <c r="D1678" t="s">
        <v>234</v>
      </c>
      <c r="E1678">
        <v>612</v>
      </c>
      <c r="F1678">
        <v>13</v>
      </c>
      <c r="G1678">
        <v>50</v>
      </c>
      <c r="H1678">
        <v>37</v>
      </c>
    </row>
    <row r="1679" spans="1:8" x14ac:dyDescent="0.25">
      <c r="A1679" t="s">
        <v>2343</v>
      </c>
      <c r="B1679" t="s">
        <v>142</v>
      </c>
      <c r="C1679" t="s">
        <v>100</v>
      </c>
      <c r="D1679" t="s">
        <v>235</v>
      </c>
      <c r="E1679">
        <v>608</v>
      </c>
      <c r="F1679">
        <v>11</v>
      </c>
      <c r="G1679">
        <v>53</v>
      </c>
      <c r="H1679">
        <v>36</v>
      </c>
    </row>
    <row r="1680" spans="1:8" x14ac:dyDescent="0.25">
      <c r="A1680" t="s">
        <v>2344</v>
      </c>
      <c r="B1680" t="s">
        <v>142</v>
      </c>
      <c r="C1680" t="s">
        <v>100</v>
      </c>
      <c r="D1680" t="s">
        <v>236</v>
      </c>
      <c r="E1680">
        <v>607</v>
      </c>
      <c r="F1680">
        <v>12</v>
      </c>
      <c r="G1680">
        <v>60</v>
      </c>
      <c r="H1680">
        <v>28</v>
      </c>
    </row>
    <row r="1681" spans="1:8" x14ac:dyDescent="0.25">
      <c r="A1681" t="s">
        <v>2345</v>
      </c>
      <c r="B1681" t="s">
        <v>142</v>
      </c>
      <c r="C1681" t="s">
        <v>100</v>
      </c>
      <c r="D1681" t="s">
        <v>237</v>
      </c>
      <c r="E1681">
        <v>601</v>
      </c>
      <c r="F1681">
        <v>12</v>
      </c>
      <c r="G1681">
        <v>60</v>
      </c>
      <c r="H1681">
        <v>28</v>
      </c>
    </row>
    <row r="1682" spans="1:8" x14ac:dyDescent="0.25">
      <c r="A1682" t="s">
        <v>2346</v>
      </c>
      <c r="B1682" t="s">
        <v>142</v>
      </c>
      <c r="C1682" t="s">
        <v>100</v>
      </c>
      <c r="D1682" t="s">
        <v>238</v>
      </c>
      <c r="E1682">
        <v>699</v>
      </c>
      <c r="F1682">
        <v>12</v>
      </c>
      <c r="G1682">
        <v>58</v>
      </c>
      <c r="H1682">
        <v>30</v>
      </c>
    </row>
    <row r="1683" spans="1:8" x14ac:dyDescent="0.25">
      <c r="A1683" t="s">
        <v>2347</v>
      </c>
      <c r="B1683" t="s">
        <v>142</v>
      </c>
      <c r="C1683" t="s">
        <v>100</v>
      </c>
      <c r="D1683" t="s">
        <v>239</v>
      </c>
      <c r="E1683">
        <v>615</v>
      </c>
      <c r="F1683">
        <v>9</v>
      </c>
      <c r="G1683">
        <v>54</v>
      </c>
      <c r="H1683">
        <v>37</v>
      </c>
    </row>
    <row r="1684" spans="1:8" x14ac:dyDescent="0.25">
      <c r="A1684" t="s">
        <v>2348</v>
      </c>
      <c r="B1684" t="s">
        <v>142</v>
      </c>
      <c r="C1684" t="s">
        <v>100</v>
      </c>
      <c r="D1684" t="s">
        <v>47</v>
      </c>
      <c r="E1684">
        <v>583</v>
      </c>
      <c r="F1684">
        <v>15</v>
      </c>
      <c r="G1684">
        <v>58</v>
      </c>
      <c r="H1684">
        <v>27</v>
      </c>
    </row>
    <row r="1685" spans="1:8" x14ac:dyDescent="0.25">
      <c r="A1685" t="s">
        <v>2349</v>
      </c>
      <c r="B1685" t="s">
        <v>142</v>
      </c>
      <c r="C1685" t="s">
        <v>101</v>
      </c>
      <c r="D1685" t="s">
        <v>232</v>
      </c>
    </row>
    <row r="1686" spans="1:8" x14ac:dyDescent="0.25">
      <c r="A1686" t="s">
        <v>2350</v>
      </c>
      <c r="B1686" t="s">
        <v>142</v>
      </c>
      <c r="C1686" t="s">
        <v>101</v>
      </c>
      <c r="D1686" t="s">
        <v>233</v>
      </c>
    </row>
    <row r="1687" spans="1:8" x14ac:dyDescent="0.25">
      <c r="A1687" t="s">
        <v>2351</v>
      </c>
      <c r="B1687" t="s">
        <v>142</v>
      </c>
      <c r="C1687" t="s">
        <v>101</v>
      </c>
      <c r="D1687" t="s">
        <v>234</v>
      </c>
    </row>
    <row r="1688" spans="1:8" x14ac:dyDescent="0.25">
      <c r="A1688" t="s">
        <v>2352</v>
      </c>
      <c r="B1688" t="s">
        <v>142</v>
      </c>
      <c r="C1688" t="s">
        <v>101</v>
      </c>
      <c r="D1688" t="s">
        <v>235</v>
      </c>
    </row>
    <row r="1689" spans="1:8" x14ac:dyDescent="0.25">
      <c r="A1689" t="s">
        <v>2353</v>
      </c>
      <c r="B1689" t="s">
        <v>142</v>
      </c>
      <c r="C1689" t="s">
        <v>101</v>
      </c>
      <c r="D1689" t="s">
        <v>236</v>
      </c>
    </row>
    <row r="1690" spans="1:8" x14ac:dyDescent="0.25">
      <c r="A1690" t="s">
        <v>2354</v>
      </c>
      <c r="B1690" t="s">
        <v>142</v>
      </c>
      <c r="C1690" t="s">
        <v>101</v>
      </c>
      <c r="D1690" t="s">
        <v>237</v>
      </c>
    </row>
    <row r="1691" spans="1:8" x14ac:dyDescent="0.25">
      <c r="A1691" t="s">
        <v>2355</v>
      </c>
      <c r="B1691" t="s">
        <v>142</v>
      </c>
      <c r="C1691" t="s">
        <v>101</v>
      </c>
      <c r="D1691" t="s">
        <v>238</v>
      </c>
    </row>
    <row r="1692" spans="1:8" x14ac:dyDescent="0.25">
      <c r="A1692" t="s">
        <v>2356</v>
      </c>
      <c r="B1692" t="s">
        <v>142</v>
      </c>
      <c r="C1692" t="s">
        <v>101</v>
      </c>
      <c r="D1692" t="s">
        <v>239</v>
      </c>
    </row>
    <row r="1693" spans="1:8" x14ac:dyDescent="0.25">
      <c r="A1693" t="s">
        <v>2357</v>
      </c>
      <c r="B1693" t="s">
        <v>142</v>
      </c>
      <c r="C1693" t="s">
        <v>101</v>
      </c>
      <c r="D1693" t="s">
        <v>47</v>
      </c>
    </row>
    <row r="1694" spans="1:8" x14ac:dyDescent="0.25">
      <c r="A1694" t="s">
        <v>2358</v>
      </c>
      <c r="B1694" t="s">
        <v>142</v>
      </c>
      <c r="C1694" t="s">
        <v>102</v>
      </c>
      <c r="D1694" t="s">
        <v>232</v>
      </c>
      <c r="E1694">
        <v>596</v>
      </c>
      <c r="F1694">
        <v>22</v>
      </c>
      <c r="G1694">
        <v>37</v>
      </c>
      <c r="H1694">
        <v>41</v>
      </c>
    </row>
    <row r="1695" spans="1:8" x14ac:dyDescent="0.25">
      <c r="A1695" t="s">
        <v>2359</v>
      </c>
      <c r="B1695" t="s">
        <v>142</v>
      </c>
      <c r="C1695" t="s">
        <v>102</v>
      </c>
      <c r="D1695" t="s">
        <v>233</v>
      </c>
      <c r="E1695">
        <v>571</v>
      </c>
      <c r="F1695">
        <v>22</v>
      </c>
      <c r="G1695">
        <v>41</v>
      </c>
      <c r="H1695">
        <v>37</v>
      </c>
    </row>
    <row r="1696" spans="1:8" x14ac:dyDescent="0.25">
      <c r="A1696" t="s">
        <v>2360</v>
      </c>
      <c r="B1696" t="s">
        <v>142</v>
      </c>
      <c r="C1696" t="s">
        <v>102</v>
      </c>
      <c r="D1696" t="s">
        <v>234</v>
      </c>
      <c r="E1696">
        <v>531</v>
      </c>
      <c r="F1696">
        <v>22</v>
      </c>
      <c r="G1696">
        <v>42</v>
      </c>
      <c r="H1696">
        <v>36</v>
      </c>
    </row>
    <row r="1697" spans="1:8" x14ac:dyDescent="0.25">
      <c r="A1697" t="s">
        <v>2361</v>
      </c>
      <c r="B1697" t="s">
        <v>142</v>
      </c>
      <c r="C1697" t="s">
        <v>102</v>
      </c>
      <c r="D1697" t="s">
        <v>235</v>
      </c>
      <c r="E1697">
        <v>530</v>
      </c>
      <c r="F1697">
        <v>22</v>
      </c>
      <c r="G1697">
        <v>44</v>
      </c>
      <c r="H1697">
        <v>34</v>
      </c>
    </row>
    <row r="1698" spans="1:8" x14ac:dyDescent="0.25">
      <c r="A1698" t="s">
        <v>2362</v>
      </c>
      <c r="B1698" t="s">
        <v>142</v>
      </c>
      <c r="C1698" t="s">
        <v>102</v>
      </c>
      <c r="D1698" t="s">
        <v>236</v>
      </c>
      <c r="E1698">
        <v>505</v>
      </c>
      <c r="F1698">
        <v>20</v>
      </c>
      <c r="G1698">
        <v>50</v>
      </c>
      <c r="H1698">
        <v>30</v>
      </c>
    </row>
    <row r="1699" spans="1:8" x14ac:dyDescent="0.25">
      <c r="A1699" t="s">
        <v>2363</v>
      </c>
      <c r="B1699" t="s">
        <v>142</v>
      </c>
      <c r="C1699" t="s">
        <v>102</v>
      </c>
      <c r="D1699" t="s">
        <v>237</v>
      </c>
      <c r="E1699">
        <v>533</v>
      </c>
      <c r="F1699">
        <v>22</v>
      </c>
      <c r="G1699">
        <v>44</v>
      </c>
      <c r="H1699">
        <v>34</v>
      </c>
    </row>
    <row r="1700" spans="1:8" x14ac:dyDescent="0.25">
      <c r="A1700" t="s">
        <v>2364</v>
      </c>
      <c r="B1700" t="s">
        <v>142</v>
      </c>
      <c r="C1700" t="s">
        <v>102</v>
      </c>
      <c r="D1700" t="s">
        <v>238</v>
      </c>
      <c r="E1700">
        <v>601</v>
      </c>
      <c r="F1700">
        <v>23</v>
      </c>
      <c r="G1700">
        <v>43</v>
      </c>
      <c r="H1700">
        <v>34</v>
      </c>
    </row>
    <row r="1701" spans="1:8" x14ac:dyDescent="0.25">
      <c r="A1701" t="s">
        <v>2365</v>
      </c>
      <c r="B1701" t="s">
        <v>142</v>
      </c>
      <c r="C1701" t="s">
        <v>102</v>
      </c>
      <c r="D1701" t="s">
        <v>239</v>
      </c>
      <c r="E1701">
        <v>522</v>
      </c>
      <c r="F1701">
        <v>22</v>
      </c>
      <c r="G1701">
        <v>42</v>
      </c>
      <c r="H1701">
        <v>36</v>
      </c>
    </row>
    <row r="1702" spans="1:8" x14ac:dyDescent="0.25">
      <c r="A1702" t="s">
        <v>2366</v>
      </c>
      <c r="B1702" t="s">
        <v>142</v>
      </c>
      <c r="C1702" t="s">
        <v>102</v>
      </c>
      <c r="D1702" t="s">
        <v>47</v>
      </c>
      <c r="E1702">
        <v>501</v>
      </c>
      <c r="F1702">
        <v>27</v>
      </c>
      <c r="G1702">
        <v>49</v>
      </c>
      <c r="H1702">
        <v>24</v>
      </c>
    </row>
    <row r="1703" spans="1:8" x14ac:dyDescent="0.25">
      <c r="A1703" t="s">
        <v>2367</v>
      </c>
      <c r="B1703" t="s">
        <v>142</v>
      </c>
      <c r="C1703" t="s">
        <v>31</v>
      </c>
      <c r="D1703" t="s">
        <v>232</v>
      </c>
      <c r="E1703">
        <v>704</v>
      </c>
      <c r="F1703">
        <v>15</v>
      </c>
      <c r="G1703">
        <v>52</v>
      </c>
      <c r="H1703">
        <v>33</v>
      </c>
    </row>
    <row r="1704" spans="1:8" x14ac:dyDescent="0.25">
      <c r="A1704" t="s">
        <v>2368</v>
      </c>
      <c r="B1704" t="s">
        <v>142</v>
      </c>
      <c r="C1704" t="s">
        <v>31</v>
      </c>
      <c r="D1704" t="s">
        <v>233</v>
      </c>
      <c r="E1704">
        <v>659</v>
      </c>
      <c r="F1704">
        <v>15</v>
      </c>
      <c r="G1704">
        <v>59</v>
      </c>
      <c r="H1704">
        <v>26</v>
      </c>
    </row>
    <row r="1705" spans="1:8" x14ac:dyDescent="0.25">
      <c r="A1705" t="s">
        <v>2369</v>
      </c>
      <c r="B1705" t="s">
        <v>142</v>
      </c>
      <c r="C1705" t="s">
        <v>31</v>
      </c>
      <c r="D1705" t="s">
        <v>234</v>
      </c>
      <c r="E1705">
        <v>619</v>
      </c>
      <c r="F1705">
        <v>16</v>
      </c>
      <c r="G1705">
        <v>58</v>
      </c>
      <c r="H1705">
        <v>26</v>
      </c>
    </row>
    <row r="1706" spans="1:8" x14ac:dyDescent="0.25">
      <c r="A1706" t="s">
        <v>2370</v>
      </c>
      <c r="B1706" t="s">
        <v>142</v>
      </c>
      <c r="C1706" t="s">
        <v>31</v>
      </c>
      <c r="D1706" t="s">
        <v>235</v>
      </c>
      <c r="E1706">
        <v>611</v>
      </c>
      <c r="F1706">
        <v>16</v>
      </c>
      <c r="G1706">
        <v>59</v>
      </c>
      <c r="H1706">
        <v>25</v>
      </c>
    </row>
    <row r="1707" spans="1:8" x14ac:dyDescent="0.25">
      <c r="A1707" t="s">
        <v>2371</v>
      </c>
      <c r="B1707" t="s">
        <v>142</v>
      </c>
      <c r="C1707" t="s">
        <v>31</v>
      </c>
      <c r="D1707" t="s">
        <v>236</v>
      </c>
      <c r="E1707">
        <v>616</v>
      </c>
      <c r="F1707">
        <v>14</v>
      </c>
      <c r="G1707">
        <v>63</v>
      </c>
      <c r="H1707">
        <v>23</v>
      </c>
    </row>
    <row r="1708" spans="1:8" x14ac:dyDescent="0.25">
      <c r="A1708" t="s">
        <v>2372</v>
      </c>
      <c r="B1708" t="s">
        <v>142</v>
      </c>
      <c r="C1708" t="s">
        <v>31</v>
      </c>
      <c r="D1708" t="s">
        <v>237</v>
      </c>
      <c r="E1708">
        <v>613</v>
      </c>
      <c r="F1708">
        <v>16</v>
      </c>
      <c r="G1708">
        <v>58</v>
      </c>
      <c r="H1708">
        <v>26</v>
      </c>
    </row>
    <row r="1709" spans="1:8" x14ac:dyDescent="0.25">
      <c r="A1709" t="s">
        <v>2373</v>
      </c>
      <c r="B1709" t="s">
        <v>142</v>
      </c>
      <c r="C1709" t="s">
        <v>31</v>
      </c>
      <c r="D1709" t="s">
        <v>238</v>
      </c>
      <c r="E1709">
        <v>704</v>
      </c>
      <c r="F1709">
        <v>16</v>
      </c>
      <c r="G1709">
        <v>57</v>
      </c>
      <c r="H1709">
        <v>27</v>
      </c>
    </row>
    <row r="1710" spans="1:8" x14ac:dyDescent="0.25">
      <c r="A1710" t="s">
        <v>2374</v>
      </c>
      <c r="B1710" t="s">
        <v>142</v>
      </c>
      <c r="C1710" t="s">
        <v>31</v>
      </c>
      <c r="D1710" t="s">
        <v>239</v>
      </c>
      <c r="E1710">
        <v>615</v>
      </c>
      <c r="F1710">
        <v>14</v>
      </c>
      <c r="G1710">
        <v>57</v>
      </c>
      <c r="H1710">
        <v>29</v>
      </c>
    </row>
    <row r="1711" spans="1:8" x14ac:dyDescent="0.25">
      <c r="A1711" t="s">
        <v>2375</v>
      </c>
      <c r="B1711" t="s">
        <v>142</v>
      </c>
      <c r="C1711" t="s">
        <v>31</v>
      </c>
      <c r="D1711" t="s">
        <v>47</v>
      </c>
      <c r="E1711">
        <v>590</v>
      </c>
      <c r="F1711">
        <v>18</v>
      </c>
      <c r="G1711">
        <v>61</v>
      </c>
      <c r="H1711">
        <v>21</v>
      </c>
    </row>
    <row r="1712" spans="1:8" x14ac:dyDescent="0.25">
      <c r="A1712" t="s">
        <v>2376</v>
      </c>
      <c r="B1712" t="s">
        <v>141</v>
      </c>
      <c r="C1712" t="s">
        <v>103</v>
      </c>
      <c r="D1712" t="s">
        <v>232</v>
      </c>
      <c r="E1712">
        <v>912</v>
      </c>
      <c r="F1712">
        <v>11</v>
      </c>
      <c r="G1712">
        <v>62</v>
      </c>
      <c r="H1712">
        <v>27</v>
      </c>
    </row>
    <row r="1713" spans="1:8" x14ac:dyDescent="0.25">
      <c r="A1713" t="s">
        <v>2377</v>
      </c>
      <c r="B1713" t="s">
        <v>141</v>
      </c>
      <c r="C1713" t="s">
        <v>103</v>
      </c>
      <c r="D1713" t="s">
        <v>233</v>
      </c>
      <c r="E1713">
        <v>802</v>
      </c>
      <c r="F1713">
        <v>10</v>
      </c>
      <c r="G1713">
        <v>66</v>
      </c>
      <c r="H1713">
        <v>24</v>
      </c>
    </row>
    <row r="1714" spans="1:8" x14ac:dyDescent="0.25">
      <c r="A1714" t="s">
        <v>2378</v>
      </c>
      <c r="B1714" t="s">
        <v>141</v>
      </c>
      <c r="C1714" t="s">
        <v>103</v>
      </c>
      <c r="D1714" t="s">
        <v>234</v>
      </c>
      <c r="E1714">
        <v>795</v>
      </c>
      <c r="F1714">
        <v>11</v>
      </c>
      <c r="G1714">
        <v>64</v>
      </c>
      <c r="H1714">
        <v>25</v>
      </c>
    </row>
    <row r="1715" spans="1:8" x14ac:dyDescent="0.25">
      <c r="A1715" t="s">
        <v>2379</v>
      </c>
      <c r="B1715" t="s">
        <v>141</v>
      </c>
      <c r="C1715" t="s">
        <v>103</v>
      </c>
      <c r="D1715" t="s">
        <v>235</v>
      </c>
      <c r="E1715">
        <v>760</v>
      </c>
      <c r="F1715">
        <v>13</v>
      </c>
      <c r="G1715">
        <v>65</v>
      </c>
      <c r="H1715">
        <v>22</v>
      </c>
    </row>
    <row r="1716" spans="1:8" x14ac:dyDescent="0.25">
      <c r="A1716" t="s">
        <v>2380</v>
      </c>
      <c r="B1716" t="s">
        <v>141</v>
      </c>
      <c r="C1716" t="s">
        <v>103</v>
      </c>
      <c r="D1716" t="s">
        <v>236</v>
      </c>
      <c r="E1716">
        <v>710</v>
      </c>
      <c r="F1716">
        <v>14</v>
      </c>
      <c r="G1716">
        <v>61</v>
      </c>
      <c r="H1716">
        <v>25</v>
      </c>
    </row>
    <row r="1717" spans="1:8" x14ac:dyDescent="0.25">
      <c r="A1717" t="s">
        <v>2381</v>
      </c>
      <c r="B1717" t="s">
        <v>141</v>
      </c>
      <c r="C1717" t="s">
        <v>103</v>
      </c>
      <c r="D1717" t="s">
        <v>237</v>
      </c>
      <c r="E1717">
        <v>725</v>
      </c>
      <c r="F1717">
        <v>12</v>
      </c>
      <c r="G1717">
        <v>65</v>
      </c>
      <c r="H1717">
        <v>23</v>
      </c>
    </row>
    <row r="1718" spans="1:8" x14ac:dyDescent="0.25">
      <c r="A1718" t="s">
        <v>2382</v>
      </c>
      <c r="B1718" t="s">
        <v>141</v>
      </c>
      <c r="C1718" t="s">
        <v>103</v>
      </c>
      <c r="D1718" t="s">
        <v>238</v>
      </c>
      <c r="E1718">
        <v>809</v>
      </c>
      <c r="F1718">
        <v>11</v>
      </c>
      <c r="G1718">
        <v>64</v>
      </c>
      <c r="H1718">
        <v>25</v>
      </c>
    </row>
    <row r="1719" spans="1:8" x14ac:dyDescent="0.25">
      <c r="A1719" t="s">
        <v>2383</v>
      </c>
      <c r="B1719" t="s">
        <v>141</v>
      </c>
      <c r="C1719" t="s">
        <v>103</v>
      </c>
      <c r="D1719" t="s">
        <v>239</v>
      </c>
      <c r="E1719">
        <v>740</v>
      </c>
      <c r="F1719">
        <v>8</v>
      </c>
      <c r="G1719">
        <v>66</v>
      </c>
      <c r="H1719">
        <v>26</v>
      </c>
    </row>
    <row r="1720" spans="1:8" x14ac:dyDescent="0.25">
      <c r="A1720" t="s">
        <v>2384</v>
      </c>
      <c r="B1720" t="s">
        <v>141</v>
      </c>
      <c r="C1720" t="s">
        <v>103</v>
      </c>
      <c r="D1720" t="s">
        <v>47</v>
      </c>
      <c r="E1720">
        <v>703</v>
      </c>
      <c r="F1720">
        <v>9</v>
      </c>
      <c r="G1720">
        <v>65</v>
      </c>
      <c r="H1720">
        <v>26</v>
      </c>
    </row>
    <row r="1721" spans="1:8" x14ac:dyDescent="0.25">
      <c r="A1721" t="s">
        <v>2385</v>
      </c>
      <c r="B1721" t="s">
        <v>141</v>
      </c>
      <c r="C1721" t="s">
        <v>100</v>
      </c>
      <c r="D1721" t="s">
        <v>232</v>
      </c>
      <c r="E1721">
        <v>922</v>
      </c>
      <c r="F1721">
        <v>7</v>
      </c>
      <c r="G1721">
        <v>50</v>
      </c>
      <c r="H1721">
        <v>43</v>
      </c>
    </row>
    <row r="1722" spans="1:8" x14ac:dyDescent="0.25">
      <c r="A1722" t="s">
        <v>2386</v>
      </c>
      <c r="B1722" t="s">
        <v>141</v>
      </c>
      <c r="C1722" t="s">
        <v>100</v>
      </c>
      <c r="D1722" t="s">
        <v>233</v>
      </c>
      <c r="E1722">
        <v>814</v>
      </c>
      <c r="F1722">
        <v>9</v>
      </c>
      <c r="G1722">
        <v>63</v>
      </c>
      <c r="H1722">
        <v>28</v>
      </c>
    </row>
    <row r="1723" spans="1:8" x14ac:dyDescent="0.25">
      <c r="A1723" t="s">
        <v>2387</v>
      </c>
      <c r="B1723" t="s">
        <v>141</v>
      </c>
      <c r="C1723" t="s">
        <v>100</v>
      </c>
      <c r="D1723" t="s">
        <v>234</v>
      </c>
      <c r="E1723">
        <v>818</v>
      </c>
      <c r="F1723">
        <v>8</v>
      </c>
      <c r="G1723">
        <v>57</v>
      </c>
      <c r="H1723">
        <v>35</v>
      </c>
    </row>
    <row r="1724" spans="1:8" x14ac:dyDescent="0.25">
      <c r="A1724" t="s">
        <v>2388</v>
      </c>
      <c r="B1724" t="s">
        <v>141</v>
      </c>
      <c r="C1724" t="s">
        <v>100</v>
      </c>
      <c r="D1724" t="s">
        <v>235</v>
      </c>
      <c r="E1724">
        <v>767</v>
      </c>
      <c r="F1724">
        <v>8</v>
      </c>
      <c r="G1724">
        <v>55</v>
      </c>
      <c r="H1724">
        <v>37</v>
      </c>
    </row>
    <row r="1725" spans="1:8" x14ac:dyDescent="0.25">
      <c r="A1725" t="s">
        <v>2389</v>
      </c>
      <c r="B1725" t="s">
        <v>141</v>
      </c>
      <c r="C1725" t="s">
        <v>100</v>
      </c>
      <c r="D1725" t="s">
        <v>236</v>
      </c>
      <c r="E1725">
        <v>757</v>
      </c>
      <c r="F1725">
        <v>10</v>
      </c>
      <c r="G1725">
        <v>60</v>
      </c>
      <c r="H1725">
        <v>30</v>
      </c>
    </row>
    <row r="1726" spans="1:8" x14ac:dyDescent="0.25">
      <c r="A1726" t="s">
        <v>2390</v>
      </c>
      <c r="B1726" t="s">
        <v>141</v>
      </c>
      <c r="C1726" t="s">
        <v>100</v>
      </c>
      <c r="D1726" t="s">
        <v>237</v>
      </c>
      <c r="E1726">
        <v>740</v>
      </c>
      <c r="F1726">
        <v>8</v>
      </c>
      <c r="G1726">
        <v>62</v>
      </c>
      <c r="H1726">
        <v>30</v>
      </c>
    </row>
    <row r="1727" spans="1:8" x14ac:dyDescent="0.25">
      <c r="A1727" t="s">
        <v>2391</v>
      </c>
      <c r="B1727" t="s">
        <v>141</v>
      </c>
      <c r="C1727" t="s">
        <v>100</v>
      </c>
      <c r="D1727" t="s">
        <v>238</v>
      </c>
      <c r="E1727">
        <v>829</v>
      </c>
      <c r="F1727">
        <v>9</v>
      </c>
      <c r="G1727">
        <v>57</v>
      </c>
      <c r="H1727">
        <v>34</v>
      </c>
    </row>
    <row r="1728" spans="1:8" x14ac:dyDescent="0.25">
      <c r="A1728" t="s">
        <v>2392</v>
      </c>
      <c r="B1728" t="s">
        <v>141</v>
      </c>
      <c r="C1728" t="s">
        <v>100</v>
      </c>
      <c r="D1728" t="s">
        <v>239</v>
      </c>
      <c r="E1728">
        <v>753</v>
      </c>
      <c r="F1728">
        <v>6</v>
      </c>
      <c r="G1728">
        <v>46</v>
      </c>
      <c r="H1728">
        <v>48</v>
      </c>
    </row>
    <row r="1729" spans="1:8" x14ac:dyDescent="0.25">
      <c r="A1729" t="s">
        <v>2393</v>
      </c>
      <c r="B1729" t="s">
        <v>141</v>
      </c>
      <c r="C1729" t="s">
        <v>100</v>
      </c>
      <c r="D1729" t="s">
        <v>47</v>
      </c>
      <c r="E1729">
        <v>727</v>
      </c>
      <c r="F1729">
        <v>8</v>
      </c>
      <c r="G1729">
        <v>51</v>
      </c>
      <c r="H1729">
        <v>41</v>
      </c>
    </row>
    <row r="1730" spans="1:8" x14ac:dyDescent="0.25">
      <c r="A1730" t="s">
        <v>2394</v>
      </c>
      <c r="B1730" t="s">
        <v>141</v>
      </c>
      <c r="C1730" t="s">
        <v>101</v>
      </c>
      <c r="D1730" t="s">
        <v>232</v>
      </c>
    </row>
    <row r="1731" spans="1:8" x14ac:dyDescent="0.25">
      <c r="A1731" t="s">
        <v>2395</v>
      </c>
      <c r="B1731" t="s">
        <v>141</v>
      </c>
      <c r="C1731" t="s">
        <v>101</v>
      </c>
      <c r="D1731" t="s">
        <v>233</v>
      </c>
    </row>
    <row r="1732" spans="1:8" x14ac:dyDescent="0.25">
      <c r="A1732" t="s">
        <v>2396</v>
      </c>
      <c r="B1732" t="s">
        <v>141</v>
      </c>
      <c r="C1732" t="s">
        <v>101</v>
      </c>
      <c r="D1732" t="s">
        <v>234</v>
      </c>
    </row>
    <row r="1733" spans="1:8" x14ac:dyDescent="0.25">
      <c r="A1733" t="s">
        <v>2397</v>
      </c>
      <c r="B1733" t="s">
        <v>141</v>
      </c>
      <c r="C1733" t="s">
        <v>101</v>
      </c>
      <c r="D1733" t="s">
        <v>235</v>
      </c>
    </row>
    <row r="1734" spans="1:8" x14ac:dyDescent="0.25">
      <c r="A1734" t="s">
        <v>2398</v>
      </c>
      <c r="B1734" t="s">
        <v>141</v>
      </c>
      <c r="C1734" t="s">
        <v>101</v>
      </c>
      <c r="D1734" t="s">
        <v>236</v>
      </c>
    </row>
    <row r="1735" spans="1:8" x14ac:dyDescent="0.25">
      <c r="A1735" t="s">
        <v>2399</v>
      </c>
      <c r="B1735" t="s">
        <v>141</v>
      </c>
      <c r="C1735" t="s">
        <v>101</v>
      </c>
      <c r="D1735" t="s">
        <v>237</v>
      </c>
    </row>
    <row r="1736" spans="1:8" x14ac:dyDescent="0.25">
      <c r="A1736" t="s">
        <v>2400</v>
      </c>
      <c r="B1736" t="s">
        <v>141</v>
      </c>
      <c r="C1736" t="s">
        <v>101</v>
      </c>
      <c r="D1736" t="s">
        <v>238</v>
      </c>
    </row>
    <row r="1737" spans="1:8" x14ac:dyDescent="0.25">
      <c r="A1737" t="s">
        <v>2401</v>
      </c>
      <c r="B1737" t="s">
        <v>141</v>
      </c>
      <c r="C1737" t="s">
        <v>101</v>
      </c>
      <c r="D1737" t="s">
        <v>239</v>
      </c>
    </row>
    <row r="1738" spans="1:8" x14ac:dyDescent="0.25">
      <c r="A1738" t="s">
        <v>2402</v>
      </c>
      <c r="B1738" t="s">
        <v>141</v>
      </c>
      <c r="C1738" t="s">
        <v>101</v>
      </c>
      <c r="D1738" t="s">
        <v>47</v>
      </c>
    </row>
    <row r="1739" spans="1:8" x14ac:dyDescent="0.25">
      <c r="A1739" t="s">
        <v>2403</v>
      </c>
      <c r="B1739" t="s">
        <v>141</v>
      </c>
      <c r="C1739" t="s">
        <v>102</v>
      </c>
      <c r="D1739" t="s">
        <v>232</v>
      </c>
      <c r="E1739">
        <v>732</v>
      </c>
      <c r="F1739">
        <v>24</v>
      </c>
      <c r="G1739">
        <v>40</v>
      </c>
      <c r="H1739">
        <v>36</v>
      </c>
    </row>
    <row r="1740" spans="1:8" x14ac:dyDescent="0.25">
      <c r="A1740" t="s">
        <v>2404</v>
      </c>
      <c r="B1740" t="s">
        <v>141</v>
      </c>
      <c r="C1740" t="s">
        <v>102</v>
      </c>
      <c r="D1740" t="s">
        <v>233</v>
      </c>
      <c r="E1740">
        <v>628</v>
      </c>
      <c r="F1740">
        <v>26</v>
      </c>
      <c r="G1740">
        <v>42</v>
      </c>
      <c r="H1740">
        <v>32</v>
      </c>
    </row>
    <row r="1741" spans="1:8" x14ac:dyDescent="0.25">
      <c r="A1741" t="s">
        <v>2405</v>
      </c>
      <c r="B1741" t="s">
        <v>141</v>
      </c>
      <c r="C1741" t="s">
        <v>102</v>
      </c>
      <c r="D1741" t="s">
        <v>234</v>
      </c>
      <c r="E1741">
        <v>629</v>
      </c>
      <c r="F1741">
        <v>27</v>
      </c>
      <c r="G1741">
        <v>38</v>
      </c>
      <c r="H1741">
        <v>35</v>
      </c>
    </row>
    <row r="1742" spans="1:8" x14ac:dyDescent="0.25">
      <c r="A1742" t="s">
        <v>2406</v>
      </c>
      <c r="B1742" t="s">
        <v>141</v>
      </c>
      <c r="C1742" t="s">
        <v>102</v>
      </c>
      <c r="D1742" t="s">
        <v>235</v>
      </c>
      <c r="E1742">
        <v>612</v>
      </c>
      <c r="F1742">
        <v>28</v>
      </c>
      <c r="G1742">
        <v>39</v>
      </c>
      <c r="H1742">
        <v>33</v>
      </c>
    </row>
    <row r="1743" spans="1:8" x14ac:dyDescent="0.25">
      <c r="A1743" t="s">
        <v>2407</v>
      </c>
      <c r="B1743" t="s">
        <v>141</v>
      </c>
      <c r="C1743" t="s">
        <v>102</v>
      </c>
      <c r="D1743" t="s">
        <v>236</v>
      </c>
      <c r="E1743">
        <v>537</v>
      </c>
      <c r="F1743">
        <v>31</v>
      </c>
      <c r="G1743">
        <v>41</v>
      </c>
      <c r="H1743">
        <v>28</v>
      </c>
    </row>
    <row r="1744" spans="1:8" x14ac:dyDescent="0.25">
      <c r="A1744" t="s">
        <v>2408</v>
      </c>
      <c r="B1744" t="s">
        <v>141</v>
      </c>
      <c r="C1744" t="s">
        <v>102</v>
      </c>
      <c r="D1744" t="s">
        <v>237</v>
      </c>
      <c r="E1744">
        <v>593</v>
      </c>
      <c r="F1744">
        <v>27</v>
      </c>
      <c r="G1744">
        <v>42</v>
      </c>
      <c r="H1744">
        <v>31</v>
      </c>
    </row>
    <row r="1745" spans="1:8" x14ac:dyDescent="0.25">
      <c r="A1745" t="s">
        <v>2409</v>
      </c>
      <c r="B1745" t="s">
        <v>141</v>
      </c>
      <c r="C1745" t="s">
        <v>102</v>
      </c>
      <c r="D1745" t="s">
        <v>238</v>
      </c>
      <c r="E1745">
        <v>645</v>
      </c>
      <c r="F1745">
        <v>26</v>
      </c>
      <c r="G1745">
        <v>43</v>
      </c>
      <c r="H1745">
        <v>31</v>
      </c>
    </row>
    <row r="1746" spans="1:8" x14ac:dyDescent="0.25">
      <c r="A1746" t="s">
        <v>2410</v>
      </c>
      <c r="B1746" t="s">
        <v>141</v>
      </c>
      <c r="C1746" t="s">
        <v>102</v>
      </c>
      <c r="D1746" t="s">
        <v>239</v>
      </c>
      <c r="E1746">
        <v>557</v>
      </c>
      <c r="F1746">
        <v>27</v>
      </c>
      <c r="G1746">
        <v>35</v>
      </c>
      <c r="H1746">
        <v>38</v>
      </c>
    </row>
    <row r="1747" spans="1:8" x14ac:dyDescent="0.25">
      <c r="A1747" t="s">
        <v>2411</v>
      </c>
      <c r="B1747" t="s">
        <v>141</v>
      </c>
      <c r="C1747" t="s">
        <v>102</v>
      </c>
      <c r="D1747" t="s">
        <v>47</v>
      </c>
      <c r="E1747">
        <v>565</v>
      </c>
      <c r="F1747">
        <v>28</v>
      </c>
      <c r="G1747">
        <v>39</v>
      </c>
      <c r="H1747">
        <v>33</v>
      </c>
    </row>
    <row r="1748" spans="1:8" x14ac:dyDescent="0.25">
      <c r="A1748" t="s">
        <v>2412</v>
      </c>
      <c r="B1748" t="s">
        <v>141</v>
      </c>
      <c r="C1748" t="s">
        <v>31</v>
      </c>
      <c r="D1748" t="s">
        <v>232</v>
      </c>
      <c r="E1748">
        <v>939</v>
      </c>
      <c r="F1748">
        <v>22</v>
      </c>
      <c r="G1748">
        <v>52</v>
      </c>
      <c r="H1748">
        <v>26</v>
      </c>
    </row>
    <row r="1749" spans="1:8" x14ac:dyDescent="0.25">
      <c r="A1749" t="s">
        <v>2413</v>
      </c>
      <c r="B1749" t="s">
        <v>141</v>
      </c>
      <c r="C1749" t="s">
        <v>31</v>
      </c>
      <c r="D1749" t="s">
        <v>233</v>
      </c>
      <c r="E1749">
        <v>825</v>
      </c>
      <c r="F1749">
        <v>21</v>
      </c>
      <c r="G1749">
        <v>55</v>
      </c>
      <c r="H1749">
        <v>24</v>
      </c>
    </row>
    <row r="1750" spans="1:8" x14ac:dyDescent="0.25">
      <c r="A1750" t="s">
        <v>2414</v>
      </c>
      <c r="B1750" t="s">
        <v>141</v>
      </c>
      <c r="C1750" t="s">
        <v>31</v>
      </c>
      <c r="D1750" t="s">
        <v>234</v>
      </c>
      <c r="E1750">
        <v>826</v>
      </c>
      <c r="F1750">
        <v>20</v>
      </c>
      <c r="G1750">
        <v>57</v>
      </c>
      <c r="H1750">
        <v>23</v>
      </c>
    </row>
    <row r="1751" spans="1:8" x14ac:dyDescent="0.25">
      <c r="A1751" t="s">
        <v>2415</v>
      </c>
      <c r="B1751" t="s">
        <v>141</v>
      </c>
      <c r="C1751" t="s">
        <v>31</v>
      </c>
      <c r="D1751" t="s">
        <v>235</v>
      </c>
      <c r="E1751">
        <v>776</v>
      </c>
      <c r="F1751">
        <v>21</v>
      </c>
      <c r="G1751">
        <v>55</v>
      </c>
      <c r="H1751">
        <v>24</v>
      </c>
    </row>
    <row r="1752" spans="1:8" x14ac:dyDescent="0.25">
      <c r="A1752" t="s">
        <v>2416</v>
      </c>
      <c r="B1752" t="s">
        <v>141</v>
      </c>
      <c r="C1752" t="s">
        <v>31</v>
      </c>
      <c r="D1752" t="s">
        <v>236</v>
      </c>
      <c r="E1752">
        <v>765</v>
      </c>
      <c r="F1752">
        <v>21</v>
      </c>
      <c r="G1752">
        <v>53</v>
      </c>
      <c r="H1752">
        <v>26</v>
      </c>
    </row>
    <row r="1753" spans="1:8" x14ac:dyDescent="0.25">
      <c r="A1753" t="s">
        <v>2417</v>
      </c>
      <c r="B1753" t="s">
        <v>141</v>
      </c>
      <c r="C1753" t="s">
        <v>31</v>
      </c>
      <c r="D1753" t="s">
        <v>237</v>
      </c>
      <c r="E1753">
        <v>747</v>
      </c>
      <c r="F1753">
        <v>21</v>
      </c>
      <c r="G1753">
        <v>54</v>
      </c>
      <c r="H1753">
        <v>25</v>
      </c>
    </row>
    <row r="1754" spans="1:8" x14ac:dyDescent="0.25">
      <c r="A1754" t="s">
        <v>2418</v>
      </c>
      <c r="B1754" t="s">
        <v>141</v>
      </c>
      <c r="C1754" t="s">
        <v>31</v>
      </c>
      <c r="D1754" t="s">
        <v>238</v>
      </c>
      <c r="E1754">
        <v>842</v>
      </c>
      <c r="F1754">
        <v>18</v>
      </c>
      <c r="G1754">
        <v>57</v>
      </c>
      <c r="H1754">
        <v>25</v>
      </c>
    </row>
    <row r="1755" spans="1:8" x14ac:dyDescent="0.25">
      <c r="A1755" t="s">
        <v>2419</v>
      </c>
      <c r="B1755" t="s">
        <v>141</v>
      </c>
      <c r="C1755" t="s">
        <v>31</v>
      </c>
      <c r="D1755" t="s">
        <v>239</v>
      </c>
      <c r="E1755">
        <v>776</v>
      </c>
      <c r="F1755">
        <v>17</v>
      </c>
      <c r="G1755">
        <v>51</v>
      </c>
      <c r="H1755">
        <v>32</v>
      </c>
    </row>
    <row r="1756" spans="1:8" x14ac:dyDescent="0.25">
      <c r="A1756" t="s">
        <v>2420</v>
      </c>
      <c r="B1756" t="s">
        <v>141</v>
      </c>
      <c r="C1756" t="s">
        <v>31</v>
      </c>
      <c r="D1756" t="s">
        <v>47</v>
      </c>
      <c r="E1756">
        <v>732</v>
      </c>
      <c r="F1756">
        <v>19</v>
      </c>
      <c r="G1756">
        <v>56</v>
      </c>
      <c r="H1756">
        <v>25</v>
      </c>
    </row>
    <row r="1757" spans="1:8" x14ac:dyDescent="0.25">
      <c r="A1757" t="s">
        <v>2421</v>
      </c>
      <c r="B1757" t="s">
        <v>156</v>
      </c>
      <c r="C1757" t="s">
        <v>103</v>
      </c>
      <c r="D1757" t="s">
        <v>232</v>
      </c>
      <c r="E1757">
        <v>139</v>
      </c>
      <c r="F1757">
        <v>7</v>
      </c>
      <c r="G1757">
        <v>69</v>
      </c>
      <c r="H1757">
        <v>24</v>
      </c>
    </row>
    <row r="1758" spans="1:8" x14ac:dyDescent="0.25">
      <c r="A1758" t="s">
        <v>2422</v>
      </c>
      <c r="B1758" t="s">
        <v>156</v>
      </c>
      <c r="C1758" t="s">
        <v>103</v>
      </c>
      <c r="D1758" t="s">
        <v>233</v>
      </c>
      <c r="E1758">
        <v>124</v>
      </c>
      <c r="F1758">
        <v>13</v>
      </c>
      <c r="G1758">
        <v>70</v>
      </c>
      <c r="H1758">
        <v>17</v>
      </c>
    </row>
    <row r="1759" spans="1:8" x14ac:dyDescent="0.25">
      <c r="A1759" t="s">
        <v>2423</v>
      </c>
      <c r="B1759" t="s">
        <v>156</v>
      </c>
      <c r="C1759" t="s">
        <v>103</v>
      </c>
      <c r="D1759" t="s">
        <v>234</v>
      </c>
      <c r="E1759">
        <v>122</v>
      </c>
      <c r="F1759">
        <v>9</v>
      </c>
      <c r="G1759">
        <v>65</v>
      </c>
      <c r="H1759">
        <v>26</v>
      </c>
    </row>
    <row r="1760" spans="1:8" x14ac:dyDescent="0.25">
      <c r="A1760" t="s">
        <v>2424</v>
      </c>
      <c r="B1760" t="s">
        <v>156</v>
      </c>
      <c r="C1760" t="s">
        <v>103</v>
      </c>
      <c r="D1760" t="s">
        <v>235</v>
      </c>
      <c r="E1760">
        <v>143</v>
      </c>
      <c r="F1760">
        <v>12</v>
      </c>
      <c r="G1760">
        <v>67</v>
      </c>
      <c r="H1760">
        <v>21</v>
      </c>
    </row>
    <row r="1761" spans="1:8" x14ac:dyDescent="0.25">
      <c r="A1761" t="s">
        <v>2425</v>
      </c>
      <c r="B1761" t="s">
        <v>156</v>
      </c>
      <c r="C1761" t="s">
        <v>103</v>
      </c>
      <c r="D1761" t="s">
        <v>236</v>
      </c>
      <c r="E1761">
        <v>135</v>
      </c>
      <c r="F1761">
        <v>13</v>
      </c>
      <c r="G1761">
        <v>69</v>
      </c>
      <c r="H1761">
        <v>18</v>
      </c>
    </row>
    <row r="1762" spans="1:8" x14ac:dyDescent="0.25">
      <c r="A1762" t="s">
        <v>2426</v>
      </c>
      <c r="B1762" t="s">
        <v>156</v>
      </c>
      <c r="C1762" t="s">
        <v>103</v>
      </c>
      <c r="D1762" t="s">
        <v>237</v>
      </c>
      <c r="E1762">
        <v>143</v>
      </c>
      <c r="F1762">
        <v>14</v>
      </c>
      <c r="G1762">
        <v>72</v>
      </c>
      <c r="H1762">
        <v>14</v>
      </c>
    </row>
    <row r="1763" spans="1:8" x14ac:dyDescent="0.25">
      <c r="A1763" t="s">
        <v>2427</v>
      </c>
      <c r="B1763" t="s">
        <v>156</v>
      </c>
      <c r="C1763" t="s">
        <v>103</v>
      </c>
      <c r="D1763" t="s">
        <v>238</v>
      </c>
      <c r="E1763">
        <v>162</v>
      </c>
      <c r="F1763">
        <v>10</v>
      </c>
      <c r="G1763">
        <v>70</v>
      </c>
      <c r="H1763">
        <v>20</v>
      </c>
    </row>
    <row r="1764" spans="1:8" x14ac:dyDescent="0.25">
      <c r="A1764" t="s">
        <v>2428</v>
      </c>
      <c r="B1764" t="s">
        <v>156</v>
      </c>
      <c r="C1764" t="s">
        <v>103</v>
      </c>
      <c r="D1764" t="s">
        <v>239</v>
      </c>
      <c r="E1764">
        <v>131</v>
      </c>
      <c r="F1764">
        <v>12</v>
      </c>
      <c r="G1764">
        <v>73</v>
      </c>
      <c r="H1764">
        <v>15</v>
      </c>
    </row>
    <row r="1765" spans="1:8" x14ac:dyDescent="0.25">
      <c r="A1765" t="s">
        <v>2429</v>
      </c>
      <c r="B1765" t="s">
        <v>156</v>
      </c>
      <c r="C1765" t="s">
        <v>103</v>
      </c>
      <c r="D1765" t="s">
        <v>47</v>
      </c>
      <c r="E1765">
        <v>124</v>
      </c>
      <c r="F1765">
        <v>9</v>
      </c>
      <c r="G1765">
        <v>71</v>
      </c>
      <c r="H1765">
        <v>20</v>
      </c>
    </row>
    <row r="1766" spans="1:8" x14ac:dyDescent="0.25">
      <c r="A1766" t="s">
        <v>2430</v>
      </c>
      <c r="B1766" t="s">
        <v>156</v>
      </c>
      <c r="C1766" t="s">
        <v>100</v>
      </c>
      <c r="D1766" t="s">
        <v>232</v>
      </c>
      <c r="E1766">
        <v>141</v>
      </c>
      <c r="F1766">
        <v>6</v>
      </c>
      <c r="G1766">
        <v>44</v>
      </c>
      <c r="H1766">
        <v>50</v>
      </c>
    </row>
    <row r="1767" spans="1:8" x14ac:dyDescent="0.25">
      <c r="A1767" t="s">
        <v>2431</v>
      </c>
      <c r="B1767" t="s">
        <v>156</v>
      </c>
      <c r="C1767" t="s">
        <v>100</v>
      </c>
      <c r="D1767" t="s">
        <v>233</v>
      </c>
      <c r="E1767">
        <v>122</v>
      </c>
      <c r="F1767">
        <v>16</v>
      </c>
      <c r="G1767">
        <v>55</v>
      </c>
      <c r="H1767">
        <v>29</v>
      </c>
    </row>
    <row r="1768" spans="1:8" x14ac:dyDescent="0.25">
      <c r="A1768" t="s">
        <v>2432</v>
      </c>
      <c r="B1768" t="s">
        <v>156</v>
      </c>
      <c r="C1768" t="s">
        <v>100</v>
      </c>
      <c r="D1768" t="s">
        <v>234</v>
      </c>
      <c r="E1768">
        <v>120</v>
      </c>
      <c r="F1768">
        <v>10</v>
      </c>
      <c r="G1768">
        <v>57</v>
      </c>
      <c r="H1768">
        <v>33</v>
      </c>
    </row>
    <row r="1769" spans="1:8" x14ac:dyDescent="0.25">
      <c r="A1769" t="s">
        <v>2433</v>
      </c>
      <c r="B1769" t="s">
        <v>156</v>
      </c>
      <c r="C1769" t="s">
        <v>100</v>
      </c>
      <c r="D1769" t="s">
        <v>235</v>
      </c>
      <c r="E1769">
        <v>147</v>
      </c>
      <c r="F1769">
        <v>17</v>
      </c>
      <c r="G1769">
        <v>53</v>
      </c>
      <c r="H1769">
        <v>30</v>
      </c>
    </row>
    <row r="1770" spans="1:8" x14ac:dyDescent="0.25">
      <c r="A1770" t="s">
        <v>2434</v>
      </c>
      <c r="B1770" t="s">
        <v>156</v>
      </c>
      <c r="C1770" t="s">
        <v>100</v>
      </c>
      <c r="D1770" t="s">
        <v>236</v>
      </c>
      <c r="E1770">
        <v>139</v>
      </c>
      <c r="F1770">
        <v>17</v>
      </c>
      <c r="G1770">
        <v>56</v>
      </c>
      <c r="H1770">
        <v>27</v>
      </c>
    </row>
    <row r="1771" spans="1:8" x14ac:dyDescent="0.25">
      <c r="A1771" t="s">
        <v>2435</v>
      </c>
      <c r="B1771" t="s">
        <v>156</v>
      </c>
      <c r="C1771" t="s">
        <v>100</v>
      </c>
      <c r="D1771" t="s">
        <v>237</v>
      </c>
      <c r="E1771">
        <v>140</v>
      </c>
      <c r="F1771">
        <v>18</v>
      </c>
      <c r="G1771">
        <v>58</v>
      </c>
      <c r="H1771">
        <v>24</v>
      </c>
    </row>
    <row r="1772" spans="1:8" x14ac:dyDescent="0.25">
      <c r="A1772" t="s">
        <v>2436</v>
      </c>
      <c r="B1772" t="s">
        <v>156</v>
      </c>
      <c r="C1772" t="s">
        <v>100</v>
      </c>
      <c r="D1772" t="s">
        <v>238</v>
      </c>
      <c r="E1772">
        <v>165</v>
      </c>
      <c r="F1772">
        <v>15</v>
      </c>
      <c r="G1772">
        <v>57</v>
      </c>
      <c r="H1772">
        <v>28</v>
      </c>
    </row>
    <row r="1773" spans="1:8" x14ac:dyDescent="0.25">
      <c r="A1773" t="s">
        <v>2437</v>
      </c>
      <c r="B1773" t="s">
        <v>156</v>
      </c>
      <c r="C1773" t="s">
        <v>100</v>
      </c>
      <c r="D1773" t="s">
        <v>239</v>
      </c>
      <c r="E1773">
        <v>133</v>
      </c>
      <c r="F1773">
        <v>10</v>
      </c>
      <c r="G1773">
        <v>59</v>
      </c>
      <c r="H1773">
        <v>31</v>
      </c>
    </row>
    <row r="1774" spans="1:8" x14ac:dyDescent="0.25">
      <c r="A1774" t="s">
        <v>2438</v>
      </c>
      <c r="B1774" t="s">
        <v>156</v>
      </c>
      <c r="C1774" t="s">
        <v>100</v>
      </c>
      <c r="D1774" t="s">
        <v>47</v>
      </c>
      <c r="E1774">
        <v>125</v>
      </c>
      <c r="F1774">
        <v>6</v>
      </c>
      <c r="G1774">
        <v>68</v>
      </c>
      <c r="H1774">
        <v>26</v>
      </c>
    </row>
    <row r="1775" spans="1:8" x14ac:dyDescent="0.25">
      <c r="A1775" t="s">
        <v>2439</v>
      </c>
      <c r="B1775" t="s">
        <v>156</v>
      </c>
      <c r="C1775" t="s">
        <v>101</v>
      </c>
      <c r="D1775" t="s">
        <v>232</v>
      </c>
    </row>
    <row r="1776" spans="1:8" x14ac:dyDescent="0.25">
      <c r="A1776" t="s">
        <v>2440</v>
      </c>
      <c r="B1776" t="s">
        <v>156</v>
      </c>
      <c r="C1776" t="s">
        <v>101</v>
      </c>
      <c r="D1776" t="s">
        <v>233</v>
      </c>
    </row>
    <row r="1777" spans="1:8" x14ac:dyDescent="0.25">
      <c r="A1777" t="s">
        <v>2441</v>
      </c>
      <c r="B1777" t="s">
        <v>156</v>
      </c>
      <c r="C1777" t="s">
        <v>101</v>
      </c>
      <c r="D1777" t="s">
        <v>234</v>
      </c>
    </row>
    <row r="1778" spans="1:8" x14ac:dyDescent="0.25">
      <c r="A1778" t="s">
        <v>2442</v>
      </c>
      <c r="B1778" t="s">
        <v>156</v>
      </c>
      <c r="C1778" t="s">
        <v>101</v>
      </c>
      <c r="D1778" t="s">
        <v>235</v>
      </c>
    </row>
    <row r="1779" spans="1:8" x14ac:dyDescent="0.25">
      <c r="A1779" t="s">
        <v>2443</v>
      </c>
      <c r="B1779" t="s">
        <v>156</v>
      </c>
      <c r="C1779" t="s">
        <v>101</v>
      </c>
      <c r="D1779" t="s">
        <v>236</v>
      </c>
    </row>
    <row r="1780" spans="1:8" x14ac:dyDescent="0.25">
      <c r="A1780" t="s">
        <v>2444</v>
      </c>
      <c r="B1780" t="s">
        <v>156</v>
      </c>
      <c r="C1780" t="s">
        <v>101</v>
      </c>
      <c r="D1780" t="s">
        <v>237</v>
      </c>
    </row>
    <row r="1781" spans="1:8" x14ac:dyDescent="0.25">
      <c r="A1781" t="s">
        <v>2445</v>
      </c>
      <c r="B1781" t="s">
        <v>156</v>
      </c>
      <c r="C1781" t="s">
        <v>101</v>
      </c>
      <c r="D1781" t="s">
        <v>238</v>
      </c>
    </row>
    <row r="1782" spans="1:8" x14ac:dyDescent="0.25">
      <c r="A1782" t="s">
        <v>2446</v>
      </c>
      <c r="B1782" t="s">
        <v>156</v>
      </c>
      <c r="C1782" t="s">
        <v>101</v>
      </c>
      <c r="D1782" t="s">
        <v>239</v>
      </c>
    </row>
    <row r="1783" spans="1:8" x14ac:dyDescent="0.25">
      <c r="A1783" t="s">
        <v>2447</v>
      </c>
      <c r="B1783" t="s">
        <v>156</v>
      </c>
      <c r="C1783" t="s">
        <v>101</v>
      </c>
      <c r="D1783" t="s">
        <v>47</v>
      </c>
    </row>
    <row r="1784" spans="1:8" x14ac:dyDescent="0.25">
      <c r="A1784" t="s">
        <v>2448</v>
      </c>
      <c r="B1784" t="s">
        <v>156</v>
      </c>
      <c r="C1784" t="s">
        <v>102</v>
      </c>
      <c r="D1784" t="s">
        <v>232</v>
      </c>
      <c r="E1784">
        <v>121</v>
      </c>
      <c r="F1784">
        <v>22</v>
      </c>
      <c r="G1784">
        <v>37</v>
      </c>
      <c r="H1784">
        <v>41</v>
      </c>
    </row>
    <row r="1785" spans="1:8" x14ac:dyDescent="0.25">
      <c r="A1785" t="s">
        <v>2449</v>
      </c>
      <c r="B1785" t="s">
        <v>156</v>
      </c>
      <c r="C1785" t="s">
        <v>102</v>
      </c>
      <c r="D1785" t="s">
        <v>233</v>
      </c>
      <c r="E1785">
        <v>107</v>
      </c>
      <c r="F1785">
        <v>27</v>
      </c>
      <c r="G1785">
        <v>40</v>
      </c>
      <c r="H1785">
        <v>33</v>
      </c>
    </row>
    <row r="1786" spans="1:8" x14ac:dyDescent="0.25">
      <c r="A1786" t="s">
        <v>2450</v>
      </c>
      <c r="B1786" t="s">
        <v>156</v>
      </c>
      <c r="C1786" t="s">
        <v>102</v>
      </c>
      <c r="D1786" t="s">
        <v>234</v>
      </c>
      <c r="E1786">
        <v>114</v>
      </c>
      <c r="F1786">
        <v>19</v>
      </c>
      <c r="G1786">
        <v>40</v>
      </c>
      <c r="H1786">
        <v>41</v>
      </c>
    </row>
    <row r="1787" spans="1:8" x14ac:dyDescent="0.25">
      <c r="A1787" t="s">
        <v>2451</v>
      </c>
      <c r="B1787" t="s">
        <v>156</v>
      </c>
      <c r="C1787" t="s">
        <v>102</v>
      </c>
      <c r="D1787" t="s">
        <v>235</v>
      </c>
      <c r="E1787">
        <v>127</v>
      </c>
      <c r="F1787">
        <v>22</v>
      </c>
      <c r="G1787">
        <v>38</v>
      </c>
      <c r="H1787">
        <v>40</v>
      </c>
    </row>
    <row r="1788" spans="1:8" x14ac:dyDescent="0.25">
      <c r="A1788" t="s">
        <v>2452</v>
      </c>
      <c r="B1788" t="s">
        <v>156</v>
      </c>
      <c r="C1788" t="s">
        <v>102</v>
      </c>
      <c r="D1788" t="s">
        <v>236</v>
      </c>
      <c r="E1788">
        <v>114</v>
      </c>
      <c r="F1788">
        <v>27</v>
      </c>
      <c r="G1788">
        <v>42</v>
      </c>
      <c r="H1788">
        <v>31</v>
      </c>
    </row>
    <row r="1789" spans="1:8" x14ac:dyDescent="0.25">
      <c r="A1789" t="s">
        <v>2453</v>
      </c>
      <c r="B1789" t="s">
        <v>156</v>
      </c>
      <c r="C1789" t="s">
        <v>102</v>
      </c>
      <c r="D1789" t="s">
        <v>237</v>
      </c>
      <c r="E1789">
        <v>128</v>
      </c>
      <c r="F1789">
        <v>21</v>
      </c>
      <c r="G1789">
        <v>52</v>
      </c>
      <c r="H1789">
        <v>27</v>
      </c>
    </row>
    <row r="1790" spans="1:8" x14ac:dyDescent="0.25">
      <c r="A1790" t="s">
        <v>2454</v>
      </c>
      <c r="B1790" t="s">
        <v>156</v>
      </c>
      <c r="C1790" t="s">
        <v>102</v>
      </c>
      <c r="D1790" t="s">
        <v>238</v>
      </c>
      <c r="E1790">
        <v>134</v>
      </c>
      <c r="F1790">
        <v>21</v>
      </c>
      <c r="G1790">
        <v>46</v>
      </c>
      <c r="H1790">
        <v>33</v>
      </c>
    </row>
    <row r="1791" spans="1:8" x14ac:dyDescent="0.25">
      <c r="A1791" t="s">
        <v>2455</v>
      </c>
      <c r="B1791" t="s">
        <v>156</v>
      </c>
      <c r="C1791" t="s">
        <v>102</v>
      </c>
      <c r="D1791" t="s">
        <v>239</v>
      </c>
      <c r="E1791">
        <v>118</v>
      </c>
      <c r="F1791">
        <v>23</v>
      </c>
      <c r="G1791">
        <v>40</v>
      </c>
      <c r="H1791">
        <v>37</v>
      </c>
    </row>
    <row r="1792" spans="1:8" x14ac:dyDescent="0.25">
      <c r="A1792" t="s">
        <v>2456</v>
      </c>
      <c r="B1792" t="s">
        <v>156</v>
      </c>
      <c r="C1792" t="s">
        <v>102</v>
      </c>
      <c r="D1792" t="s">
        <v>47</v>
      </c>
      <c r="E1792">
        <v>109</v>
      </c>
      <c r="F1792">
        <v>29</v>
      </c>
      <c r="G1792">
        <v>44</v>
      </c>
      <c r="H1792">
        <v>27</v>
      </c>
    </row>
    <row r="1793" spans="1:8" x14ac:dyDescent="0.25">
      <c r="A1793" t="s">
        <v>2457</v>
      </c>
      <c r="B1793" t="s">
        <v>156</v>
      </c>
      <c r="C1793" t="s">
        <v>31</v>
      </c>
      <c r="D1793" t="s">
        <v>232</v>
      </c>
      <c r="E1793">
        <v>145</v>
      </c>
      <c r="F1793">
        <v>25</v>
      </c>
      <c r="G1793">
        <v>56</v>
      </c>
      <c r="H1793">
        <v>19</v>
      </c>
    </row>
    <row r="1794" spans="1:8" x14ac:dyDescent="0.25">
      <c r="A1794" t="s">
        <v>2458</v>
      </c>
      <c r="B1794" t="s">
        <v>156</v>
      </c>
      <c r="C1794" t="s">
        <v>31</v>
      </c>
      <c r="D1794" t="s">
        <v>233</v>
      </c>
      <c r="E1794">
        <v>126</v>
      </c>
      <c r="F1794">
        <v>23</v>
      </c>
      <c r="G1794">
        <v>50</v>
      </c>
      <c r="H1794">
        <v>27</v>
      </c>
    </row>
    <row r="1795" spans="1:8" x14ac:dyDescent="0.25">
      <c r="A1795" t="s">
        <v>2459</v>
      </c>
      <c r="B1795" t="s">
        <v>156</v>
      </c>
      <c r="C1795" t="s">
        <v>31</v>
      </c>
      <c r="D1795" t="s">
        <v>234</v>
      </c>
      <c r="E1795">
        <v>121</v>
      </c>
      <c r="F1795">
        <v>24</v>
      </c>
      <c r="G1795">
        <v>50</v>
      </c>
      <c r="H1795">
        <v>26</v>
      </c>
    </row>
    <row r="1796" spans="1:8" x14ac:dyDescent="0.25">
      <c r="A1796" t="s">
        <v>2460</v>
      </c>
      <c r="B1796" t="s">
        <v>156</v>
      </c>
      <c r="C1796" t="s">
        <v>31</v>
      </c>
      <c r="D1796" t="s">
        <v>235</v>
      </c>
      <c r="E1796">
        <v>144</v>
      </c>
      <c r="F1796">
        <v>22</v>
      </c>
      <c r="G1796">
        <v>48</v>
      </c>
      <c r="H1796">
        <v>30</v>
      </c>
    </row>
    <row r="1797" spans="1:8" x14ac:dyDescent="0.25">
      <c r="A1797" t="s">
        <v>2461</v>
      </c>
      <c r="B1797" t="s">
        <v>156</v>
      </c>
      <c r="C1797" t="s">
        <v>31</v>
      </c>
      <c r="D1797" t="s">
        <v>236</v>
      </c>
      <c r="E1797">
        <v>137</v>
      </c>
      <c r="F1797">
        <v>20</v>
      </c>
      <c r="G1797">
        <v>55</v>
      </c>
      <c r="H1797">
        <v>25</v>
      </c>
    </row>
    <row r="1798" spans="1:8" x14ac:dyDescent="0.25">
      <c r="A1798" t="s">
        <v>2462</v>
      </c>
      <c r="B1798" t="s">
        <v>156</v>
      </c>
      <c r="C1798" t="s">
        <v>31</v>
      </c>
      <c r="D1798" t="s">
        <v>237</v>
      </c>
      <c r="E1798">
        <v>145</v>
      </c>
      <c r="F1798">
        <v>23</v>
      </c>
      <c r="G1798">
        <v>57</v>
      </c>
      <c r="H1798">
        <v>20</v>
      </c>
    </row>
    <row r="1799" spans="1:8" x14ac:dyDescent="0.25">
      <c r="A1799" t="s">
        <v>2463</v>
      </c>
      <c r="B1799" t="s">
        <v>156</v>
      </c>
      <c r="C1799" t="s">
        <v>31</v>
      </c>
      <c r="D1799" t="s">
        <v>238</v>
      </c>
      <c r="E1799">
        <v>166</v>
      </c>
      <c r="F1799">
        <v>17</v>
      </c>
      <c r="G1799">
        <v>58</v>
      </c>
      <c r="H1799">
        <v>25</v>
      </c>
    </row>
    <row r="1800" spans="1:8" x14ac:dyDescent="0.25">
      <c r="A1800" t="s">
        <v>2464</v>
      </c>
      <c r="B1800" t="s">
        <v>156</v>
      </c>
      <c r="C1800" t="s">
        <v>31</v>
      </c>
      <c r="D1800" t="s">
        <v>239</v>
      </c>
      <c r="E1800">
        <v>135</v>
      </c>
      <c r="F1800">
        <v>20</v>
      </c>
      <c r="G1800">
        <v>53</v>
      </c>
      <c r="H1800">
        <v>27</v>
      </c>
    </row>
    <row r="1801" spans="1:8" x14ac:dyDescent="0.25">
      <c r="A1801" t="s">
        <v>2465</v>
      </c>
      <c r="B1801" t="s">
        <v>156</v>
      </c>
      <c r="C1801" t="s">
        <v>31</v>
      </c>
      <c r="D1801" t="s">
        <v>47</v>
      </c>
      <c r="E1801">
        <v>126</v>
      </c>
      <c r="F1801">
        <v>18</v>
      </c>
      <c r="G1801">
        <v>61</v>
      </c>
      <c r="H1801">
        <v>21</v>
      </c>
    </row>
    <row r="1802" spans="1:8" x14ac:dyDescent="0.25">
      <c r="A1802" t="s">
        <v>2466</v>
      </c>
      <c r="B1802" t="s">
        <v>128</v>
      </c>
      <c r="C1802" t="s">
        <v>103</v>
      </c>
      <c r="D1802" t="s">
        <v>232</v>
      </c>
      <c r="E1802">
        <v>1130</v>
      </c>
      <c r="F1802">
        <v>16</v>
      </c>
      <c r="G1802">
        <v>60</v>
      </c>
      <c r="H1802">
        <v>24</v>
      </c>
    </row>
    <row r="1803" spans="1:8" x14ac:dyDescent="0.25">
      <c r="A1803" t="s">
        <v>2467</v>
      </c>
      <c r="B1803" t="s">
        <v>128</v>
      </c>
      <c r="C1803" t="s">
        <v>103</v>
      </c>
      <c r="D1803" t="s">
        <v>233</v>
      </c>
      <c r="E1803">
        <v>1030</v>
      </c>
      <c r="F1803">
        <v>14</v>
      </c>
      <c r="G1803">
        <v>60</v>
      </c>
      <c r="H1803">
        <v>26</v>
      </c>
    </row>
    <row r="1804" spans="1:8" x14ac:dyDescent="0.25">
      <c r="A1804" t="s">
        <v>2468</v>
      </c>
      <c r="B1804" t="s">
        <v>128</v>
      </c>
      <c r="C1804" t="s">
        <v>103</v>
      </c>
      <c r="D1804" t="s">
        <v>234</v>
      </c>
      <c r="E1804">
        <v>1030</v>
      </c>
      <c r="F1804">
        <v>14</v>
      </c>
      <c r="G1804">
        <v>55</v>
      </c>
      <c r="H1804">
        <v>31</v>
      </c>
    </row>
    <row r="1805" spans="1:8" x14ac:dyDescent="0.25">
      <c r="A1805" t="s">
        <v>2469</v>
      </c>
      <c r="B1805" t="s">
        <v>128</v>
      </c>
      <c r="C1805" t="s">
        <v>103</v>
      </c>
      <c r="D1805" t="s">
        <v>235</v>
      </c>
      <c r="E1805">
        <v>996</v>
      </c>
      <c r="F1805">
        <v>12</v>
      </c>
      <c r="G1805">
        <v>58</v>
      </c>
      <c r="H1805">
        <v>30</v>
      </c>
    </row>
    <row r="1806" spans="1:8" x14ac:dyDescent="0.25">
      <c r="A1806" t="s">
        <v>2470</v>
      </c>
      <c r="B1806" t="s">
        <v>128</v>
      </c>
      <c r="C1806" t="s">
        <v>103</v>
      </c>
      <c r="D1806" t="s">
        <v>236</v>
      </c>
      <c r="E1806">
        <v>966</v>
      </c>
      <c r="F1806">
        <v>11</v>
      </c>
      <c r="G1806">
        <v>58</v>
      </c>
      <c r="H1806">
        <v>31</v>
      </c>
    </row>
    <row r="1807" spans="1:8" x14ac:dyDescent="0.25">
      <c r="A1807" t="s">
        <v>2471</v>
      </c>
      <c r="B1807" t="s">
        <v>128</v>
      </c>
      <c r="C1807" t="s">
        <v>103</v>
      </c>
      <c r="D1807" t="s">
        <v>237</v>
      </c>
      <c r="E1807">
        <v>933</v>
      </c>
      <c r="F1807">
        <v>12</v>
      </c>
      <c r="G1807">
        <v>54</v>
      </c>
      <c r="H1807">
        <v>34</v>
      </c>
    </row>
    <row r="1808" spans="1:8" x14ac:dyDescent="0.25">
      <c r="A1808" t="s">
        <v>2472</v>
      </c>
      <c r="B1808" t="s">
        <v>128</v>
      </c>
      <c r="C1808" t="s">
        <v>103</v>
      </c>
      <c r="D1808" t="s">
        <v>238</v>
      </c>
      <c r="E1808">
        <v>1047</v>
      </c>
      <c r="F1808">
        <v>11</v>
      </c>
      <c r="G1808">
        <v>54</v>
      </c>
      <c r="H1808">
        <v>35</v>
      </c>
    </row>
    <row r="1809" spans="1:8" x14ac:dyDescent="0.25">
      <c r="A1809" t="s">
        <v>2473</v>
      </c>
      <c r="B1809" t="s">
        <v>128</v>
      </c>
      <c r="C1809" t="s">
        <v>103</v>
      </c>
      <c r="D1809" t="s">
        <v>239</v>
      </c>
      <c r="E1809">
        <v>899</v>
      </c>
      <c r="F1809">
        <v>12</v>
      </c>
      <c r="G1809">
        <v>53</v>
      </c>
      <c r="H1809">
        <v>35</v>
      </c>
    </row>
    <row r="1810" spans="1:8" x14ac:dyDescent="0.25">
      <c r="A1810" t="s">
        <v>2474</v>
      </c>
      <c r="B1810" t="s">
        <v>128</v>
      </c>
      <c r="C1810" t="s">
        <v>103</v>
      </c>
      <c r="D1810" t="s">
        <v>47</v>
      </c>
      <c r="E1810">
        <v>917</v>
      </c>
      <c r="F1810">
        <v>12</v>
      </c>
      <c r="G1810">
        <v>57</v>
      </c>
      <c r="H1810">
        <v>31</v>
      </c>
    </row>
    <row r="1811" spans="1:8" x14ac:dyDescent="0.25">
      <c r="A1811" t="s">
        <v>2475</v>
      </c>
      <c r="B1811" t="s">
        <v>128</v>
      </c>
      <c r="C1811" t="s">
        <v>100</v>
      </c>
      <c r="D1811" t="s">
        <v>232</v>
      </c>
      <c r="E1811">
        <v>1159</v>
      </c>
      <c r="F1811">
        <v>14</v>
      </c>
      <c r="G1811">
        <v>53</v>
      </c>
      <c r="H1811">
        <v>33</v>
      </c>
    </row>
    <row r="1812" spans="1:8" x14ac:dyDescent="0.25">
      <c r="A1812" t="s">
        <v>2476</v>
      </c>
      <c r="B1812" t="s">
        <v>128</v>
      </c>
      <c r="C1812" t="s">
        <v>100</v>
      </c>
      <c r="D1812" t="s">
        <v>233</v>
      </c>
      <c r="E1812">
        <v>1061</v>
      </c>
      <c r="F1812">
        <v>17</v>
      </c>
      <c r="G1812">
        <v>55</v>
      </c>
      <c r="H1812">
        <v>28</v>
      </c>
    </row>
    <row r="1813" spans="1:8" x14ac:dyDescent="0.25">
      <c r="A1813" t="s">
        <v>2477</v>
      </c>
      <c r="B1813" t="s">
        <v>128</v>
      </c>
      <c r="C1813" t="s">
        <v>100</v>
      </c>
      <c r="D1813" t="s">
        <v>234</v>
      </c>
      <c r="E1813">
        <v>1057</v>
      </c>
      <c r="F1813">
        <v>15</v>
      </c>
      <c r="G1813">
        <v>52</v>
      </c>
      <c r="H1813">
        <v>33</v>
      </c>
    </row>
    <row r="1814" spans="1:8" x14ac:dyDescent="0.25">
      <c r="A1814" t="s">
        <v>2478</v>
      </c>
      <c r="B1814" t="s">
        <v>128</v>
      </c>
      <c r="C1814" t="s">
        <v>100</v>
      </c>
      <c r="D1814" t="s">
        <v>235</v>
      </c>
      <c r="E1814">
        <v>1022</v>
      </c>
      <c r="F1814">
        <v>14</v>
      </c>
      <c r="G1814">
        <v>54</v>
      </c>
      <c r="H1814">
        <v>32</v>
      </c>
    </row>
    <row r="1815" spans="1:8" x14ac:dyDescent="0.25">
      <c r="A1815" t="s">
        <v>2479</v>
      </c>
      <c r="B1815" t="s">
        <v>128</v>
      </c>
      <c r="C1815" t="s">
        <v>100</v>
      </c>
      <c r="D1815" t="s">
        <v>236</v>
      </c>
      <c r="E1815">
        <v>1001</v>
      </c>
      <c r="F1815">
        <v>20</v>
      </c>
      <c r="G1815">
        <v>54</v>
      </c>
      <c r="H1815">
        <v>26</v>
      </c>
    </row>
    <row r="1816" spans="1:8" x14ac:dyDescent="0.25">
      <c r="A1816" t="s">
        <v>2480</v>
      </c>
      <c r="B1816" t="s">
        <v>128</v>
      </c>
      <c r="C1816" t="s">
        <v>100</v>
      </c>
      <c r="D1816" t="s">
        <v>237</v>
      </c>
      <c r="E1816">
        <v>959</v>
      </c>
      <c r="F1816">
        <v>20</v>
      </c>
      <c r="G1816">
        <v>54</v>
      </c>
      <c r="H1816">
        <v>26</v>
      </c>
    </row>
    <row r="1817" spans="1:8" x14ac:dyDescent="0.25">
      <c r="A1817" t="s">
        <v>2481</v>
      </c>
      <c r="B1817" t="s">
        <v>128</v>
      </c>
      <c r="C1817" t="s">
        <v>100</v>
      </c>
      <c r="D1817" t="s">
        <v>238</v>
      </c>
      <c r="E1817">
        <v>1078</v>
      </c>
      <c r="F1817">
        <v>21</v>
      </c>
      <c r="G1817">
        <v>55</v>
      </c>
      <c r="H1817">
        <v>24</v>
      </c>
    </row>
    <row r="1818" spans="1:8" x14ac:dyDescent="0.25">
      <c r="A1818" t="s">
        <v>2482</v>
      </c>
      <c r="B1818" t="s">
        <v>128</v>
      </c>
      <c r="C1818" t="s">
        <v>100</v>
      </c>
      <c r="D1818" t="s">
        <v>239</v>
      </c>
      <c r="E1818">
        <v>929</v>
      </c>
      <c r="F1818">
        <v>17</v>
      </c>
      <c r="G1818">
        <v>57</v>
      </c>
      <c r="H1818">
        <v>26</v>
      </c>
    </row>
    <row r="1819" spans="1:8" x14ac:dyDescent="0.25">
      <c r="A1819" t="s">
        <v>2483</v>
      </c>
      <c r="B1819" t="s">
        <v>128</v>
      </c>
      <c r="C1819" t="s">
        <v>100</v>
      </c>
      <c r="D1819" t="s">
        <v>47</v>
      </c>
      <c r="E1819">
        <v>945</v>
      </c>
      <c r="F1819">
        <v>25</v>
      </c>
      <c r="G1819">
        <v>56</v>
      </c>
      <c r="H1819">
        <v>19</v>
      </c>
    </row>
    <row r="1820" spans="1:8" x14ac:dyDescent="0.25">
      <c r="A1820" t="s">
        <v>2484</v>
      </c>
      <c r="B1820" t="s">
        <v>128</v>
      </c>
      <c r="C1820" t="s">
        <v>101</v>
      </c>
      <c r="D1820" t="s">
        <v>232</v>
      </c>
      <c r="E1820">
        <v>985</v>
      </c>
      <c r="F1820">
        <v>25</v>
      </c>
      <c r="G1820">
        <v>45</v>
      </c>
      <c r="H1820">
        <v>30</v>
      </c>
    </row>
    <row r="1821" spans="1:8" x14ac:dyDescent="0.25">
      <c r="A1821" t="s">
        <v>2485</v>
      </c>
      <c r="B1821" t="s">
        <v>128</v>
      </c>
      <c r="C1821" t="s">
        <v>101</v>
      </c>
      <c r="D1821" t="s">
        <v>233</v>
      </c>
      <c r="E1821">
        <v>880</v>
      </c>
      <c r="F1821">
        <v>22</v>
      </c>
      <c r="G1821">
        <v>50</v>
      </c>
      <c r="H1821">
        <v>28</v>
      </c>
    </row>
    <row r="1822" spans="1:8" x14ac:dyDescent="0.25">
      <c r="A1822" t="s">
        <v>2486</v>
      </c>
      <c r="B1822" t="s">
        <v>128</v>
      </c>
      <c r="C1822" t="s">
        <v>101</v>
      </c>
      <c r="D1822" t="s">
        <v>234</v>
      </c>
      <c r="E1822">
        <v>878</v>
      </c>
      <c r="F1822">
        <v>21</v>
      </c>
      <c r="G1822">
        <v>47</v>
      </c>
      <c r="H1822">
        <v>32</v>
      </c>
    </row>
    <row r="1823" spans="1:8" x14ac:dyDescent="0.25">
      <c r="A1823" t="s">
        <v>2487</v>
      </c>
      <c r="B1823" t="s">
        <v>128</v>
      </c>
      <c r="C1823" t="s">
        <v>101</v>
      </c>
      <c r="D1823" t="s">
        <v>235</v>
      </c>
      <c r="E1823">
        <v>839</v>
      </c>
      <c r="F1823">
        <v>22</v>
      </c>
      <c r="G1823">
        <v>48</v>
      </c>
      <c r="H1823">
        <v>30</v>
      </c>
    </row>
    <row r="1824" spans="1:8" x14ac:dyDescent="0.25">
      <c r="A1824" t="s">
        <v>2488</v>
      </c>
      <c r="B1824" t="s">
        <v>128</v>
      </c>
      <c r="C1824" t="s">
        <v>101</v>
      </c>
      <c r="D1824" t="s">
        <v>236</v>
      </c>
      <c r="E1824">
        <v>811</v>
      </c>
      <c r="F1824">
        <v>23</v>
      </c>
      <c r="G1824">
        <v>46</v>
      </c>
      <c r="H1824">
        <v>31</v>
      </c>
    </row>
    <row r="1825" spans="1:8" x14ac:dyDescent="0.25">
      <c r="A1825" t="s">
        <v>2489</v>
      </c>
      <c r="B1825" t="s">
        <v>128</v>
      </c>
      <c r="C1825" t="s">
        <v>101</v>
      </c>
      <c r="D1825" t="s">
        <v>237</v>
      </c>
      <c r="E1825">
        <v>780</v>
      </c>
      <c r="F1825">
        <v>22</v>
      </c>
      <c r="G1825">
        <v>48</v>
      </c>
      <c r="H1825">
        <v>30</v>
      </c>
    </row>
    <row r="1826" spans="1:8" x14ac:dyDescent="0.25">
      <c r="A1826" t="s">
        <v>2490</v>
      </c>
      <c r="B1826" t="s">
        <v>128</v>
      </c>
      <c r="C1826" t="s">
        <v>101</v>
      </c>
      <c r="D1826" t="s">
        <v>238</v>
      </c>
      <c r="E1826">
        <v>880</v>
      </c>
      <c r="F1826">
        <v>27</v>
      </c>
      <c r="G1826">
        <v>50</v>
      </c>
      <c r="H1826">
        <v>23</v>
      </c>
    </row>
    <row r="1827" spans="1:8" x14ac:dyDescent="0.25">
      <c r="A1827" t="s">
        <v>2491</v>
      </c>
      <c r="B1827" t="s">
        <v>128</v>
      </c>
      <c r="C1827" t="s">
        <v>101</v>
      </c>
      <c r="D1827" t="s">
        <v>239</v>
      </c>
      <c r="E1827">
        <v>765</v>
      </c>
      <c r="F1827">
        <v>23</v>
      </c>
      <c r="G1827">
        <v>49</v>
      </c>
      <c r="H1827">
        <v>28</v>
      </c>
    </row>
    <row r="1828" spans="1:8" x14ac:dyDescent="0.25">
      <c r="A1828" t="s">
        <v>2492</v>
      </c>
      <c r="B1828" t="s">
        <v>128</v>
      </c>
      <c r="C1828" t="s">
        <v>101</v>
      </c>
      <c r="D1828" t="s">
        <v>47</v>
      </c>
      <c r="E1828">
        <v>776</v>
      </c>
      <c r="F1828">
        <v>31</v>
      </c>
      <c r="G1828">
        <v>48</v>
      </c>
      <c r="H1828">
        <v>21</v>
      </c>
    </row>
    <row r="1829" spans="1:8" x14ac:dyDescent="0.25">
      <c r="A1829" t="s">
        <v>2493</v>
      </c>
      <c r="B1829" t="s">
        <v>128</v>
      </c>
      <c r="C1829" t="s">
        <v>102</v>
      </c>
      <c r="D1829" t="s">
        <v>232</v>
      </c>
      <c r="E1829">
        <v>1047</v>
      </c>
      <c r="F1829">
        <v>22</v>
      </c>
      <c r="G1829">
        <v>44</v>
      </c>
      <c r="H1829">
        <v>34</v>
      </c>
    </row>
    <row r="1830" spans="1:8" x14ac:dyDescent="0.25">
      <c r="A1830" t="s">
        <v>2494</v>
      </c>
      <c r="B1830" t="s">
        <v>128</v>
      </c>
      <c r="C1830" t="s">
        <v>102</v>
      </c>
      <c r="D1830" t="s">
        <v>233</v>
      </c>
      <c r="E1830">
        <v>943</v>
      </c>
      <c r="F1830">
        <v>23</v>
      </c>
      <c r="G1830">
        <v>42</v>
      </c>
      <c r="H1830">
        <v>35</v>
      </c>
    </row>
    <row r="1831" spans="1:8" x14ac:dyDescent="0.25">
      <c r="A1831" t="s">
        <v>2495</v>
      </c>
      <c r="B1831" t="s">
        <v>128</v>
      </c>
      <c r="C1831" t="s">
        <v>102</v>
      </c>
      <c r="D1831" t="s">
        <v>234</v>
      </c>
      <c r="E1831">
        <v>928</v>
      </c>
      <c r="F1831">
        <v>19</v>
      </c>
      <c r="G1831">
        <v>41</v>
      </c>
      <c r="H1831">
        <v>40</v>
      </c>
    </row>
    <row r="1832" spans="1:8" x14ac:dyDescent="0.25">
      <c r="A1832" t="s">
        <v>2496</v>
      </c>
      <c r="B1832" t="s">
        <v>128</v>
      </c>
      <c r="C1832" t="s">
        <v>102</v>
      </c>
      <c r="D1832" t="s">
        <v>235</v>
      </c>
      <c r="E1832">
        <v>880</v>
      </c>
      <c r="F1832">
        <v>19</v>
      </c>
      <c r="G1832">
        <v>40</v>
      </c>
      <c r="H1832">
        <v>41</v>
      </c>
    </row>
    <row r="1833" spans="1:8" x14ac:dyDescent="0.25">
      <c r="A1833" t="s">
        <v>2497</v>
      </c>
      <c r="B1833" t="s">
        <v>128</v>
      </c>
      <c r="C1833" t="s">
        <v>102</v>
      </c>
      <c r="D1833" t="s">
        <v>236</v>
      </c>
      <c r="E1833">
        <v>862</v>
      </c>
      <c r="F1833">
        <v>18</v>
      </c>
      <c r="G1833">
        <v>48</v>
      </c>
      <c r="H1833">
        <v>34</v>
      </c>
    </row>
    <row r="1834" spans="1:8" x14ac:dyDescent="0.25">
      <c r="A1834" t="s">
        <v>2498</v>
      </c>
      <c r="B1834" t="s">
        <v>128</v>
      </c>
      <c r="C1834" t="s">
        <v>102</v>
      </c>
      <c r="D1834" t="s">
        <v>237</v>
      </c>
      <c r="E1834">
        <v>834</v>
      </c>
      <c r="F1834">
        <v>18</v>
      </c>
      <c r="G1834">
        <v>43</v>
      </c>
      <c r="H1834">
        <v>39</v>
      </c>
    </row>
    <row r="1835" spans="1:8" x14ac:dyDescent="0.25">
      <c r="A1835" t="s">
        <v>2499</v>
      </c>
      <c r="B1835" t="s">
        <v>128</v>
      </c>
      <c r="C1835" t="s">
        <v>102</v>
      </c>
      <c r="D1835" t="s">
        <v>238</v>
      </c>
      <c r="E1835">
        <v>926</v>
      </c>
      <c r="F1835">
        <v>21</v>
      </c>
      <c r="G1835">
        <v>41</v>
      </c>
      <c r="H1835">
        <v>38</v>
      </c>
    </row>
    <row r="1836" spans="1:8" x14ac:dyDescent="0.25">
      <c r="A1836" t="s">
        <v>2500</v>
      </c>
      <c r="B1836" t="s">
        <v>128</v>
      </c>
      <c r="C1836" t="s">
        <v>102</v>
      </c>
      <c r="D1836" t="s">
        <v>239</v>
      </c>
      <c r="E1836">
        <v>796</v>
      </c>
      <c r="F1836">
        <v>20</v>
      </c>
      <c r="G1836">
        <v>45</v>
      </c>
      <c r="H1836">
        <v>35</v>
      </c>
    </row>
    <row r="1837" spans="1:8" x14ac:dyDescent="0.25">
      <c r="A1837" t="s">
        <v>2501</v>
      </c>
      <c r="B1837" t="s">
        <v>128</v>
      </c>
      <c r="C1837" t="s">
        <v>102</v>
      </c>
      <c r="D1837" t="s">
        <v>47</v>
      </c>
      <c r="E1837">
        <v>826</v>
      </c>
      <c r="F1837">
        <v>20</v>
      </c>
      <c r="G1837">
        <v>48</v>
      </c>
      <c r="H1837">
        <v>32</v>
      </c>
    </row>
    <row r="1838" spans="1:8" x14ac:dyDescent="0.25">
      <c r="A1838" t="s">
        <v>2502</v>
      </c>
      <c r="B1838" t="s">
        <v>128</v>
      </c>
      <c r="C1838" t="s">
        <v>31</v>
      </c>
      <c r="D1838" t="s">
        <v>232</v>
      </c>
      <c r="E1838">
        <v>1165</v>
      </c>
      <c r="F1838">
        <v>30</v>
      </c>
      <c r="G1838">
        <v>50</v>
      </c>
      <c r="H1838">
        <v>20</v>
      </c>
    </row>
    <row r="1839" spans="1:8" x14ac:dyDescent="0.25">
      <c r="A1839" t="s">
        <v>2503</v>
      </c>
      <c r="B1839" t="s">
        <v>128</v>
      </c>
      <c r="C1839" t="s">
        <v>31</v>
      </c>
      <c r="D1839" t="s">
        <v>233</v>
      </c>
      <c r="E1839">
        <v>1067</v>
      </c>
      <c r="F1839">
        <v>24</v>
      </c>
      <c r="G1839">
        <v>50</v>
      </c>
      <c r="H1839">
        <v>26</v>
      </c>
    </row>
    <row r="1840" spans="1:8" x14ac:dyDescent="0.25">
      <c r="A1840" t="s">
        <v>2504</v>
      </c>
      <c r="B1840" t="s">
        <v>128</v>
      </c>
      <c r="C1840" t="s">
        <v>31</v>
      </c>
      <c r="D1840" t="s">
        <v>234</v>
      </c>
      <c r="E1840">
        <v>1070</v>
      </c>
      <c r="F1840">
        <v>21</v>
      </c>
      <c r="G1840">
        <v>46</v>
      </c>
      <c r="H1840">
        <v>33</v>
      </c>
    </row>
    <row r="1841" spans="1:8" x14ac:dyDescent="0.25">
      <c r="A1841" t="s">
        <v>2505</v>
      </c>
      <c r="B1841" t="s">
        <v>128</v>
      </c>
      <c r="C1841" t="s">
        <v>31</v>
      </c>
      <c r="D1841" t="s">
        <v>235</v>
      </c>
      <c r="E1841">
        <v>1031</v>
      </c>
      <c r="F1841">
        <v>22</v>
      </c>
      <c r="G1841">
        <v>42</v>
      </c>
      <c r="H1841">
        <v>36</v>
      </c>
    </row>
    <row r="1842" spans="1:8" x14ac:dyDescent="0.25">
      <c r="A1842" t="s">
        <v>2506</v>
      </c>
      <c r="B1842" t="s">
        <v>128</v>
      </c>
      <c r="C1842" t="s">
        <v>31</v>
      </c>
      <c r="D1842" t="s">
        <v>236</v>
      </c>
      <c r="E1842">
        <v>1009</v>
      </c>
      <c r="F1842">
        <v>21</v>
      </c>
      <c r="G1842">
        <v>48</v>
      </c>
      <c r="H1842">
        <v>31</v>
      </c>
    </row>
    <row r="1843" spans="1:8" x14ac:dyDescent="0.25">
      <c r="A1843" t="s">
        <v>2507</v>
      </c>
      <c r="B1843" t="s">
        <v>128</v>
      </c>
      <c r="C1843" t="s">
        <v>31</v>
      </c>
      <c r="D1843" t="s">
        <v>237</v>
      </c>
      <c r="E1843">
        <v>972</v>
      </c>
      <c r="F1843">
        <v>19</v>
      </c>
      <c r="G1843">
        <v>48</v>
      </c>
      <c r="H1843">
        <v>33</v>
      </c>
    </row>
    <row r="1844" spans="1:8" x14ac:dyDescent="0.25">
      <c r="A1844" t="s">
        <v>2508</v>
      </c>
      <c r="B1844" t="s">
        <v>128</v>
      </c>
      <c r="C1844" t="s">
        <v>31</v>
      </c>
      <c r="D1844" t="s">
        <v>238</v>
      </c>
      <c r="E1844">
        <v>1092</v>
      </c>
      <c r="F1844">
        <v>20</v>
      </c>
      <c r="G1844">
        <v>48</v>
      </c>
      <c r="H1844">
        <v>32</v>
      </c>
    </row>
    <row r="1845" spans="1:8" x14ac:dyDescent="0.25">
      <c r="A1845" t="s">
        <v>2509</v>
      </c>
      <c r="B1845" t="s">
        <v>128</v>
      </c>
      <c r="C1845" t="s">
        <v>31</v>
      </c>
      <c r="D1845" t="s">
        <v>239</v>
      </c>
      <c r="E1845">
        <v>934</v>
      </c>
      <c r="F1845">
        <v>23</v>
      </c>
      <c r="G1845">
        <v>49</v>
      </c>
      <c r="H1845">
        <v>28</v>
      </c>
    </row>
    <row r="1846" spans="1:8" x14ac:dyDescent="0.25">
      <c r="A1846" t="s">
        <v>2510</v>
      </c>
      <c r="B1846" t="s">
        <v>128</v>
      </c>
      <c r="C1846" t="s">
        <v>31</v>
      </c>
      <c r="D1846" t="s">
        <v>47</v>
      </c>
      <c r="E1846">
        <v>956</v>
      </c>
      <c r="F1846">
        <v>25</v>
      </c>
      <c r="G1846">
        <v>48</v>
      </c>
      <c r="H1846">
        <v>27</v>
      </c>
    </row>
    <row r="1847" spans="1:8" x14ac:dyDescent="0.25">
      <c r="A1847" t="s">
        <v>2511</v>
      </c>
      <c r="B1847" t="s">
        <v>147</v>
      </c>
      <c r="C1847" t="s">
        <v>103</v>
      </c>
      <c r="D1847" t="s">
        <v>232</v>
      </c>
      <c r="E1847">
        <v>112</v>
      </c>
      <c r="F1847">
        <v>9</v>
      </c>
      <c r="G1847">
        <v>76</v>
      </c>
      <c r="H1847">
        <v>15</v>
      </c>
    </row>
    <row r="1848" spans="1:8" x14ac:dyDescent="0.25">
      <c r="A1848" t="s">
        <v>2512</v>
      </c>
      <c r="B1848" t="s">
        <v>147</v>
      </c>
      <c r="C1848" t="s">
        <v>103</v>
      </c>
      <c r="D1848" t="s">
        <v>233</v>
      </c>
      <c r="E1848">
        <v>78</v>
      </c>
      <c r="F1848">
        <v>2</v>
      </c>
      <c r="G1848">
        <v>77</v>
      </c>
      <c r="H1848">
        <v>21</v>
      </c>
    </row>
    <row r="1849" spans="1:8" x14ac:dyDescent="0.25">
      <c r="A1849" t="s">
        <v>2513</v>
      </c>
      <c r="B1849" t="s">
        <v>147</v>
      </c>
      <c r="C1849" t="s">
        <v>103</v>
      </c>
      <c r="D1849" t="s">
        <v>234</v>
      </c>
      <c r="E1849">
        <v>85</v>
      </c>
      <c r="F1849">
        <v>13</v>
      </c>
      <c r="G1849">
        <v>68</v>
      </c>
      <c r="H1849">
        <v>19</v>
      </c>
    </row>
    <row r="1850" spans="1:8" x14ac:dyDescent="0.25">
      <c r="A1850" t="s">
        <v>2514</v>
      </c>
      <c r="B1850" t="s">
        <v>147</v>
      </c>
      <c r="C1850" t="s">
        <v>103</v>
      </c>
      <c r="D1850" t="s">
        <v>235</v>
      </c>
      <c r="E1850">
        <v>86</v>
      </c>
      <c r="F1850">
        <v>6</v>
      </c>
      <c r="G1850">
        <v>72</v>
      </c>
      <c r="H1850">
        <v>22</v>
      </c>
    </row>
    <row r="1851" spans="1:8" x14ac:dyDescent="0.25">
      <c r="A1851" t="s">
        <v>2515</v>
      </c>
      <c r="B1851" t="s">
        <v>147</v>
      </c>
      <c r="C1851" t="s">
        <v>103</v>
      </c>
      <c r="D1851" t="s">
        <v>236</v>
      </c>
      <c r="E1851">
        <v>96</v>
      </c>
      <c r="F1851">
        <v>8</v>
      </c>
      <c r="G1851">
        <v>63</v>
      </c>
      <c r="H1851">
        <v>29</v>
      </c>
    </row>
    <row r="1852" spans="1:8" x14ac:dyDescent="0.25">
      <c r="A1852" t="s">
        <v>2516</v>
      </c>
      <c r="B1852" t="s">
        <v>147</v>
      </c>
      <c r="C1852" t="s">
        <v>103</v>
      </c>
      <c r="D1852" t="s">
        <v>237</v>
      </c>
      <c r="E1852">
        <v>104</v>
      </c>
      <c r="F1852">
        <v>3</v>
      </c>
      <c r="G1852">
        <v>72</v>
      </c>
      <c r="H1852">
        <v>25</v>
      </c>
    </row>
    <row r="1853" spans="1:8" x14ac:dyDescent="0.25">
      <c r="A1853" t="s">
        <v>2517</v>
      </c>
      <c r="B1853" t="s">
        <v>147</v>
      </c>
      <c r="C1853" t="s">
        <v>103</v>
      </c>
      <c r="D1853" t="s">
        <v>238</v>
      </c>
      <c r="E1853">
        <v>127</v>
      </c>
      <c r="F1853">
        <v>2</v>
      </c>
      <c r="G1853">
        <v>72</v>
      </c>
      <c r="H1853">
        <v>26</v>
      </c>
    </row>
    <row r="1854" spans="1:8" x14ac:dyDescent="0.25">
      <c r="A1854" t="s">
        <v>2518</v>
      </c>
      <c r="B1854" t="s">
        <v>147</v>
      </c>
      <c r="C1854" t="s">
        <v>103</v>
      </c>
      <c r="D1854" t="s">
        <v>239</v>
      </c>
      <c r="E1854">
        <v>118</v>
      </c>
      <c r="F1854">
        <v>5</v>
      </c>
      <c r="G1854">
        <v>64</v>
      </c>
      <c r="H1854">
        <v>31</v>
      </c>
    </row>
    <row r="1855" spans="1:8" x14ac:dyDescent="0.25">
      <c r="A1855" t="s">
        <v>2519</v>
      </c>
      <c r="B1855" t="s">
        <v>147</v>
      </c>
      <c r="C1855" t="s">
        <v>103</v>
      </c>
      <c r="D1855" t="s">
        <v>47</v>
      </c>
      <c r="E1855">
        <v>106</v>
      </c>
      <c r="F1855">
        <v>4</v>
      </c>
      <c r="G1855">
        <v>66</v>
      </c>
      <c r="H1855">
        <v>30</v>
      </c>
    </row>
    <row r="1856" spans="1:8" x14ac:dyDescent="0.25">
      <c r="A1856" t="s">
        <v>2520</v>
      </c>
      <c r="B1856" t="s">
        <v>147</v>
      </c>
      <c r="C1856" t="s">
        <v>100</v>
      </c>
      <c r="D1856" t="s">
        <v>232</v>
      </c>
      <c r="E1856">
        <v>116</v>
      </c>
      <c r="F1856">
        <v>18</v>
      </c>
      <c r="G1856">
        <v>59</v>
      </c>
      <c r="H1856">
        <v>23</v>
      </c>
    </row>
    <row r="1857" spans="1:8" x14ac:dyDescent="0.25">
      <c r="A1857" t="s">
        <v>2521</v>
      </c>
      <c r="B1857" t="s">
        <v>147</v>
      </c>
      <c r="C1857" t="s">
        <v>100</v>
      </c>
      <c r="D1857" t="s">
        <v>233</v>
      </c>
      <c r="E1857">
        <v>79</v>
      </c>
      <c r="F1857">
        <v>7</v>
      </c>
      <c r="G1857">
        <v>67</v>
      </c>
      <c r="H1857">
        <v>26</v>
      </c>
    </row>
    <row r="1858" spans="1:8" x14ac:dyDescent="0.25">
      <c r="A1858" t="s">
        <v>2522</v>
      </c>
      <c r="B1858" t="s">
        <v>147</v>
      </c>
      <c r="C1858" t="s">
        <v>100</v>
      </c>
      <c r="D1858" t="s">
        <v>234</v>
      </c>
      <c r="E1858">
        <v>87</v>
      </c>
      <c r="F1858">
        <v>21</v>
      </c>
      <c r="G1858">
        <v>52</v>
      </c>
      <c r="H1858">
        <v>27</v>
      </c>
    </row>
    <row r="1859" spans="1:8" x14ac:dyDescent="0.25">
      <c r="A1859" t="s">
        <v>2523</v>
      </c>
      <c r="B1859" t="s">
        <v>147</v>
      </c>
      <c r="C1859" t="s">
        <v>100</v>
      </c>
      <c r="D1859" t="s">
        <v>235</v>
      </c>
      <c r="E1859">
        <v>88</v>
      </c>
      <c r="F1859">
        <v>20</v>
      </c>
      <c r="G1859">
        <v>54</v>
      </c>
      <c r="H1859">
        <v>26</v>
      </c>
    </row>
    <row r="1860" spans="1:8" x14ac:dyDescent="0.25">
      <c r="A1860" t="s">
        <v>2524</v>
      </c>
      <c r="B1860" t="s">
        <v>147</v>
      </c>
      <c r="C1860" t="s">
        <v>100</v>
      </c>
      <c r="D1860" t="s">
        <v>236</v>
      </c>
      <c r="E1860">
        <v>101</v>
      </c>
      <c r="F1860">
        <v>21</v>
      </c>
      <c r="G1860">
        <v>59</v>
      </c>
      <c r="H1860">
        <v>20</v>
      </c>
    </row>
    <row r="1861" spans="1:8" x14ac:dyDescent="0.25">
      <c r="A1861" t="s">
        <v>2525</v>
      </c>
      <c r="B1861" t="s">
        <v>147</v>
      </c>
      <c r="C1861" t="s">
        <v>100</v>
      </c>
      <c r="D1861" t="s">
        <v>237</v>
      </c>
      <c r="E1861">
        <v>108</v>
      </c>
      <c r="F1861">
        <v>15</v>
      </c>
      <c r="G1861">
        <v>61</v>
      </c>
      <c r="H1861">
        <v>24</v>
      </c>
    </row>
    <row r="1862" spans="1:8" x14ac:dyDescent="0.25">
      <c r="A1862" t="s">
        <v>2526</v>
      </c>
      <c r="B1862" t="s">
        <v>147</v>
      </c>
      <c r="C1862" t="s">
        <v>100</v>
      </c>
      <c r="D1862" t="s">
        <v>238</v>
      </c>
      <c r="E1862">
        <v>132</v>
      </c>
      <c r="F1862">
        <v>18</v>
      </c>
      <c r="G1862">
        <v>54</v>
      </c>
      <c r="H1862">
        <v>28</v>
      </c>
    </row>
    <row r="1863" spans="1:8" x14ac:dyDescent="0.25">
      <c r="A1863" t="s">
        <v>2527</v>
      </c>
      <c r="B1863" t="s">
        <v>147</v>
      </c>
      <c r="C1863" t="s">
        <v>100</v>
      </c>
      <c r="D1863" t="s">
        <v>239</v>
      </c>
      <c r="E1863">
        <v>125</v>
      </c>
      <c r="F1863">
        <v>15</v>
      </c>
      <c r="G1863">
        <v>55</v>
      </c>
      <c r="H1863">
        <v>30</v>
      </c>
    </row>
    <row r="1864" spans="1:8" x14ac:dyDescent="0.25">
      <c r="A1864" t="s">
        <v>2528</v>
      </c>
      <c r="B1864" t="s">
        <v>147</v>
      </c>
      <c r="C1864" t="s">
        <v>100</v>
      </c>
      <c r="D1864" t="s">
        <v>47</v>
      </c>
      <c r="E1864">
        <v>108</v>
      </c>
      <c r="F1864">
        <v>17</v>
      </c>
      <c r="G1864">
        <v>57</v>
      </c>
      <c r="H1864">
        <v>26</v>
      </c>
    </row>
    <row r="1865" spans="1:8" x14ac:dyDescent="0.25">
      <c r="A1865" t="s">
        <v>2529</v>
      </c>
      <c r="B1865" t="s">
        <v>147</v>
      </c>
      <c r="C1865" t="s">
        <v>101</v>
      </c>
      <c r="D1865" t="s">
        <v>232</v>
      </c>
    </row>
    <row r="1866" spans="1:8" x14ac:dyDescent="0.25">
      <c r="A1866" t="s">
        <v>2530</v>
      </c>
      <c r="B1866" t="s">
        <v>147</v>
      </c>
      <c r="C1866" t="s">
        <v>101</v>
      </c>
      <c r="D1866" t="s">
        <v>233</v>
      </c>
    </row>
    <row r="1867" spans="1:8" x14ac:dyDescent="0.25">
      <c r="A1867" t="s">
        <v>2531</v>
      </c>
      <c r="B1867" t="s">
        <v>147</v>
      </c>
      <c r="C1867" t="s">
        <v>101</v>
      </c>
      <c r="D1867" t="s">
        <v>234</v>
      </c>
    </row>
    <row r="1868" spans="1:8" x14ac:dyDescent="0.25">
      <c r="A1868" t="s">
        <v>2532</v>
      </c>
      <c r="B1868" t="s">
        <v>147</v>
      </c>
      <c r="C1868" t="s">
        <v>101</v>
      </c>
      <c r="D1868" t="s">
        <v>235</v>
      </c>
    </row>
    <row r="1869" spans="1:8" x14ac:dyDescent="0.25">
      <c r="A1869" t="s">
        <v>2533</v>
      </c>
      <c r="B1869" t="s">
        <v>147</v>
      </c>
      <c r="C1869" t="s">
        <v>101</v>
      </c>
      <c r="D1869" t="s">
        <v>236</v>
      </c>
    </row>
    <row r="1870" spans="1:8" x14ac:dyDescent="0.25">
      <c r="A1870" t="s">
        <v>2534</v>
      </c>
      <c r="B1870" t="s">
        <v>147</v>
      </c>
      <c r="C1870" t="s">
        <v>101</v>
      </c>
      <c r="D1870" t="s">
        <v>237</v>
      </c>
    </row>
    <row r="1871" spans="1:8" x14ac:dyDescent="0.25">
      <c r="A1871" t="s">
        <v>2535</v>
      </c>
      <c r="B1871" t="s">
        <v>147</v>
      </c>
      <c r="C1871" t="s">
        <v>101</v>
      </c>
      <c r="D1871" t="s">
        <v>238</v>
      </c>
    </row>
    <row r="1872" spans="1:8" x14ac:dyDescent="0.25">
      <c r="A1872" t="s">
        <v>2536</v>
      </c>
      <c r="B1872" t="s">
        <v>147</v>
      </c>
      <c r="C1872" t="s">
        <v>101</v>
      </c>
      <c r="D1872" t="s">
        <v>239</v>
      </c>
    </row>
    <row r="1873" spans="1:8" x14ac:dyDescent="0.25">
      <c r="A1873" t="s">
        <v>2537</v>
      </c>
      <c r="B1873" t="s">
        <v>147</v>
      </c>
      <c r="C1873" t="s">
        <v>101</v>
      </c>
      <c r="D1873" t="s">
        <v>47</v>
      </c>
    </row>
    <row r="1874" spans="1:8" x14ac:dyDescent="0.25">
      <c r="A1874" t="s">
        <v>2538</v>
      </c>
      <c r="B1874" t="s">
        <v>147</v>
      </c>
      <c r="C1874" t="s">
        <v>102</v>
      </c>
      <c r="D1874" t="s">
        <v>232</v>
      </c>
      <c r="E1874">
        <v>101</v>
      </c>
      <c r="F1874">
        <v>27</v>
      </c>
      <c r="G1874">
        <v>36</v>
      </c>
      <c r="H1874">
        <v>37</v>
      </c>
    </row>
    <row r="1875" spans="1:8" x14ac:dyDescent="0.25">
      <c r="A1875" t="s">
        <v>2539</v>
      </c>
      <c r="B1875" t="s">
        <v>147</v>
      </c>
      <c r="C1875" t="s">
        <v>102</v>
      </c>
      <c r="D1875" t="s">
        <v>233</v>
      </c>
      <c r="E1875">
        <v>61</v>
      </c>
      <c r="F1875">
        <v>26</v>
      </c>
      <c r="G1875">
        <v>35</v>
      </c>
      <c r="H1875">
        <v>39</v>
      </c>
    </row>
    <row r="1876" spans="1:8" x14ac:dyDescent="0.25">
      <c r="A1876" t="s">
        <v>2540</v>
      </c>
      <c r="B1876" t="s">
        <v>147</v>
      </c>
      <c r="C1876" t="s">
        <v>102</v>
      </c>
      <c r="D1876" t="s">
        <v>234</v>
      </c>
      <c r="E1876">
        <v>77</v>
      </c>
      <c r="F1876">
        <v>20</v>
      </c>
      <c r="G1876">
        <v>48</v>
      </c>
      <c r="H1876">
        <v>32</v>
      </c>
    </row>
    <row r="1877" spans="1:8" x14ac:dyDescent="0.25">
      <c r="A1877" t="s">
        <v>2541</v>
      </c>
      <c r="B1877" t="s">
        <v>147</v>
      </c>
      <c r="C1877" t="s">
        <v>102</v>
      </c>
      <c r="D1877" t="s">
        <v>235</v>
      </c>
      <c r="E1877">
        <v>72</v>
      </c>
      <c r="F1877">
        <v>21</v>
      </c>
      <c r="G1877">
        <v>46</v>
      </c>
      <c r="H1877">
        <v>33</v>
      </c>
    </row>
    <row r="1878" spans="1:8" x14ac:dyDescent="0.25">
      <c r="A1878" t="s">
        <v>2542</v>
      </c>
      <c r="B1878" t="s">
        <v>147</v>
      </c>
      <c r="C1878" t="s">
        <v>102</v>
      </c>
      <c r="D1878" t="s">
        <v>236</v>
      </c>
      <c r="E1878">
        <v>79</v>
      </c>
      <c r="F1878">
        <v>26</v>
      </c>
      <c r="G1878">
        <v>50</v>
      </c>
      <c r="H1878">
        <v>24</v>
      </c>
    </row>
    <row r="1879" spans="1:8" x14ac:dyDescent="0.25">
      <c r="A1879" t="s">
        <v>2543</v>
      </c>
      <c r="B1879" t="s">
        <v>147</v>
      </c>
      <c r="C1879" t="s">
        <v>102</v>
      </c>
      <c r="D1879" t="s">
        <v>237</v>
      </c>
      <c r="E1879">
        <v>86</v>
      </c>
      <c r="F1879">
        <v>12</v>
      </c>
      <c r="G1879">
        <v>59</v>
      </c>
      <c r="H1879">
        <v>29</v>
      </c>
    </row>
    <row r="1880" spans="1:8" x14ac:dyDescent="0.25">
      <c r="A1880" t="s">
        <v>2544</v>
      </c>
      <c r="B1880" t="s">
        <v>147</v>
      </c>
      <c r="C1880" t="s">
        <v>102</v>
      </c>
      <c r="D1880" t="s">
        <v>238</v>
      </c>
      <c r="E1880">
        <v>107</v>
      </c>
      <c r="F1880">
        <v>9</v>
      </c>
      <c r="G1880">
        <v>56</v>
      </c>
      <c r="H1880">
        <v>35</v>
      </c>
    </row>
    <row r="1881" spans="1:8" x14ac:dyDescent="0.25">
      <c r="A1881" t="s">
        <v>2545</v>
      </c>
      <c r="B1881" t="s">
        <v>147</v>
      </c>
      <c r="C1881" t="s">
        <v>102</v>
      </c>
      <c r="D1881" t="s">
        <v>239</v>
      </c>
      <c r="E1881">
        <v>98</v>
      </c>
      <c r="F1881">
        <v>13</v>
      </c>
      <c r="G1881">
        <v>46</v>
      </c>
      <c r="H1881">
        <v>41</v>
      </c>
    </row>
    <row r="1882" spans="1:8" x14ac:dyDescent="0.25">
      <c r="A1882" t="s">
        <v>2546</v>
      </c>
      <c r="B1882" t="s">
        <v>147</v>
      </c>
      <c r="C1882" t="s">
        <v>102</v>
      </c>
      <c r="D1882" t="s">
        <v>47</v>
      </c>
      <c r="E1882">
        <v>88</v>
      </c>
      <c r="F1882">
        <v>13</v>
      </c>
      <c r="G1882">
        <v>59</v>
      </c>
      <c r="H1882">
        <v>28</v>
      </c>
    </row>
    <row r="1883" spans="1:8" x14ac:dyDescent="0.25">
      <c r="A1883" t="s">
        <v>2547</v>
      </c>
      <c r="B1883" t="s">
        <v>147</v>
      </c>
      <c r="C1883" t="s">
        <v>31</v>
      </c>
      <c r="D1883" t="s">
        <v>232</v>
      </c>
      <c r="E1883">
        <v>114</v>
      </c>
      <c r="F1883">
        <v>23</v>
      </c>
      <c r="G1883">
        <v>48</v>
      </c>
      <c r="H1883">
        <v>29</v>
      </c>
    </row>
    <row r="1884" spans="1:8" x14ac:dyDescent="0.25">
      <c r="A1884" t="s">
        <v>2548</v>
      </c>
      <c r="B1884" t="s">
        <v>147</v>
      </c>
      <c r="C1884" t="s">
        <v>31</v>
      </c>
      <c r="D1884" t="s">
        <v>233</v>
      </c>
      <c r="E1884">
        <v>80</v>
      </c>
      <c r="F1884">
        <v>20</v>
      </c>
      <c r="G1884">
        <v>51</v>
      </c>
      <c r="H1884">
        <v>29</v>
      </c>
    </row>
    <row r="1885" spans="1:8" x14ac:dyDescent="0.25">
      <c r="A1885" t="s">
        <v>2549</v>
      </c>
      <c r="B1885" t="s">
        <v>147</v>
      </c>
      <c r="C1885" t="s">
        <v>31</v>
      </c>
      <c r="D1885" t="s">
        <v>234</v>
      </c>
      <c r="E1885">
        <v>87</v>
      </c>
      <c r="F1885">
        <v>18</v>
      </c>
      <c r="G1885">
        <v>49</v>
      </c>
      <c r="H1885">
        <v>33</v>
      </c>
    </row>
    <row r="1886" spans="1:8" x14ac:dyDescent="0.25">
      <c r="A1886" t="s">
        <v>2550</v>
      </c>
      <c r="B1886" t="s">
        <v>147</v>
      </c>
      <c r="C1886" t="s">
        <v>31</v>
      </c>
      <c r="D1886" t="s">
        <v>235</v>
      </c>
      <c r="E1886">
        <v>88</v>
      </c>
      <c r="F1886">
        <v>23</v>
      </c>
      <c r="G1886">
        <v>34</v>
      </c>
      <c r="H1886">
        <v>43</v>
      </c>
    </row>
    <row r="1887" spans="1:8" x14ac:dyDescent="0.25">
      <c r="A1887" t="s">
        <v>2551</v>
      </c>
      <c r="B1887" t="s">
        <v>147</v>
      </c>
      <c r="C1887" t="s">
        <v>31</v>
      </c>
      <c r="D1887" t="s">
        <v>236</v>
      </c>
      <c r="E1887">
        <v>99</v>
      </c>
      <c r="F1887">
        <v>19</v>
      </c>
      <c r="G1887">
        <v>43</v>
      </c>
      <c r="H1887">
        <v>38</v>
      </c>
    </row>
    <row r="1888" spans="1:8" x14ac:dyDescent="0.25">
      <c r="A1888" t="s">
        <v>2552</v>
      </c>
      <c r="B1888" t="s">
        <v>147</v>
      </c>
      <c r="C1888" t="s">
        <v>31</v>
      </c>
      <c r="D1888" t="s">
        <v>237</v>
      </c>
      <c r="E1888">
        <v>109</v>
      </c>
      <c r="F1888">
        <v>19</v>
      </c>
      <c r="G1888">
        <v>45</v>
      </c>
      <c r="H1888">
        <v>36</v>
      </c>
    </row>
    <row r="1889" spans="1:8" x14ac:dyDescent="0.25">
      <c r="A1889" t="s">
        <v>2553</v>
      </c>
      <c r="B1889" t="s">
        <v>147</v>
      </c>
      <c r="C1889" t="s">
        <v>31</v>
      </c>
      <c r="D1889" t="s">
        <v>238</v>
      </c>
      <c r="E1889">
        <v>135</v>
      </c>
      <c r="F1889">
        <v>18</v>
      </c>
      <c r="G1889">
        <v>51</v>
      </c>
      <c r="H1889">
        <v>31</v>
      </c>
    </row>
    <row r="1890" spans="1:8" x14ac:dyDescent="0.25">
      <c r="A1890" t="s">
        <v>2554</v>
      </c>
      <c r="B1890" t="s">
        <v>147</v>
      </c>
      <c r="C1890" t="s">
        <v>31</v>
      </c>
      <c r="D1890" t="s">
        <v>239</v>
      </c>
      <c r="E1890">
        <v>124</v>
      </c>
      <c r="F1890">
        <v>15</v>
      </c>
      <c r="G1890">
        <v>41</v>
      </c>
      <c r="H1890">
        <v>44</v>
      </c>
    </row>
    <row r="1891" spans="1:8" x14ac:dyDescent="0.25">
      <c r="A1891" t="s">
        <v>2555</v>
      </c>
      <c r="B1891" t="s">
        <v>147</v>
      </c>
      <c r="C1891" t="s">
        <v>31</v>
      </c>
      <c r="D1891" t="s">
        <v>47</v>
      </c>
      <c r="E1891">
        <v>110</v>
      </c>
      <c r="F1891">
        <v>18</v>
      </c>
      <c r="G1891">
        <v>53</v>
      </c>
      <c r="H1891">
        <v>29</v>
      </c>
    </row>
    <row r="1892" spans="1:8" x14ac:dyDescent="0.25">
      <c r="A1892" t="s">
        <v>2556</v>
      </c>
      <c r="B1892" t="s">
        <v>124</v>
      </c>
      <c r="C1892" t="s">
        <v>103</v>
      </c>
      <c r="D1892" t="s">
        <v>232</v>
      </c>
      <c r="E1892">
        <v>1144</v>
      </c>
      <c r="F1892">
        <v>9</v>
      </c>
      <c r="G1892">
        <v>61</v>
      </c>
      <c r="H1892">
        <v>30</v>
      </c>
    </row>
    <row r="1893" spans="1:8" x14ac:dyDescent="0.25">
      <c r="A1893" t="s">
        <v>2557</v>
      </c>
      <c r="B1893" t="s">
        <v>124</v>
      </c>
      <c r="C1893" t="s">
        <v>103</v>
      </c>
      <c r="D1893" t="s">
        <v>233</v>
      </c>
      <c r="E1893">
        <v>1064</v>
      </c>
      <c r="F1893">
        <v>7</v>
      </c>
      <c r="G1893">
        <v>63</v>
      </c>
      <c r="H1893">
        <v>30</v>
      </c>
    </row>
    <row r="1894" spans="1:8" x14ac:dyDescent="0.25">
      <c r="A1894" t="s">
        <v>2558</v>
      </c>
      <c r="B1894" t="s">
        <v>124</v>
      </c>
      <c r="C1894" t="s">
        <v>103</v>
      </c>
      <c r="D1894" t="s">
        <v>234</v>
      </c>
      <c r="E1894">
        <v>1068</v>
      </c>
      <c r="F1894">
        <v>5</v>
      </c>
      <c r="G1894">
        <v>58</v>
      </c>
      <c r="H1894">
        <v>37</v>
      </c>
    </row>
    <row r="1895" spans="1:8" x14ac:dyDescent="0.25">
      <c r="A1895" t="s">
        <v>2559</v>
      </c>
      <c r="B1895" t="s">
        <v>124</v>
      </c>
      <c r="C1895" t="s">
        <v>103</v>
      </c>
      <c r="D1895" t="s">
        <v>235</v>
      </c>
      <c r="E1895">
        <v>1112</v>
      </c>
      <c r="F1895">
        <v>7</v>
      </c>
      <c r="G1895">
        <v>55</v>
      </c>
      <c r="H1895">
        <v>38</v>
      </c>
    </row>
    <row r="1896" spans="1:8" x14ac:dyDescent="0.25">
      <c r="A1896" t="s">
        <v>2560</v>
      </c>
      <c r="B1896" t="s">
        <v>124</v>
      </c>
      <c r="C1896" t="s">
        <v>103</v>
      </c>
      <c r="D1896" t="s">
        <v>236</v>
      </c>
      <c r="E1896">
        <v>1010</v>
      </c>
      <c r="F1896">
        <v>8</v>
      </c>
      <c r="G1896">
        <v>61</v>
      </c>
      <c r="H1896">
        <v>31</v>
      </c>
    </row>
    <row r="1897" spans="1:8" x14ac:dyDescent="0.25">
      <c r="A1897" t="s">
        <v>2561</v>
      </c>
      <c r="B1897" t="s">
        <v>124</v>
      </c>
      <c r="C1897" t="s">
        <v>103</v>
      </c>
      <c r="D1897" t="s">
        <v>237</v>
      </c>
      <c r="E1897">
        <v>976</v>
      </c>
      <c r="F1897">
        <v>8</v>
      </c>
      <c r="G1897">
        <v>58</v>
      </c>
      <c r="H1897">
        <v>34</v>
      </c>
    </row>
    <row r="1898" spans="1:8" x14ac:dyDescent="0.25">
      <c r="A1898" t="s">
        <v>2562</v>
      </c>
      <c r="B1898" t="s">
        <v>124</v>
      </c>
      <c r="C1898" t="s">
        <v>103</v>
      </c>
      <c r="D1898" t="s">
        <v>238</v>
      </c>
      <c r="E1898">
        <v>1060</v>
      </c>
      <c r="F1898">
        <v>7</v>
      </c>
      <c r="G1898">
        <v>60</v>
      </c>
      <c r="H1898">
        <v>33</v>
      </c>
    </row>
    <row r="1899" spans="1:8" x14ac:dyDescent="0.25">
      <c r="A1899" t="s">
        <v>2563</v>
      </c>
      <c r="B1899" t="s">
        <v>124</v>
      </c>
      <c r="C1899" t="s">
        <v>103</v>
      </c>
      <c r="D1899" t="s">
        <v>239</v>
      </c>
      <c r="E1899">
        <v>1005</v>
      </c>
      <c r="F1899">
        <v>8</v>
      </c>
      <c r="G1899">
        <v>57</v>
      </c>
      <c r="H1899">
        <v>35</v>
      </c>
    </row>
    <row r="1900" spans="1:8" x14ac:dyDescent="0.25">
      <c r="A1900" t="s">
        <v>2564</v>
      </c>
      <c r="B1900" t="s">
        <v>124</v>
      </c>
      <c r="C1900" t="s">
        <v>103</v>
      </c>
      <c r="D1900" t="s">
        <v>47</v>
      </c>
      <c r="E1900">
        <v>967</v>
      </c>
      <c r="F1900">
        <v>11</v>
      </c>
      <c r="G1900">
        <v>60</v>
      </c>
      <c r="H1900">
        <v>29</v>
      </c>
    </row>
    <row r="1901" spans="1:8" x14ac:dyDescent="0.25">
      <c r="A1901" t="s">
        <v>2565</v>
      </c>
      <c r="B1901" t="s">
        <v>124</v>
      </c>
      <c r="C1901" t="s">
        <v>100</v>
      </c>
      <c r="D1901" t="s">
        <v>232</v>
      </c>
      <c r="E1901">
        <v>1176</v>
      </c>
      <c r="F1901">
        <v>12</v>
      </c>
      <c r="G1901">
        <v>48</v>
      </c>
      <c r="H1901">
        <v>40</v>
      </c>
    </row>
    <row r="1902" spans="1:8" x14ac:dyDescent="0.25">
      <c r="A1902" t="s">
        <v>2566</v>
      </c>
      <c r="B1902" t="s">
        <v>124</v>
      </c>
      <c r="C1902" t="s">
        <v>100</v>
      </c>
      <c r="D1902" t="s">
        <v>233</v>
      </c>
      <c r="E1902">
        <v>1092</v>
      </c>
      <c r="F1902">
        <v>13</v>
      </c>
      <c r="G1902">
        <v>54</v>
      </c>
      <c r="H1902">
        <v>33</v>
      </c>
    </row>
    <row r="1903" spans="1:8" x14ac:dyDescent="0.25">
      <c r="A1903" t="s">
        <v>2567</v>
      </c>
      <c r="B1903" t="s">
        <v>124</v>
      </c>
      <c r="C1903" t="s">
        <v>100</v>
      </c>
      <c r="D1903" t="s">
        <v>234</v>
      </c>
      <c r="E1903">
        <v>1094</v>
      </c>
      <c r="F1903">
        <v>10</v>
      </c>
      <c r="G1903">
        <v>48</v>
      </c>
      <c r="H1903">
        <v>42</v>
      </c>
    </row>
    <row r="1904" spans="1:8" x14ac:dyDescent="0.25">
      <c r="A1904" t="s">
        <v>2568</v>
      </c>
      <c r="B1904" t="s">
        <v>124</v>
      </c>
      <c r="C1904" t="s">
        <v>100</v>
      </c>
      <c r="D1904" t="s">
        <v>235</v>
      </c>
      <c r="E1904">
        <v>1140</v>
      </c>
      <c r="F1904">
        <v>11</v>
      </c>
      <c r="G1904">
        <v>52</v>
      </c>
      <c r="H1904">
        <v>37</v>
      </c>
    </row>
    <row r="1905" spans="1:8" x14ac:dyDescent="0.25">
      <c r="A1905" t="s">
        <v>2569</v>
      </c>
      <c r="B1905" t="s">
        <v>124</v>
      </c>
      <c r="C1905" t="s">
        <v>100</v>
      </c>
      <c r="D1905" t="s">
        <v>236</v>
      </c>
      <c r="E1905">
        <v>1036</v>
      </c>
      <c r="F1905">
        <v>17</v>
      </c>
      <c r="G1905">
        <v>57</v>
      </c>
      <c r="H1905">
        <v>26</v>
      </c>
    </row>
    <row r="1906" spans="1:8" x14ac:dyDescent="0.25">
      <c r="A1906" t="s">
        <v>2570</v>
      </c>
      <c r="B1906" t="s">
        <v>124</v>
      </c>
      <c r="C1906" t="s">
        <v>100</v>
      </c>
      <c r="D1906" t="s">
        <v>237</v>
      </c>
      <c r="E1906">
        <v>1001</v>
      </c>
      <c r="F1906">
        <v>17</v>
      </c>
      <c r="G1906">
        <v>56</v>
      </c>
      <c r="H1906">
        <v>27</v>
      </c>
    </row>
    <row r="1907" spans="1:8" x14ac:dyDescent="0.25">
      <c r="A1907" t="s">
        <v>2571</v>
      </c>
      <c r="B1907" t="s">
        <v>124</v>
      </c>
      <c r="C1907" t="s">
        <v>100</v>
      </c>
      <c r="D1907" t="s">
        <v>238</v>
      </c>
      <c r="E1907">
        <v>1089</v>
      </c>
      <c r="F1907">
        <v>17</v>
      </c>
      <c r="G1907">
        <v>59</v>
      </c>
      <c r="H1907">
        <v>24</v>
      </c>
    </row>
    <row r="1908" spans="1:8" x14ac:dyDescent="0.25">
      <c r="A1908" t="s">
        <v>2572</v>
      </c>
      <c r="B1908" t="s">
        <v>124</v>
      </c>
      <c r="C1908" t="s">
        <v>100</v>
      </c>
      <c r="D1908" t="s">
        <v>239</v>
      </c>
      <c r="E1908">
        <v>1019</v>
      </c>
      <c r="F1908">
        <v>13</v>
      </c>
      <c r="G1908">
        <v>56</v>
      </c>
      <c r="H1908">
        <v>31</v>
      </c>
    </row>
    <row r="1909" spans="1:8" x14ac:dyDescent="0.25">
      <c r="A1909" t="s">
        <v>2573</v>
      </c>
      <c r="B1909" t="s">
        <v>124</v>
      </c>
      <c r="C1909" t="s">
        <v>100</v>
      </c>
      <c r="D1909" t="s">
        <v>47</v>
      </c>
      <c r="E1909">
        <v>987</v>
      </c>
      <c r="F1909">
        <v>17</v>
      </c>
      <c r="G1909">
        <v>59</v>
      </c>
      <c r="H1909">
        <v>24</v>
      </c>
    </row>
    <row r="1910" spans="1:8" x14ac:dyDescent="0.25">
      <c r="A1910" t="s">
        <v>2574</v>
      </c>
      <c r="B1910" t="s">
        <v>124</v>
      </c>
      <c r="C1910" t="s">
        <v>101</v>
      </c>
      <c r="D1910" t="s">
        <v>232</v>
      </c>
      <c r="E1910">
        <v>825</v>
      </c>
      <c r="F1910">
        <v>17</v>
      </c>
      <c r="G1910">
        <v>50</v>
      </c>
      <c r="H1910">
        <v>33</v>
      </c>
    </row>
    <row r="1911" spans="1:8" x14ac:dyDescent="0.25">
      <c r="A1911" t="s">
        <v>2575</v>
      </c>
      <c r="B1911" t="s">
        <v>124</v>
      </c>
      <c r="C1911" t="s">
        <v>101</v>
      </c>
      <c r="D1911" t="s">
        <v>233</v>
      </c>
      <c r="E1911">
        <v>774</v>
      </c>
      <c r="F1911">
        <v>15</v>
      </c>
      <c r="G1911">
        <v>55</v>
      </c>
      <c r="H1911">
        <v>30</v>
      </c>
    </row>
    <row r="1912" spans="1:8" x14ac:dyDescent="0.25">
      <c r="A1912" t="s">
        <v>2576</v>
      </c>
      <c r="B1912" t="s">
        <v>124</v>
      </c>
      <c r="C1912" t="s">
        <v>101</v>
      </c>
      <c r="D1912" t="s">
        <v>234</v>
      </c>
      <c r="E1912">
        <v>791</v>
      </c>
      <c r="F1912">
        <v>11</v>
      </c>
      <c r="G1912">
        <v>50</v>
      </c>
      <c r="H1912">
        <v>39</v>
      </c>
    </row>
    <row r="1913" spans="1:8" x14ac:dyDescent="0.25">
      <c r="A1913" t="s">
        <v>2577</v>
      </c>
      <c r="B1913" t="s">
        <v>124</v>
      </c>
      <c r="C1913" t="s">
        <v>101</v>
      </c>
      <c r="D1913" t="s">
        <v>235</v>
      </c>
      <c r="E1913">
        <v>810</v>
      </c>
      <c r="F1913">
        <v>15</v>
      </c>
      <c r="G1913">
        <v>51</v>
      </c>
      <c r="H1913">
        <v>34</v>
      </c>
    </row>
    <row r="1914" spans="1:8" x14ac:dyDescent="0.25">
      <c r="A1914" t="s">
        <v>2578</v>
      </c>
      <c r="B1914" t="s">
        <v>124</v>
      </c>
      <c r="C1914" t="s">
        <v>101</v>
      </c>
      <c r="D1914" t="s">
        <v>236</v>
      </c>
      <c r="E1914">
        <v>720</v>
      </c>
      <c r="F1914">
        <v>13</v>
      </c>
      <c r="G1914">
        <v>55</v>
      </c>
      <c r="H1914">
        <v>32</v>
      </c>
    </row>
    <row r="1915" spans="1:8" x14ac:dyDescent="0.25">
      <c r="A1915" t="s">
        <v>2579</v>
      </c>
      <c r="B1915" t="s">
        <v>124</v>
      </c>
      <c r="C1915" t="s">
        <v>101</v>
      </c>
      <c r="D1915" t="s">
        <v>237</v>
      </c>
      <c r="E1915">
        <v>703</v>
      </c>
      <c r="F1915">
        <v>17</v>
      </c>
      <c r="G1915">
        <v>48</v>
      </c>
      <c r="H1915">
        <v>35</v>
      </c>
    </row>
    <row r="1916" spans="1:8" x14ac:dyDescent="0.25">
      <c r="A1916" t="s">
        <v>2580</v>
      </c>
      <c r="B1916" t="s">
        <v>124</v>
      </c>
      <c r="C1916" t="s">
        <v>101</v>
      </c>
      <c r="D1916" t="s">
        <v>238</v>
      </c>
      <c r="E1916">
        <v>768</v>
      </c>
      <c r="F1916">
        <v>18</v>
      </c>
      <c r="G1916">
        <v>53</v>
      </c>
      <c r="H1916">
        <v>29</v>
      </c>
    </row>
    <row r="1917" spans="1:8" x14ac:dyDescent="0.25">
      <c r="A1917" t="s">
        <v>2581</v>
      </c>
      <c r="B1917" t="s">
        <v>124</v>
      </c>
      <c r="C1917" t="s">
        <v>101</v>
      </c>
      <c r="D1917" t="s">
        <v>239</v>
      </c>
      <c r="E1917">
        <v>740</v>
      </c>
      <c r="F1917">
        <v>13</v>
      </c>
      <c r="G1917">
        <v>54</v>
      </c>
      <c r="H1917">
        <v>33</v>
      </c>
    </row>
    <row r="1918" spans="1:8" x14ac:dyDescent="0.25">
      <c r="A1918" t="s">
        <v>2582</v>
      </c>
      <c r="B1918" t="s">
        <v>124</v>
      </c>
      <c r="C1918" t="s">
        <v>101</v>
      </c>
      <c r="D1918" t="s">
        <v>47</v>
      </c>
      <c r="E1918">
        <v>712</v>
      </c>
      <c r="F1918">
        <v>19</v>
      </c>
      <c r="G1918">
        <v>57</v>
      </c>
      <c r="H1918">
        <v>24</v>
      </c>
    </row>
    <row r="1919" spans="1:8" x14ac:dyDescent="0.25">
      <c r="A1919" t="s">
        <v>2583</v>
      </c>
      <c r="B1919" t="s">
        <v>124</v>
      </c>
      <c r="C1919" t="s">
        <v>102</v>
      </c>
      <c r="D1919" t="s">
        <v>232</v>
      </c>
      <c r="E1919">
        <v>1019</v>
      </c>
      <c r="F1919">
        <v>20</v>
      </c>
      <c r="G1919">
        <v>40</v>
      </c>
      <c r="H1919">
        <v>40</v>
      </c>
    </row>
    <row r="1920" spans="1:8" x14ac:dyDescent="0.25">
      <c r="A1920" t="s">
        <v>2584</v>
      </c>
      <c r="B1920" t="s">
        <v>124</v>
      </c>
      <c r="C1920" t="s">
        <v>102</v>
      </c>
      <c r="D1920" t="s">
        <v>233</v>
      </c>
      <c r="E1920">
        <v>940</v>
      </c>
      <c r="F1920">
        <v>19</v>
      </c>
      <c r="G1920">
        <v>41</v>
      </c>
      <c r="H1920">
        <v>40</v>
      </c>
    </row>
    <row r="1921" spans="1:8" x14ac:dyDescent="0.25">
      <c r="A1921" t="s">
        <v>2585</v>
      </c>
      <c r="B1921" t="s">
        <v>124</v>
      </c>
      <c r="C1921" t="s">
        <v>102</v>
      </c>
      <c r="D1921" t="s">
        <v>234</v>
      </c>
      <c r="E1921">
        <v>921</v>
      </c>
      <c r="F1921">
        <v>16</v>
      </c>
      <c r="G1921">
        <v>36</v>
      </c>
      <c r="H1921">
        <v>48</v>
      </c>
    </row>
    <row r="1922" spans="1:8" x14ac:dyDescent="0.25">
      <c r="A1922" t="s">
        <v>2586</v>
      </c>
      <c r="B1922" t="s">
        <v>124</v>
      </c>
      <c r="C1922" t="s">
        <v>102</v>
      </c>
      <c r="D1922" t="s">
        <v>235</v>
      </c>
      <c r="E1922">
        <v>948</v>
      </c>
      <c r="F1922">
        <v>15</v>
      </c>
      <c r="G1922">
        <v>39</v>
      </c>
      <c r="H1922">
        <v>46</v>
      </c>
    </row>
    <row r="1923" spans="1:8" x14ac:dyDescent="0.25">
      <c r="A1923" t="s">
        <v>2587</v>
      </c>
      <c r="B1923" t="s">
        <v>124</v>
      </c>
      <c r="C1923" t="s">
        <v>102</v>
      </c>
      <c r="D1923" t="s">
        <v>236</v>
      </c>
      <c r="E1923">
        <v>879</v>
      </c>
      <c r="F1923">
        <v>16</v>
      </c>
      <c r="G1923">
        <v>44</v>
      </c>
      <c r="H1923">
        <v>40</v>
      </c>
    </row>
    <row r="1924" spans="1:8" x14ac:dyDescent="0.25">
      <c r="A1924" t="s">
        <v>2588</v>
      </c>
      <c r="B1924" t="s">
        <v>124</v>
      </c>
      <c r="C1924" t="s">
        <v>102</v>
      </c>
      <c r="D1924" t="s">
        <v>237</v>
      </c>
      <c r="E1924">
        <v>849</v>
      </c>
      <c r="F1924">
        <v>17</v>
      </c>
      <c r="G1924">
        <v>40</v>
      </c>
      <c r="H1924">
        <v>43</v>
      </c>
    </row>
    <row r="1925" spans="1:8" x14ac:dyDescent="0.25">
      <c r="A1925" t="s">
        <v>2589</v>
      </c>
      <c r="B1925" t="s">
        <v>124</v>
      </c>
      <c r="C1925" t="s">
        <v>102</v>
      </c>
      <c r="D1925" t="s">
        <v>238</v>
      </c>
      <c r="E1925">
        <v>919</v>
      </c>
      <c r="F1925">
        <v>19</v>
      </c>
      <c r="G1925">
        <v>41</v>
      </c>
      <c r="H1925">
        <v>40</v>
      </c>
    </row>
    <row r="1926" spans="1:8" x14ac:dyDescent="0.25">
      <c r="A1926" t="s">
        <v>2590</v>
      </c>
      <c r="B1926" t="s">
        <v>124</v>
      </c>
      <c r="C1926" t="s">
        <v>102</v>
      </c>
      <c r="D1926" t="s">
        <v>239</v>
      </c>
      <c r="E1926">
        <v>864</v>
      </c>
      <c r="F1926">
        <v>17</v>
      </c>
      <c r="G1926">
        <v>40</v>
      </c>
      <c r="H1926">
        <v>43</v>
      </c>
    </row>
    <row r="1927" spans="1:8" x14ac:dyDescent="0.25">
      <c r="A1927" t="s">
        <v>2591</v>
      </c>
      <c r="B1927" t="s">
        <v>124</v>
      </c>
      <c r="C1927" t="s">
        <v>102</v>
      </c>
      <c r="D1927" t="s">
        <v>47</v>
      </c>
      <c r="E1927">
        <v>847</v>
      </c>
      <c r="F1927">
        <v>20</v>
      </c>
      <c r="G1927">
        <v>46</v>
      </c>
      <c r="H1927">
        <v>34</v>
      </c>
    </row>
    <row r="1928" spans="1:8" x14ac:dyDescent="0.25">
      <c r="A1928" t="s">
        <v>2592</v>
      </c>
      <c r="B1928" t="s">
        <v>124</v>
      </c>
      <c r="C1928" t="s">
        <v>31</v>
      </c>
      <c r="D1928" t="s">
        <v>232</v>
      </c>
      <c r="E1928">
        <v>1182</v>
      </c>
      <c r="F1928">
        <v>22</v>
      </c>
      <c r="G1928">
        <v>50</v>
      </c>
      <c r="H1928">
        <v>28</v>
      </c>
    </row>
    <row r="1929" spans="1:8" x14ac:dyDescent="0.25">
      <c r="A1929" t="s">
        <v>2593</v>
      </c>
      <c r="B1929" t="s">
        <v>124</v>
      </c>
      <c r="C1929" t="s">
        <v>31</v>
      </c>
      <c r="D1929" t="s">
        <v>233</v>
      </c>
      <c r="E1929">
        <v>1099</v>
      </c>
      <c r="F1929">
        <v>19</v>
      </c>
      <c r="G1929">
        <v>48</v>
      </c>
      <c r="H1929">
        <v>33</v>
      </c>
    </row>
    <row r="1930" spans="1:8" x14ac:dyDescent="0.25">
      <c r="A1930" t="s">
        <v>2594</v>
      </c>
      <c r="B1930" t="s">
        <v>124</v>
      </c>
      <c r="C1930" t="s">
        <v>31</v>
      </c>
      <c r="D1930" t="s">
        <v>234</v>
      </c>
      <c r="E1930">
        <v>1114</v>
      </c>
      <c r="F1930">
        <v>13</v>
      </c>
      <c r="G1930">
        <v>43</v>
      </c>
      <c r="H1930">
        <v>44</v>
      </c>
    </row>
    <row r="1931" spans="1:8" x14ac:dyDescent="0.25">
      <c r="A1931" t="s">
        <v>2595</v>
      </c>
      <c r="B1931" t="s">
        <v>124</v>
      </c>
      <c r="C1931" t="s">
        <v>31</v>
      </c>
      <c r="D1931" t="s">
        <v>235</v>
      </c>
      <c r="E1931">
        <v>1142</v>
      </c>
      <c r="F1931">
        <v>13</v>
      </c>
      <c r="G1931">
        <v>44</v>
      </c>
      <c r="H1931">
        <v>43</v>
      </c>
    </row>
    <row r="1932" spans="1:8" x14ac:dyDescent="0.25">
      <c r="A1932" t="s">
        <v>2596</v>
      </c>
      <c r="B1932" t="s">
        <v>124</v>
      </c>
      <c r="C1932" t="s">
        <v>31</v>
      </c>
      <c r="D1932" t="s">
        <v>236</v>
      </c>
      <c r="E1932">
        <v>1048</v>
      </c>
      <c r="F1932">
        <v>15</v>
      </c>
      <c r="G1932">
        <v>48</v>
      </c>
      <c r="H1932">
        <v>37</v>
      </c>
    </row>
    <row r="1933" spans="1:8" x14ac:dyDescent="0.25">
      <c r="A1933" t="s">
        <v>2597</v>
      </c>
      <c r="B1933" t="s">
        <v>124</v>
      </c>
      <c r="C1933" t="s">
        <v>31</v>
      </c>
      <c r="D1933" t="s">
        <v>237</v>
      </c>
      <c r="E1933">
        <v>1014</v>
      </c>
      <c r="F1933">
        <v>17</v>
      </c>
      <c r="G1933">
        <v>42</v>
      </c>
      <c r="H1933">
        <v>41</v>
      </c>
    </row>
    <row r="1934" spans="1:8" x14ac:dyDescent="0.25">
      <c r="A1934" t="s">
        <v>2598</v>
      </c>
      <c r="B1934" t="s">
        <v>124</v>
      </c>
      <c r="C1934" t="s">
        <v>31</v>
      </c>
      <c r="D1934" t="s">
        <v>238</v>
      </c>
      <c r="E1934">
        <v>1101</v>
      </c>
      <c r="F1934">
        <v>15</v>
      </c>
      <c r="G1934">
        <v>50</v>
      </c>
      <c r="H1934">
        <v>35</v>
      </c>
    </row>
    <row r="1935" spans="1:8" x14ac:dyDescent="0.25">
      <c r="A1935" t="s">
        <v>2599</v>
      </c>
      <c r="B1935" t="s">
        <v>124</v>
      </c>
      <c r="C1935" t="s">
        <v>31</v>
      </c>
      <c r="D1935" t="s">
        <v>239</v>
      </c>
      <c r="E1935">
        <v>1040</v>
      </c>
      <c r="F1935">
        <v>17</v>
      </c>
      <c r="G1935">
        <v>49</v>
      </c>
      <c r="H1935">
        <v>34</v>
      </c>
    </row>
    <row r="1936" spans="1:8" x14ac:dyDescent="0.25">
      <c r="A1936" t="s">
        <v>2600</v>
      </c>
      <c r="B1936" t="s">
        <v>124</v>
      </c>
      <c r="C1936" t="s">
        <v>31</v>
      </c>
      <c r="D1936" t="s">
        <v>47</v>
      </c>
      <c r="E1936">
        <v>997</v>
      </c>
      <c r="F1936">
        <v>21</v>
      </c>
      <c r="G1936">
        <v>48</v>
      </c>
      <c r="H1936">
        <v>31</v>
      </c>
    </row>
    <row r="1937" spans="1:8" x14ac:dyDescent="0.25">
      <c r="A1937" t="s">
        <v>2601</v>
      </c>
      <c r="B1937" t="s">
        <v>123</v>
      </c>
      <c r="C1937" t="s">
        <v>103</v>
      </c>
      <c r="D1937" t="s">
        <v>232</v>
      </c>
      <c r="E1937">
        <v>258</v>
      </c>
      <c r="F1937">
        <v>9</v>
      </c>
      <c r="G1937">
        <v>56</v>
      </c>
      <c r="H1937">
        <v>35</v>
      </c>
    </row>
    <row r="1938" spans="1:8" x14ac:dyDescent="0.25">
      <c r="A1938" t="s">
        <v>2602</v>
      </c>
      <c r="B1938" t="s">
        <v>123</v>
      </c>
      <c r="C1938" t="s">
        <v>103</v>
      </c>
      <c r="D1938" t="s">
        <v>233</v>
      </c>
      <c r="E1938">
        <v>223</v>
      </c>
      <c r="F1938">
        <v>4</v>
      </c>
      <c r="G1938">
        <v>57</v>
      </c>
      <c r="H1938">
        <v>39</v>
      </c>
    </row>
    <row r="1939" spans="1:8" x14ac:dyDescent="0.25">
      <c r="A1939" t="s">
        <v>2603</v>
      </c>
      <c r="B1939" t="s">
        <v>123</v>
      </c>
      <c r="C1939" t="s">
        <v>103</v>
      </c>
      <c r="D1939" t="s">
        <v>234</v>
      </c>
      <c r="E1939">
        <v>236</v>
      </c>
      <c r="F1939">
        <v>7</v>
      </c>
      <c r="G1939">
        <v>53</v>
      </c>
      <c r="H1939">
        <v>40</v>
      </c>
    </row>
    <row r="1940" spans="1:8" x14ac:dyDescent="0.25">
      <c r="A1940" t="s">
        <v>2604</v>
      </c>
      <c r="B1940" t="s">
        <v>123</v>
      </c>
      <c r="C1940" t="s">
        <v>103</v>
      </c>
      <c r="D1940" t="s">
        <v>235</v>
      </c>
      <c r="E1940">
        <v>243</v>
      </c>
      <c r="F1940">
        <v>6</v>
      </c>
      <c r="G1940">
        <v>55</v>
      </c>
      <c r="H1940">
        <v>39</v>
      </c>
    </row>
    <row r="1941" spans="1:8" x14ac:dyDescent="0.25">
      <c r="A1941" t="s">
        <v>2605</v>
      </c>
      <c r="B1941" t="s">
        <v>123</v>
      </c>
      <c r="C1941" t="s">
        <v>103</v>
      </c>
      <c r="D1941" t="s">
        <v>236</v>
      </c>
      <c r="E1941">
        <v>213</v>
      </c>
      <c r="F1941">
        <v>3</v>
      </c>
      <c r="G1941">
        <v>62</v>
      </c>
      <c r="H1941">
        <v>35</v>
      </c>
    </row>
    <row r="1942" spans="1:8" x14ac:dyDescent="0.25">
      <c r="A1942" t="s">
        <v>2606</v>
      </c>
      <c r="B1942" t="s">
        <v>123</v>
      </c>
      <c r="C1942" t="s">
        <v>103</v>
      </c>
      <c r="D1942" t="s">
        <v>237</v>
      </c>
      <c r="E1942">
        <v>215</v>
      </c>
      <c r="F1942">
        <v>6</v>
      </c>
      <c r="G1942">
        <v>60</v>
      </c>
      <c r="H1942">
        <v>34</v>
      </c>
    </row>
    <row r="1943" spans="1:8" x14ac:dyDescent="0.25">
      <c r="A1943" t="s">
        <v>2607</v>
      </c>
      <c r="B1943" t="s">
        <v>123</v>
      </c>
      <c r="C1943" t="s">
        <v>103</v>
      </c>
      <c r="D1943" t="s">
        <v>238</v>
      </c>
      <c r="E1943">
        <v>218</v>
      </c>
      <c r="F1943">
        <v>8</v>
      </c>
      <c r="G1943">
        <v>63</v>
      </c>
      <c r="H1943">
        <v>29</v>
      </c>
    </row>
    <row r="1944" spans="1:8" x14ac:dyDescent="0.25">
      <c r="A1944" t="s">
        <v>2608</v>
      </c>
      <c r="B1944" t="s">
        <v>123</v>
      </c>
      <c r="C1944" t="s">
        <v>103</v>
      </c>
      <c r="D1944" t="s">
        <v>239</v>
      </c>
      <c r="E1944">
        <v>197</v>
      </c>
      <c r="F1944">
        <v>11</v>
      </c>
      <c r="G1944">
        <v>60</v>
      </c>
      <c r="H1944">
        <v>29</v>
      </c>
    </row>
    <row r="1945" spans="1:8" x14ac:dyDescent="0.25">
      <c r="A1945" t="s">
        <v>2609</v>
      </c>
      <c r="B1945" t="s">
        <v>123</v>
      </c>
      <c r="C1945" t="s">
        <v>103</v>
      </c>
      <c r="D1945" t="s">
        <v>47</v>
      </c>
      <c r="E1945">
        <v>208</v>
      </c>
      <c r="F1945">
        <v>13</v>
      </c>
      <c r="G1945">
        <v>60</v>
      </c>
      <c r="H1945">
        <v>27</v>
      </c>
    </row>
    <row r="1946" spans="1:8" x14ac:dyDescent="0.25">
      <c r="A1946" t="s">
        <v>2610</v>
      </c>
      <c r="B1946" t="s">
        <v>123</v>
      </c>
      <c r="C1946" t="s">
        <v>100</v>
      </c>
      <c r="D1946" t="s">
        <v>232</v>
      </c>
      <c r="E1946">
        <v>274</v>
      </c>
      <c r="F1946">
        <v>12</v>
      </c>
      <c r="G1946">
        <v>51</v>
      </c>
      <c r="H1946">
        <v>37</v>
      </c>
    </row>
    <row r="1947" spans="1:8" x14ac:dyDescent="0.25">
      <c r="A1947" t="s">
        <v>2611</v>
      </c>
      <c r="B1947" t="s">
        <v>123</v>
      </c>
      <c r="C1947" t="s">
        <v>100</v>
      </c>
      <c r="D1947" t="s">
        <v>233</v>
      </c>
      <c r="E1947">
        <v>235</v>
      </c>
      <c r="F1947">
        <v>14</v>
      </c>
      <c r="G1947">
        <v>57</v>
      </c>
      <c r="H1947">
        <v>29</v>
      </c>
    </row>
    <row r="1948" spans="1:8" x14ac:dyDescent="0.25">
      <c r="A1948" t="s">
        <v>2612</v>
      </c>
      <c r="B1948" t="s">
        <v>123</v>
      </c>
      <c r="C1948" t="s">
        <v>100</v>
      </c>
      <c r="D1948" t="s">
        <v>234</v>
      </c>
      <c r="E1948">
        <v>253</v>
      </c>
      <c r="F1948">
        <v>13</v>
      </c>
      <c r="G1948">
        <v>52</v>
      </c>
      <c r="H1948">
        <v>35</v>
      </c>
    </row>
    <row r="1949" spans="1:8" x14ac:dyDescent="0.25">
      <c r="A1949" t="s">
        <v>2613</v>
      </c>
      <c r="B1949" t="s">
        <v>123</v>
      </c>
      <c r="C1949" t="s">
        <v>100</v>
      </c>
      <c r="D1949" t="s">
        <v>235</v>
      </c>
      <c r="E1949">
        <v>258</v>
      </c>
      <c r="F1949">
        <v>10</v>
      </c>
      <c r="G1949">
        <v>57</v>
      </c>
      <c r="H1949">
        <v>33</v>
      </c>
    </row>
    <row r="1950" spans="1:8" x14ac:dyDescent="0.25">
      <c r="A1950" t="s">
        <v>2614</v>
      </c>
      <c r="B1950" t="s">
        <v>123</v>
      </c>
      <c r="C1950" t="s">
        <v>100</v>
      </c>
      <c r="D1950" t="s">
        <v>236</v>
      </c>
      <c r="E1950">
        <v>228</v>
      </c>
      <c r="F1950">
        <v>14</v>
      </c>
      <c r="G1950">
        <v>63</v>
      </c>
      <c r="H1950">
        <v>23</v>
      </c>
    </row>
    <row r="1951" spans="1:8" x14ac:dyDescent="0.25">
      <c r="A1951" t="s">
        <v>2615</v>
      </c>
      <c r="B1951" t="s">
        <v>123</v>
      </c>
      <c r="C1951" t="s">
        <v>100</v>
      </c>
      <c r="D1951" t="s">
        <v>237</v>
      </c>
      <c r="E1951">
        <v>229</v>
      </c>
      <c r="F1951">
        <v>17</v>
      </c>
      <c r="G1951">
        <v>62</v>
      </c>
      <c r="H1951">
        <v>21</v>
      </c>
    </row>
    <row r="1952" spans="1:8" x14ac:dyDescent="0.25">
      <c r="A1952" t="s">
        <v>2616</v>
      </c>
      <c r="B1952" t="s">
        <v>123</v>
      </c>
      <c r="C1952" t="s">
        <v>100</v>
      </c>
      <c r="D1952" t="s">
        <v>238</v>
      </c>
      <c r="E1952">
        <v>234</v>
      </c>
      <c r="F1952">
        <v>21</v>
      </c>
      <c r="G1952">
        <v>58</v>
      </c>
      <c r="H1952">
        <v>21</v>
      </c>
    </row>
    <row r="1953" spans="1:8" x14ac:dyDescent="0.25">
      <c r="A1953" t="s">
        <v>2617</v>
      </c>
      <c r="B1953" t="s">
        <v>123</v>
      </c>
      <c r="C1953" t="s">
        <v>100</v>
      </c>
      <c r="D1953" t="s">
        <v>239</v>
      </c>
      <c r="E1953">
        <v>206</v>
      </c>
      <c r="F1953">
        <v>14</v>
      </c>
      <c r="G1953">
        <v>62</v>
      </c>
      <c r="H1953">
        <v>24</v>
      </c>
    </row>
    <row r="1954" spans="1:8" x14ac:dyDescent="0.25">
      <c r="A1954" t="s">
        <v>2618</v>
      </c>
      <c r="B1954" t="s">
        <v>123</v>
      </c>
      <c r="C1954" t="s">
        <v>100</v>
      </c>
      <c r="D1954" t="s">
        <v>47</v>
      </c>
      <c r="E1954">
        <v>225</v>
      </c>
      <c r="F1954">
        <v>18</v>
      </c>
      <c r="G1954">
        <v>65</v>
      </c>
      <c r="H1954">
        <v>17</v>
      </c>
    </row>
    <row r="1955" spans="1:8" x14ac:dyDescent="0.25">
      <c r="A1955" t="s">
        <v>2619</v>
      </c>
      <c r="B1955" t="s">
        <v>123</v>
      </c>
      <c r="C1955" t="s">
        <v>101</v>
      </c>
      <c r="D1955" t="s">
        <v>232</v>
      </c>
      <c r="E1955">
        <v>215</v>
      </c>
      <c r="F1955">
        <v>12</v>
      </c>
      <c r="G1955">
        <v>55</v>
      </c>
      <c r="H1955">
        <v>33</v>
      </c>
    </row>
    <row r="1956" spans="1:8" x14ac:dyDescent="0.25">
      <c r="A1956" t="s">
        <v>2620</v>
      </c>
      <c r="B1956" t="s">
        <v>123</v>
      </c>
      <c r="C1956" t="s">
        <v>101</v>
      </c>
      <c r="D1956" t="s">
        <v>233</v>
      </c>
      <c r="E1956">
        <v>179</v>
      </c>
      <c r="F1956">
        <v>13</v>
      </c>
      <c r="G1956">
        <v>55</v>
      </c>
      <c r="H1956">
        <v>32</v>
      </c>
    </row>
    <row r="1957" spans="1:8" x14ac:dyDescent="0.25">
      <c r="A1957" t="s">
        <v>2621</v>
      </c>
      <c r="B1957" t="s">
        <v>123</v>
      </c>
      <c r="C1957" t="s">
        <v>101</v>
      </c>
      <c r="D1957" t="s">
        <v>234</v>
      </c>
      <c r="E1957">
        <v>188</v>
      </c>
      <c r="F1957">
        <v>11</v>
      </c>
      <c r="G1957">
        <v>50</v>
      </c>
      <c r="H1957">
        <v>39</v>
      </c>
    </row>
    <row r="1958" spans="1:8" x14ac:dyDescent="0.25">
      <c r="A1958" t="s">
        <v>2622</v>
      </c>
      <c r="B1958" t="s">
        <v>123</v>
      </c>
      <c r="C1958" t="s">
        <v>101</v>
      </c>
      <c r="D1958" t="s">
        <v>235</v>
      </c>
      <c r="E1958">
        <v>191</v>
      </c>
      <c r="F1958">
        <v>11</v>
      </c>
      <c r="G1958">
        <v>49</v>
      </c>
      <c r="H1958">
        <v>40</v>
      </c>
    </row>
    <row r="1959" spans="1:8" x14ac:dyDescent="0.25">
      <c r="A1959" t="s">
        <v>2623</v>
      </c>
      <c r="B1959" t="s">
        <v>123</v>
      </c>
      <c r="C1959" t="s">
        <v>101</v>
      </c>
      <c r="D1959" t="s">
        <v>236</v>
      </c>
      <c r="E1959">
        <v>173</v>
      </c>
      <c r="F1959">
        <v>11</v>
      </c>
      <c r="G1959">
        <v>59</v>
      </c>
      <c r="H1959">
        <v>30</v>
      </c>
    </row>
    <row r="1960" spans="1:8" x14ac:dyDescent="0.25">
      <c r="A1960" t="s">
        <v>2624</v>
      </c>
      <c r="B1960" t="s">
        <v>123</v>
      </c>
      <c r="C1960" t="s">
        <v>101</v>
      </c>
      <c r="D1960" t="s">
        <v>237</v>
      </c>
      <c r="E1960">
        <v>169</v>
      </c>
      <c r="F1960">
        <v>15</v>
      </c>
      <c r="G1960">
        <v>54</v>
      </c>
      <c r="H1960">
        <v>31</v>
      </c>
    </row>
    <row r="1961" spans="1:8" x14ac:dyDescent="0.25">
      <c r="A1961" t="s">
        <v>2625</v>
      </c>
      <c r="B1961" t="s">
        <v>123</v>
      </c>
      <c r="C1961" t="s">
        <v>101</v>
      </c>
      <c r="D1961" t="s">
        <v>238</v>
      </c>
      <c r="E1961">
        <v>168</v>
      </c>
      <c r="F1961">
        <v>17</v>
      </c>
      <c r="G1961">
        <v>62</v>
      </c>
      <c r="H1961">
        <v>21</v>
      </c>
    </row>
    <row r="1962" spans="1:8" x14ac:dyDescent="0.25">
      <c r="A1962" t="s">
        <v>2626</v>
      </c>
      <c r="B1962" t="s">
        <v>123</v>
      </c>
      <c r="C1962" t="s">
        <v>101</v>
      </c>
      <c r="D1962" t="s">
        <v>239</v>
      </c>
      <c r="E1962">
        <v>150</v>
      </c>
      <c r="F1962">
        <v>9</v>
      </c>
      <c r="G1962">
        <v>63</v>
      </c>
      <c r="H1962">
        <v>28</v>
      </c>
    </row>
    <row r="1963" spans="1:8" x14ac:dyDescent="0.25">
      <c r="A1963" t="s">
        <v>2627</v>
      </c>
      <c r="B1963" t="s">
        <v>123</v>
      </c>
      <c r="C1963" t="s">
        <v>101</v>
      </c>
      <c r="D1963" t="s">
        <v>47</v>
      </c>
      <c r="E1963">
        <v>160</v>
      </c>
      <c r="F1963">
        <v>17</v>
      </c>
      <c r="G1963">
        <v>68</v>
      </c>
      <c r="H1963">
        <v>15</v>
      </c>
    </row>
    <row r="1964" spans="1:8" x14ac:dyDescent="0.25">
      <c r="A1964" t="s">
        <v>2628</v>
      </c>
      <c r="B1964" t="s">
        <v>123</v>
      </c>
      <c r="C1964" t="s">
        <v>102</v>
      </c>
      <c r="D1964" t="s">
        <v>232</v>
      </c>
      <c r="E1964">
        <v>238</v>
      </c>
      <c r="F1964">
        <v>22</v>
      </c>
      <c r="G1964">
        <v>36</v>
      </c>
      <c r="H1964">
        <v>42</v>
      </c>
    </row>
    <row r="1965" spans="1:8" x14ac:dyDescent="0.25">
      <c r="A1965" t="s">
        <v>2629</v>
      </c>
      <c r="B1965" t="s">
        <v>123</v>
      </c>
      <c r="C1965" t="s">
        <v>102</v>
      </c>
      <c r="D1965" t="s">
        <v>233</v>
      </c>
      <c r="E1965">
        <v>203</v>
      </c>
      <c r="F1965">
        <v>20</v>
      </c>
      <c r="G1965">
        <v>43</v>
      </c>
      <c r="H1965">
        <v>37</v>
      </c>
    </row>
    <row r="1966" spans="1:8" x14ac:dyDescent="0.25">
      <c r="A1966" t="s">
        <v>2630</v>
      </c>
      <c r="B1966" t="s">
        <v>123</v>
      </c>
      <c r="C1966" t="s">
        <v>102</v>
      </c>
      <c r="D1966" t="s">
        <v>234</v>
      </c>
      <c r="E1966">
        <v>220</v>
      </c>
      <c r="F1966">
        <v>20</v>
      </c>
      <c r="G1966">
        <v>30</v>
      </c>
      <c r="H1966">
        <v>50</v>
      </c>
    </row>
    <row r="1967" spans="1:8" x14ac:dyDescent="0.25">
      <c r="A1967" t="s">
        <v>2631</v>
      </c>
      <c r="B1967" t="s">
        <v>123</v>
      </c>
      <c r="C1967" t="s">
        <v>102</v>
      </c>
      <c r="D1967" t="s">
        <v>235</v>
      </c>
      <c r="E1967">
        <v>223</v>
      </c>
      <c r="F1967">
        <v>19</v>
      </c>
      <c r="G1967">
        <v>32</v>
      </c>
      <c r="H1967">
        <v>49</v>
      </c>
    </row>
    <row r="1968" spans="1:8" x14ac:dyDescent="0.25">
      <c r="A1968" t="s">
        <v>2632</v>
      </c>
      <c r="B1968" t="s">
        <v>123</v>
      </c>
      <c r="C1968" t="s">
        <v>102</v>
      </c>
      <c r="D1968" t="s">
        <v>236</v>
      </c>
      <c r="E1968">
        <v>199</v>
      </c>
      <c r="F1968">
        <v>22</v>
      </c>
      <c r="G1968">
        <v>35</v>
      </c>
      <c r="H1968">
        <v>43</v>
      </c>
    </row>
    <row r="1969" spans="1:8" x14ac:dyDescent="0.25">
      <c r="A1969" t="s">
        <v>2633</v>
      </c>
      <c r="B1969" t="s">
        <v>123</v>
      </c>
      <c r="C1969" t="s">
        <v>102</v>
      </c>
      <c r="D1969" t="s">
        <v>237</v>
      </c>
      <c r="E1969">
        <v>186</v>
      </c>
      <c r="F1969">
        <v>18</v>
      </c>
      <c r="G1969">
        <v>41</v>
      </c>
      <c r="H1969">
        <v>41</v>
      </c>
    </row>
    <row r="1970" spans="1:8" x14ac:dyDescent="0.25">
      <c r="A1970" t="s">
        <v>2634</v>
      </c>
      <c r="B1970" t="s">
        <v>123</v>
      </c>
      <c r="C1970" t="s">
        <v>102</v>
      </c>
      <c r="D1970" t="s">
        <v>238</v>
      </c>
      <c r="E1970">
        <v>204</v>
      </c>
      <c r="F1970">
        <v>21</v>
      </c>
      <c r="G1970">
        <v>39</v>
      </c>
      <c r="H1970">
        <v>40</v>
      </c>
    </row>
    <row r="1971" spans="1:8" x14ac:dyDescent="0.25">
      <c r="A1971" t="s">
        <v>2635</v>
      </c>
      <c r="B1971" t="s">
        <v>123</v>
      </c>
      <c r="C1971" t="s">
        <v>102</v>
      </c>
      <c r="D1971" t="s">
        <v>239</v>
      </c>
      <c r="E1971">
        <v>175</v>
      </c>
      <c r="F1971">
        <v>18</v>
      </c>
      <c r="G1971">
        <v>45</v>
      </c>
      <c r="H1971">
        <v>37</v>
      </c>
    </row>
    <row r="1972" spans="1:8" x14ac:dyDescent="0.25">
      <c r="A1972" t="s">
        <v>2636</v>
      </c>
      <c r="B1972" t="s">
        <v>123</v>
      </c>
      <c r="C1972" t="s">
        <v>102</v>
      </c>
      <c r="D1972" t="s">
        <v>47</v>
      </c>
      <c r="E1972">
        <v>197</v>
      </c>
      <c r="F1972">
        <v>22</v>
      </c>
      <c r="G1972">
        <v>46</v>
      </c>
      <c r="H1972">
        <v>32</v>
      </c>
    </row>
    <row r="1973" spans="1:8" x14ac:dyDescent="0.25">
      <c r="A1973" t="s">
        <v>2637</v>
      </c>
      <c r="B1973" t="s">
        <v>123</v>
      </c>
      <c r="C1973" t="s">
        <v>31</v>
      </c>
      <c r="D1973" t="s">
        <v>232</v>
      </c>
      <c r="E1973">
        <v>270</v>
      </c>
      <c r="F1973">
        <v>15</v>
      </c>
      <c r="G1973">
        <v>44</v>
      </c>
      <c r="H1973">
        <v>41</v>
      </c>
    </row>
    <row r="1974" spans="1:8" x14ac:dyDescent="0.25">
      <c r="A1974" t="s">
        <v>2638</v>
      </c>
      <c r="B1974" t="s">
        <v>123</v>
      </c>
      <c r="C1974" t="s">
        <v>31</v>
      </c>
      <c r="D1974" t="s">
        <v>233</v>
      </c>
      <c r="E1974">
        <v>238</v>
      </c>
      <c r="F1974">
        <v>16</v>
      </c>
      <c r="G1974">
        <v>40</v>
      </c>
      <c r="H1974">
        <v>44</v>
      </c>
    </row>
    <row r="1975" spans="1:8" x14ac:dyDescent="0.25">
      <c r="A1975" t="s">
        <v>2639</v>
      </c>
      <c r="B1975" t="s">
        <v>123</v>
      </c>
      <c r="C1975" t="s">
        <v>31</v>
      </c>
      <c r="D1975" t="s">
        <v>234</v>
      </c>
      <c r="E1975">
        <v>252</v>
      </c>
      <c r="F1975">
        <v>11</v>
      </c>
      <c r="G1975">
        <v>34</v>
      </c>
      <c r="H1975">
        <v>55</v>
      </c>
    </row>
    <row r="1976" spans="1:8" x14ac:dyDescent="0.25">
      <c r="A1976" t="s">
        <v>2640</v>
      </c>
      <c r="B1976" t="s">
        <v>123</v>
      </c>
      <c r="C1976" t="s">
        <v>31</v>
      </c>
      <c r="D1976" t="s">
        <v>235</v>
      </c>
      <c r="E1976">
        <v>257</v>
      </c>
      <c r="F1976">
        <v>10</v>
      </c>
      <c r="G1976">
        <v>36</v>
      </c>
      <c r="H1976">
        <v>54</v>
      </c>
    </row>
    <row r="1977" spans="1:8" x14ac:dyDescent="0.25">
      <c r="A1977" t="s">
        <v>2641</v>
      </c>
      <c r="B1977" t="s">
        <v>123</v>
      </c>
      <c r="C1977" t="s">
        <v>31</v>
      </c>
      <c r="D1977" t="s">
        <v>236</v>
      </c>
      <c r="E1977">
        <v>229</v>
      </c>
      <c r="F1977">
        <v>10</v>
      </c>
      <c r="G1977">
        <v>43</v>
      </c>
      <c r="H1977">
        <v>47</v>
      </c>
    </row>
    <row r="1978" spans="1:8" x14ac:dyDescent="0.25">
      <c r="A1978" t="s">
        <v>2642</v>
      </c>
      <c r="B1978" t="s">
        <v>123</v>
      </c>
      <c r="C1978" t="s">
        <v>31</v>
      </c>
      <c r="D1978" t="s">
        <v>237</v>
      </c>
      <c r="E1978">
        <v>228</v>
      </c>
      <c r="F1978">
        <v>14</v>
      </c>
      <c r="G1978">
        <v>41</v>
      </c>
      <c r="H1978">
        <v>45</v>
      </c>
    </row>
    <row r="1979" spans="1:8" x14ac:dyDescent="0.25">
      <c r="A1979" t="s">
        <v>2643</v>
      </c>
      <c r="B1979" t="s">
        <v>123</v>
      </c>
      <c r="C1979" t="s">
        <v>31</v>
      </c>
      <c r="D1979" t="s">
        <v>238</v>
      </c>
      <c r="E1979">
        <v>234</v>
      </c>
      <c r="F1979">
        <v>13</v>
      </c>
      <c r="G1979">
        <v>44</v>
      </c>
      <c r="H1979">
        <v>43</v>
      </c>
    </row>
    <row r="1980" spans="1:8" x14ac:dyDescent="0.25">
      <c r="A1980" t="s">
        <v>2644</v>
      </c>
      <c r="B1980" t="s">
        <v>123</v>
      </c>
      <c r="C1980" t="s">
        <v>31</v>
      </c>
      <c r="D1980" t="s">
        <v>239</v>
      </c>
      <c r="E1980">
        <v>212</v>
      </c>
      <c r="F1980">
        <v>17</v>
      </c>
      <c r="G1980">
        <v>53</v>
      </c>
      <c r="H1980">
        <v>30</v>
      </c>
    </row>
    <row r="1981" spans="1:8" x14ac:dyDescent="0.25">
      <c r="A1981" t="s">
        <v>2645</v>
      </c>
      <c r="B1981" t="s">
        <v>123</v>
      </c>
      <c r="C1981" t="s">
        <v>31</v>
      </c>
      <c r="D1981" t="s">
        <v>47</v>
      </c>
      <c r="E1981">
        <v>223</v>
      </c>
      <c r="F1981">
        <v>19</v>
      </c>
      <c r="G1981">
        <v>53</v>
      </c>
      <c r="H1981">
        <v>28</v>
      </c>
    </row>
    <row r="1982" spans="1:8" x14ac:dyDescent="0.25">
      <c r="A1982" t="s">
        <v>2646</v>
      </c>
      <c r="B1982" t="s">
        <v>129</v>
      </c>
      <c r="C1982" t="s">
        <v>103</v>
      </c>
      <c r="D1982" t="s">
        <v>232</v>
      </c>
      <c r="E1982">
        <v>137</v>
      </c>
      <c r="F1982">
        <v>12</v>
      </c>
      <c r="G1982">
        <v>59</v>
      </c>
      <c r="H1982">
        <v>29</v>
      </c>
    </row>
    <row r="1983" spans="1:8" x14ac:dyDescent="0.25">
      <c r="A1983" t="s">
        <v>2647</v>
      </c>
      <c r="B1983" t="s">
        <v>129</v>
      </c>
      <c r="C1983" t="s">
        <v>103</v>
      </c>
      <c r="D1983" t="s">
        <v>233</v>
      </c>
      <c r="E1983">
        <v>112</v>
      </c>
      <c r="F1983">
        <v>8</v>
      </c>
      <c r="G1983">
        <v>64</v>
      </c>
      <c r="H1983">
        <v>28</v>
      </c>
    </row>
    <row r="1984" spans="1:8" x14ac:dyDescent="0.25">
      <c r="A1984" t="s">
        <v>2648</v>
      </c>
      <c r="B1984" t="s">
        <v>129</v>
      </c>
      <c r="C1984" t="s">
        <v>103</v>
      </c>
      <c r="D1984" t="s">
        <v>234</v>
      </c>
      <c r="E1984">
        <v>111</v>
      </c>
      <c r="F1984">
        <v>6</v>
      </c>
      <c r="G1984">
        <v>57</v>
      </c>
      <c r="H1984">
        <v>37</v>
      </c>
    </row>
    <row r="1985" spans="1:8" x14ac:dyDescent="0.25">
      <c r="A1985" t="s">
        <v>2649</v>
      </c>
      <c r="B1985" t="s">
        <v>129</v>
      </c>
      <c r="C1985" t="s">
        <v>103</v>
      </c>
      <c r="D1985" t="s">
        <v>235</v>
      </c>
      <c r="E1985">
        <v>91</v>
      </c>
      <c r="F1985">
        <v>8</v>
      </c>
      <c r="G1985">
        <v>66</v>
      </c>
      <c r="H1985">
        <v>26</v>
      </c>
    </row>
    <row r="1986" spans="1:8" x14ac:dyDescent="0.25">
      <c r="A1986" t="s">
        <v>2650</v>
      </c>
      <c r="B1986" t="s">
        <v>129</v>
      </c>
      <c r="C1986" t="s">
        <v>103</v>
      </c>
      <c r="D1986" t="s">
        <v>236</v>
      </c>
      <c r="E1986">
        <v>90</v>
      </c>
      <c r="F1986">
        <v>6</v>
      </c>
      <c r="G1986">
        <v>61</v>
      </c>
      <c r="H1986">
        <v>33</v>
      </c>
    </row>
    <row r="1987" spans="1:8" x14ac:dyDescent="0.25">
      <c r="A1987" t="s">
        <v>2651</v>
      </c>
      <c r="B1987" t="s">
        <v>129</v>
      </c>
      <c r="C1987" t="s">
        <v>103</v>
      </c>
      <c r="D1987" t="s">
        <v>237</v>
      </c>
      <c r="E1987">
        <v>87</v>
      </c>
      <c r="F1987">
        <v>5</v>
      </c>
      <c r="G1987">
        <v>67</v>
      </c>
      <c r="H1987">
        <v>28</v>
      </c>
    </row>
    <row r="1988" spans="1:8" x14ac:dyDescent="0.25">
      <c r="A1988" t="s">
        <v>2652</v>
      </c>
      <c r="B1988" t="s">
        <v>129</v>
      </c>
      <c r="C1988" t="s">
        <v>103</v>
      </c>
      <c r="D1988" t="s">
        <v>238</v>
      </c>
      <c r="E1988">
        <v>105</v>
      </c>
      <c r="F1988">
        <v>8</v>
      </c>
      <c r="G1988">
        <v>64</v>
      </c>
      <c r="H1988">
        <v>28</v>
      </c>
    </row>
    <row r="1989" spans="1:8" x14ac:dyDescent="0.25">
      <c r="A1989" t="s">
        <v>2653</v>
      </c>
      <c r="B1989" t="s">
        <v>129</v>
      </c>
      <c r="C1989" t="s">
        <v>103</v>
      </c>
      <c r="D1989" t="s">
        <v>239</v>
      </c>
      <c r="E1989">
        <v>88</v>
      </c>
      <c r="F1989">
        <v>4</v>
      </c>
      <c r="G1989">
        <v>65</v>
      </c>
      <c r="H1989">
        <v>31</v>
      </c>
    </row>
    <row r="1990" spans="1:8" x14ac:dyDescent="0.25">
      <c r="A1990" t="s">
        <v>2654</v>
      </c>
      <c r="B1990" t="s">
        <v>129</v>
      </c>
      <c r="C1990" t="s">
        <v>103</v>
      </c>
      <c r="D1990" t="s">
        <v>47</v>
      </c>
      <c r="E1990">
        <v>98</v>
      </c>
      <c r="F1990">
        <v>5</v>
      </c>
      <c r="G1990">
        <v>56</v>
      </c>
      <c r="H1990">
        <v>39</v>
      </c>
    </row>
    <row r="1991" spans="1:8" x14ac:dyDescent="0.25">
      <c r="A1991" t="s">
        <v>2655</v>
      </c>
      <c r="B1991" t="s">
        <v>129</v>
      </c>
      <c r="C1991" t="s">
        <v>100</v>
      </c>
      <c r="D1991" t="s">
        <v>232</v>
      </c>
      <c r="E1991">
        <v>138</v>
      </c>
      <c r="F1991">
        <v>10</v>
      </c>
      <c r="G1991">
        <v>57</v>
      </c>
      <c r="H1991">
        <v>33</v>
      </c>
    </row>
    <row r="1992" spans="1:8" x14ac:dyDescent="0.25">
      <c r="A1992" t="s">
        <v>2656</v>
      </c>
      <c r="B1992" t="s">
        <v>129</v>
      </c>
      <c r="C1992" t="s">
        <v>100</v>
      </c>
      <c r="D1992" t="s">
        <v>233</v>
      </c>
      <c r="E1992">
        <v>113</v>
      </c>
      <c r="F1992">
        <v>16</v>
      </c>
      <c r="G1992">
        <v>53</v>
      </c>
      <c r="H1992">
        <v>31</v>
      </c>
    </row>
    <row r="1993" spans="1:8" x14ac:dyDescent="0.25">
      <c r="A1993" t="s">
        <v>2657</v>
      </c>
      <c r="B1993" t="s">
        <v>129</v>
      </c>
      <c r="C1993" t="s">
        <v>100</v>
      </c>
      <c r="D1993" t="s">
        <v>234</v>
      </c>
      <c r="E1993">
        <v>115</v>
      </c>
      <c r="F1993">
        <v>13</v>
      </c>
      <c r="G1993">
        <v>49</v>
      </c>
      <c r="H1993">
        <v>38</v>
      </c>
    </row>
    <row r="1994" spans="1:8" x14ac:dyDescent="0.25">
      <c r="A1994" t="s">
        <v>2658</v>
      </c>
      <c r="B1994" t="s">
        <v>129</v>
      </c>
      <c r="C1994" t="s">
        <v>100</v>
      </c>
      <c r="D1994" t="s">
        <v>235</v>
      </c>
      <c r="E1994">
        <v>91</v>
      </c>
      <c r="F1994">
        <v>16</v>
      </c>
      <c r="G1994">
        <v>53</v>
      </c>
      <c r="H1994">
        <v>31</v>
      </c>
    </row>
    <row r="1995" spans="1:8" x14ac:dyDescent="0.25">
      <c r="A1995" t="s">
        <v>2659</v>
      </c>
      <c r="B1995" t="s">
        <v>129</v>
      </c>
      <c r="C1995" t="s">
        <v>100</v>
      </c>
      <c r="D1995" t="s">
        <v>236</v>
      </c>
      <c r="E1995">
        <v>91</v>
      </c>
      <c r="F1995">
        <v>15</v>
      </c>
      <c r="G1995">
        <v>49</v>
      </c>
      <c r="H1995">
        <v>36</v>
      </c>
    </row>
    <row r="1996" spans="1:8" x14ac:dyDescent="0.25">
      <c r="A1996" t="s">
        <v>2660</v>
      </c>
      <c r="B1996" t="s">
        <v>129</v>
      </c>
      <c r="C1996" t="s">
        <v>100</v>
      </c>
      <c r="D1996" t="s">
        <v>237</v>
      </c>
      <c r="E1996">
        <v>86</v>
      </c>
      <c r="F1996">
        <v>26</v>
      </c>
      <c r="G1996">
        <v>51</v>
      </c>
      <c r="H1996">
        <v>23</v>
      </c>
    </row>
    <row r="1997" spans="1:8" x14ac:dyDescent="0.25">
      <c r="A1997" t="s">
        <v>2661</v>
      </c>
      <c r="B1997" t="s">
        <v>129</v>
      </c>
      <c r="C1997" t="s">
        <v>100</v>
      </c>
      <c r="D1997" t="s">
        <v>238</v>
      </c>
      <c r="E1997">
        <v>108</v>
      </c>
      <c r="F1997">
        <v>16</v>
      </c>
      <c r="G1997">
        <v>66</v>
      </c>
      <c r="H1997">
        <v>18</v>
      </c>
    </row>
    <row r="1998" spans="1:8" x14ac:dyDescent="0.25">
      <c r="A1998" t="s">
        <v>2662</v>
      </c>
      <c r="B1998" t="s">
        <v>129</v>
      </c>
      <c r="C1998" t="s">
        <v>100</v>
      </c>
      <c r="D1998" t="s">
        <v>239</v>
      </c>
      <c r="E1998">
        <v>89</v>
      </c>
      <c r="F1998">
        <v>15</v>
      </c>
      <c r="G1998">
        <v>47</v>
      </c>
      <c r="H1998">
        <v>38</v>
      </c>
    </row>
    <row r="1999" spans="1:8" x14ac:dyDescent="0.25">
      <c r="A1999" t="s">
        <v>2663</v>
      </c>
      <c r="B1999" t="s">
        <v>129</v>
      </c>
      <c r="C1999" t="s">
        <v>100</v>
      </c>
      <c r="D1999" t="s">
        <v>47</v>
      </c>
      <c r="E1999">
        <v>100</v>
      </c>
      <c r="F1999">
        <v>16</v>
      </c>
      <c r="G1999">
        <v>53</v>
      </c>
      <c r="H1999">
        <v>31</v>
      </c>
    </row>
    <row r="2000" spans="1:8" x14ac:dyDescent="0.25">
      <c r="A2000" t="s">
        <v>2664</v>
      </c>
      <c r="B2000" t="s">
        <v>129</v>
      </c>
      <c r="C2000" t="s">
        <v>101</v>
      </c>
      <c r="D2000" t="s">
        <v>232</v>
      </c>
      <c r="E2000">
        <v>86</v>
      </c>
      <c r="F2000">
        <v>17</v>
      </c>
      <c r="G2000">
        <v>61</v>
      </c>
      <c r="H2000">
        <v>22</v>
      </c>
    </row>
    <row r="2001" spans="1:8" x14ac:dyDescent="0.25">
      <c r="A2001" t="s">
        <v>2665</v>
      </c>
      <c r="B2001" t="s">
        <v>129</v>
      </c>
      <c r="C2001" t="s">
        <v>101</v>
      </c>
      <c r="D2001" t="s">
        <v>233</v>
      </c>
      <c r="E2001">
        <v>73</v>
      </c>
      <c r="F2001">
        <v>14</v>
      </c>
      <c r="G2001">
        <v>54</v>
      </c>
      <c r="H2001">
        <v>32</v>
      </c>
    </row>
    <row r="2002" spans="1:8" x14ac:dyDescent="0.25">
      <c r="A2002" t="s">
        <v>2666</v>
      </c>
      <c r="B2002" t="s">
        <v>129</v>
      </c>
      <c r="C2002" t="s">
        <v>101</v>
      </c>
      <c r="D2002" t="s">
        <v>234</v>
      </c>
      <c r="E2002">
        <v>70</v>
      </c>
      <c r="F2002">
        <v>13</v>
      </c>
      <c r="G2002">
        <v>53</v>
      </c>
      <c r="H2002">
        <v>34</v>
      </c>
    </row>
    <row r="2003" spans="1:8" x14ac:dyDescent="0.25">
      <c r="A2003" t="s">
        <v>2667</v>
      </c>
      <c r="B2003" t="s">
        <v>129</v>
      </c>
      <c r="C2003" t="s">
        <v>101</v>
      </c>
      <c r="D2003" t="s">
        <v>235</v>
      </c>
      <c r="E2003">
        <v>57</v>
      </c>
      <c r="F2003">
        <v>8</v>
      </c>
      <c r="G2003">
        <v>68</v>
      </c>
      <c r="H2003">
        <v>24</v>
      </c>
    </row>
    <row r="2004" spans="1:8" x14ac:dyDescent="0.25">
      <c r="A2004" t="s">
        <v>2668</v>
      </c>
      <c r="B2004" t="s">
        <v>129</v>
      </c>
      <c r="C2004" t="s">
        <v>101</v>
      </c>
      <c r="D2004" t="s">
        <v>236</v>
      </c>
      <c r="E2004">
        <v>56</v>
      </c>
      <c r="F2004">
        <v>13</v>
      </c>
      <c r="G2004">
        <v>43</v>
      </c>
      <c r="H2004">
        <v>44</v>
      </c>
    </row>
    <row r="2005" spans="1:8" x14ac:dyDescent="0.25">
      <c r="A2005" t="s">
        <v>2669</v>
      </c>
      <c r="B2005" t="s">
        <v>129</v>
      </c>
      <c r="C2005" t="s">
        <v>101</v>
      </c>
      <c r="D2005" t="s">
        <v>237</v>
      </c>
      <c r="E2005">
        <v>55</v>
      </c>
      <c r="F2005">
        <v>18</v>
      </c>
      <c r="G2005">
        <v>67</v>
      </c>
      <c r="H2005">
        <v>15</v>
      </c>
    </row>
    <row r="2006" spans="1:8" x14ac:dyDescent="0.25">
      <c r="A2006" t="s">
        <v>2670</v>
      </c>
      <c r="B2006" t="s">
        <v>129</v>
      </c>
      <c r="C2006" t="s">
        <v>101</v>
      </c>
      <c r="D2006" t="s">
        <v>238</v>
      </c>
      <c r="E2006">
        <v>75</v>
      </c>
      <c r="F2006">
        <v>20</v>
      </c>
      <c r="G2006">
        <v>60</v>
      </c>
      <c r="H2006">
        <v>20</v>
      </c>
    </row>
    <row r="2007" spans="1:8" x14ac:dyDescent="0.25">
      <c r="A2007" t="s">
        <v>2671</v>
      </c>
      <c r="B2007" t="s">
        <v>129</v>
      </c>
      <c r="C2007" t="s">
        <v>101</v>
      </c>
      <c r="D2007" t="s">
        <v>239</v>
      </c>
      <c r="E2007">
        <v>54</v>
      </c>
      <c r="F2007">
        <v>17</v>
      </c>
      <c r="G2007">
        <v>47</v>
      </c>
      <c r="H2007">
        <v>36</v>
      </c>
    </row>
    <row r="2008" spans="1:8" x14ac:dyDescent="0.25">
      <c r="A2008" t="s">
        <v>2672</v>
      </c>
      <c r="B2008" t="s">
        <v>129</v>
      </c>
      <c r="C2008" t="s">
        <v>101</v>
      </c>
      <c r="D2008" t="s">
        <v>47</v>
      </c>
      <c r="E2008">
        <v>62</v>
      </c>
      <c r="F2008">
        <v>20</v>
      </c>
      <c r="G2008">
        <v>50</v>
      </c>
      <c r="H2008">
        <v>30</v>
      </c>
    </row>
    <row r="2009" spans="1:8" x14ac:dyDescent="0.25">
      <c r="A2009" t="s">
        <v>2673</v>
      </c>
      <c r="B2009" t="s">
        <v>129</v>
      </c>
      <c r="C2009" t="s">
        <v>102</v>
      </c>
      <c r="D2009" t="s">
        <v>232</v>
      </c>
      <c r="E2009">
        <v>116</v>
      </c>
      <c r="F2009">
        <v>29</v>
      </c>
      <c r="G2009">
        <v>33</v>
      </c>
      <c r="H2009">
        <v>38</v>
      </c>
    </row>
    <row r="2010" spans="1:8" x14ac:dyDescent="0.25">
      <c r="A2010" t="s">
        <v>2674</v>
      </c>
      <c r="B2010" t="s">
        <v>129</v>
      </c>
      <c r="C2010" t="s">
        <v>102</v>
      </c>
      <c r="D2010" t="s">
        <v>233</v>
      </c>
      <c r="E2010">
        <v>95</v>
      </c>
      <c r="F2010">
        <v>29</v>
      </c>
      <c r="G2010">
        <v>38</v>
      </c>
      <c r="H2010">
        <v>33</v>
      </c>
    </row>
    <row r="2011" spans="1:8" x14ac:dyDescent="0.25">
      <c r="A2011" t="s">
        <v>2675</v>
      </c>
      <c r="B2011" t="s">
        <v>129</v>
      </c>
      <c r="C2011" t="s">
        <v>102</v>
      </c>
      <c r="D2011" t="s">
        <v>234</v>
      </c>
      <c r="E2011">
        <v>99</v>
      </c>
      <c r="F2011">
        <v>22</v>
      </c>
      <c r="G2011">
        <v>42</v>
      </c>
      <c r="H2011">
        <v>36</v>
      </c>
    </row>
    <row r="2012" spans="1:8" x14ac:dyDescent="0.25">
      <c r="A2012" t="s">
        <v>2676</v>
      </c>
      <c r="B2012" t="s">
        <v>129</v>
      </c>
      <c r="C2012" t="s">
        <v>102</v>
      </c>
      <c r="D2012" t="s">
        <v>235</v>
      </c>
      <c r="E2012">
        <v>74</v>
      </c>
      <c r="F2012">
        <v>20</v>
      </c>
      <c r="G2012">
        <v>42</v>
      </c>
      <c r="H2012">
        <v>38</v>
      </c>
    </row>
    <row r="2013" spans="1:8" x14ac:dyDescent="0.25">
      <c r="A2013" t="s">
        <v>2677</v>
      </c>
      <c r="B2013" t="s">
        <v>129</v>
      </c>
      <c r="C2013" t="s">
        <v>102</v>
      </c>
      <c r="D2013" t="s">
        <v>236</v>
      </c>
      <c r="E2013">
        <v>77</v>
      </c>
      <c r="F2013">
        <v>17</v>
      </c>
      <c r="G2013">
        <v>40</v>
      </c>
      <c r="H2013">
        <v>43</v>
      </c>
    </row>
    <row r="2014" spans="1:8" x14ac:dyDescent="0.25">
      <c r="A2014" t="s">
        <v>2678</v>
      </c>
      <c r="B2014" t="s">
        <v>129</v>
      </c>
      <c r="C2014" t="s">
        <v>102</v>
      </c>
      <c r="D2014" t="s">
        <v>237</v>
      </c>
      <c r="E2014">
        <v>79</v>
      </c>
      <c r="F2014">
        <v>12</v>
      </c>
      <c r="G2014">
        <v>61</v>
      </c>
      <c r="H2014">
        <v>27</v>
      </c>
    </row>
    <row r="2015" spans="1:8" x14ac:dyDescent="0.25">
      <c r="A2015" t="s">
        <v>2679</v>
      </c>
      <c r="B2015" t="s">
        <v>129</v>
      </c>
      <c r="C2015" t="s">
        <v>102</v>
      </c>
      <c r="D2015" t="s">
        <v>238</v>
      </c>
      <c r="E2015">
        <v>89</v>
      </c>
      <c r="F2015">
        <v>24</v>
      </c>
      <c r="G2015">
        <v>45</v>
      </c>
      <c r="H2015">
        <v>31</v>
      </c>
    </row>
    <row r="2016" spans="1:8" x14ac:dyDescent="0.25">
      <c r="A2016" t="s">
        <v>2680</v>
      </c>
      <c r="B2016" t="s">
        <v>129</v>
      </c>
      <c r="C2016" t="s">
        <v>102</v>
      </c>
      <c r="D2016" t="s">
        <v>239</v>
      </c>
      <c r="E2016">
        <v>68</v>
      </c>
      <c r="F2016">
        <v>21</v>
      </c>
      <c r="G2016">
        <v>41</v>
      </c>
      <c r="H2016">
        <v>38</v>
      </c>
    </row>
    <row r="2017" spans="1:8" x14ac:dyDescent="0.25">
      <c r="A2017" t="s">
        <v>2681</v>
      </c>
      <c r="B2017" t="s">
        <v>129</v>
      </c>
      <c r="C2017" t="s">
        <v>102</v>
      </c>
      <c r="D2017" t="s">
        <v>47</v>
      </c>
      <c r="E2017">
        <v>79</v>
      </c>
      <c r="F2017">
        <v>17</v>
      </c>
      <c r="G2017">
        <v>41</v>
      </c>
      <c r="H2017">
        <v>42</v>
      </c>
    </row>
    <row r="2018" spans="1:8" x14ac:dyDescent="0.25">
      <c r="A2018" t="s">
        <v>2682</v>
      </c>
      <c r="B2018" t="s">
        <v>129</v>
      </c>
      <c r="C2018" t="s">
        <v>31</v>
      </c>
      <c r="D2018" t="s">
        <v>232</v>
      </c>
      <c r="E2018">
        <v>140</v>
      </c>
      <c r="F2018">
        <v>23</v>
      </c>
      <c r="G2018">
        <v>46</v>
      </c>
      <c r="H2018">
        <v>31</v>
      </c>
    </row>
    <row r="2019" spans="1:8" x14ac:dyDescent="0.25">
      <c r="A2019" t="s">
        <v>2683</v>
      </c>
      <c r="B2019" t="s">
        <v>129</v>
      </c>
      <c r="C2019" t="s">
        <v>31</v>
      </c>
      <c r="D2019" t="s">
        <v>233</v>
      </c>
      <c r="E2019">
        <v>116</v>
      </c>
      <c r="F2019">
        <v>23</v>
      </c>
      <c r="G2019">
        <v>42</v>
      </c>
      <c r="H2019">
        <v>35</v>
      </c>
    </row>
    <row r="2020" spans="1:8" x14ac:dyDescent="0.25">
      <c r="A2020" t="s">
        <v>2684</v>
      </c>
      <c r="B2020" t="s">
        <v>129</v>
      </c>
      <c r="C2020" t="s">
        <v>31</v>
      </c>
      <c r="D2020" t="s">
        <v>234</v>
      </c>
      <c r="E2020">
        <v>115</v>
      </c>
      <c r="F2020">
        <v>14</v>
      </c>
      <c r="G2020">
        <v>45</v>
      </c>
      <c r="H2020">
        <v>41</v>
      </c>
    </row>
    <row r="2021" spans="1:8" x14ac:dyDescent="0.25">
      <c r="A2021" t="s">
        <v>2685</v>
      </c>
      <c r="B2021" t="s">
        <v>129</v>
      </c>
      <c r="C2021" t="s">
        <v>31</v>
      </c>
      <c r="D2021" t="s">
        <v>235</v>
      </c>
      <c r="E2021">
        <v>94</v>
      </c>
      <c r="F2021">
        <v>15</v>
      </c>
      <c r="G2021">
        <v>47</v>
      </c>
      <c r="H2021">
        <v>38</v>
      </c>
    </row>
    <row r="2022" spans="1:8" x14ac:dyDescent="0.25">
      <c r="A2022" t="s">
        <v>2686</v>
      </c>
      <c r="B2022" t="s">
        <v>129</v>
      </c>
      <c r="C2022" t="s">
        <v>31</v>
      </c>
      <c r="D2022" t="s">
        <v>236</v>
      </c>
      <c r="E2022">
        <v>93</v>
      </c>
      <c r="F2022">
        <v>14</v>
      </c>
      <c r="G2022">
        <v>51</v>
      </c>
      <c r="H2022">
        <v>35</v>
      </c>
    </row>
    <row r="2023" spans="1:8" x14ac:dyDescent="0.25">
      <c r="A2023" t="s">
        <v>2687</v>
      </c>
      <c r="B2023" t="s">
        <v>129</v>
      </c>
      <c r="C2023" t="s">
        <v>31</v>
      </c>
      <c r="D2023" t="s">
        <v>237</v>
      </c>
      <c r="E2023">
        <v>92</v>
      </c>
      <c r="F2023">
        <v>15</v>
      </c>
      <c r="G2023">
        <v>51</v>
      </c>
      <c r="H2023">
        <v>34</v>
      </c>
    </row>
    <row r="2024" spans="1:8" x14ac:dyDescent="0.25">
      <c r="A2024" t="s">
        <v>2688</v>
      </c>
      <c r="B2024" t="s">
        <v>129</v>
      </c>
      <c r="C2024" t="s">
        <v>31</v>
      </c>
      <c r="D2024" t="s">
        <v>238</v>
      </c>
      <c r="E2024">
        <v>109</v>
      </c>
      <c r="F2024">
        <v>21</v>
      </c>
      <c r="G2024">
        <v>45</v>
      </c>
      <c r="H2024">
        <v>34</v>
      </c>
    </row>
    <row r="2025" spans="1:8" x14ac:dyDescent="0.25">
      <c r="A2025" t="s">
        <v>2689</v>
      </c>
      <c r="B2025" t="s">
        <v>129</v>
      </c>
      <c r="C2025" t="s">
        <v>31</v>
      </c>
      <c r="D2025" t="s">
        <v>239</v>
      </c>
      <c r="E2025">
        <v>92</v>
      </c>
      <c r="F2025">
        <v>14</v>
      </c>
      <c r="G2025">
        <v>53</v>
      </c>
      <c r="H2025">
        <v>33</v>
      </c>
    </row>
    <row r="2026" spans="1:8" x14ac:dyDescent="0.25">
      <c r="A2026" t="s">
        <v>2690</v>
      </c>
      <c r="B2026" t="s">
        <v>129</v>
      </c>
      <c r="C2026" t="s">
        <v>31</v>
      </c>
      <c r="D2026" t="s">
        <v>47</v>
      </c>
      <c r="E2026">
        <v>100</v>
      </c>
      <c r="F2026">
        <v>13</v>
      </c>
      <c r="G2026">
        <v>50</v>
      </c>
      <c r="H2026">
        <v>37</v>
      </c>
    </row>
    <row r="2027" spans="1:8" x14ac:dyDescent="0.25">
      <c r="A2027" t="s">
        <v>2691</v>
      </c>
      <c r="B2027" t="s">
        <v>112</v>
      </c>
      <c r="C2027" t="s">
        <v>103</v>
      </c>
      <c r="D2027" t="s">
        <v>232</v>
      </c>
      <c r="E2027">
        <v>286</v>
      </c>
      <c r="F2027">
        <v>14</v>
      </c>
      <c r="G2027">
        <v>64</v>
      </c>
      <c r="H2027">
        <v>22</v>
      </c>
    </row>
    <row r="2028" spans="1:8" x14ac:dyDescent="0.25">
      <c r="A2028" t="s">
        <v>2692</v>
      </c>
      <c r="B2028" t="s">
        <v>112</v>
      </c>
      <c r="C2028" t="s">
        <v>103</v>
      </c>
      <c r="D2028" t="s">
        <v>233</v>
      </c>
      <c r="E2028">
        <v>240</v>
      </c>
      <c r="F2028">
        <v>17</v>
      </c>
      <c r="G2028">
        <v>64</v>
      </c>
      <c r="H2028">
        <v>19</v>
      </c>
    </row>
    <row r="2029" spans="1:8" x14ac:dyDescent="0.25">
      <c r="A2029" t="s">
        <v>2693</v>
      </c>
      <c r="B2029" t="s">
        <v>112</v>
      </c>
      <c r="C2029" t="s">
        <v>103</v>
      </c>
      <c r="D2029" t="s">
        <v>234</v>
      </c>
      <c r="E2029">
        <v>238</v>
      </c>
      <c r="F2029">
        <v>13</v>
      </c>
      <c r="G2029">
        <v>69</v>
      </c>
      <c r="H2029">
        <v>18</v>
      </c>
    </row>
    <row r="2030" spans="1:8" x14ac:dyDescent="0.25">
      <c r="A2030" t="s">
        <v>2694</v>
      </c>
      <c r="B2030" t="s">
        <v>112</v>
      </c>
      <c r="C2030" t="s">
        <v>103</v>
      </c>
      <c r="D2030" t="s">
        <v>235</v>
      </c>
      <c r="E2030">
        <v>211</v>
      </c>
      <c r="F2030">
        <v>11</v>
      </c>
      <c r="G2030">
        <v>75</v>
      </c>
      <c r="H2030">
        <v>14</v>
      </c>
    </row>
    <row r="2031" spans="1:8" x14ac:dyDescent="0.25">
      <c r="A2031" t="s">
        <v>2695</v>
      </c>
      <c r="B2031" t="s">
        <v>112</v>
      </c>
      <c r="C2031" t="s">
        <v>103</v>
      </c>
      <c r="D2031" t="s">
        <v>236</v>
      </c>
      <c r="E2031">
        <v>225</v>
      </c>
      <c r="F2031">
        <v>14</v>
      </c>
      <c r="G2031">
        <v>67</v>
      </c>
      <c r="H2031">
        <v>19</v>
      </c>
    </row>
    <row r="2032" spans="1:8" x14ac:dyDescent="0.25">
      <c r="A2032" t="s">
        <v>2696</v>
      </c>
      <c r="B2032" t="s">
        <v>112</v>
      </c>
      <c r="C2032" t="s">
        <v>103</v>
      </c>
      <c r="D2032" t="s">
        <v>237</v>
      </c>
      <c r="E2032">
        <v>208</v>
      </c>
      <c r="F2032">
        <v>11</v>
      </c>
      <c r="G2032">
        <v>65</v>
      </c>
      <c r="H2032">
        <v>24</v>
      </c>
    </row>
    <row r="2033" spans="1:8" x14ac:dyDescent="0.25">
      <c r="A2033" t="s">
        <v>2697</v>
      </c>
      <c r="B2033" t="s">
        <v>112</v>
      </c>
      <c r="C2033" t="s">
        <v>103</v>
      </c>
      <c r="D2033" t="s">
        <v>238</v>
      </c>
      <c r="E2033">
        <v>253</v>
      </c>
      <c r="F2033">
        <v>14</v>
      </c>
      <c r="G2033">
        <v>63</v>
      </c>
      <c r="H2033">
        <v>23</v>
      </c>
    </row>
    <row r="2034" spans="1:8" x14ac:dyDescent="0.25">
      <c r="A2034" t="s">
        <v>2698</v>
      </c>
      <c r="B2034" t="s">
        <v>112</v>
      </c>
      <c r="C2034" t="s">
        <v>103</v>
      </c>
      <c r="D2034" t="s">
        <v>239</v>
      </c>
      <c r="E2034">
        <v>241</v>
      </c>
      <c r="F2034">
        <v>14</v>
      </c>
      <c r="G2034">
        <v>64</v>
      </c>
      <c r="H2034">
        <v>22</v>
      </c>
    </row>
    <row r="2035" spans="1:8" x14ac:dyDescent="0.25">
      <c r="A2035" t="s">
        <v>2699</v>
      </c>
      <c r="B2035" t="s">
        <v>112</v>
      </c>
      <c r="C2035" t="s">
        <v>103</v>
      </c>
      <c r="D2035" t="s">
        <v>47</v>
      </c>
      <c r="E2035">
        <v>218</v>
      </c>
      <c r="F2035">
        <v>15</v>
      </c>
      <c r="G2035">
        <v>64</v>
      </c>
      <c r="H2035">
        <v>21</v>
      </c>
    </row>
    <row r="2036" spans="1:8" x14ac:dyDescent="0.25">
      <c r="A2036" t="s">
        <v>2700</v>
      </c>
      <c r="B2036" t="s">
        <v>112</v>
      </c>
      <c r="C2036" t="s">
        <v>100</v>
      </c>
      <c r="D2036" t="s">
        <v>232</v>
      </c>
      <c r="E2036">
        <v>295</v>
      </c>
      <c r="F2036">
        <v>17</v>
      </c>
      <c r="G2036">
        <v>47</v>
      </c>
      <c r="H2036">
        <v>36</v>
      </c>
    </row>
    <row r="2037" spans="1:8" x14ac:dyDescent="0.25">
      <c r="A2037" t="s">
        <v>2701</v>
      </c>
      <c r="B2037" t="s">
        <v>112</v>
      </c>
      <c r="C2037" t="s">
        <v>100</v>
      </c>
      <c r="D2037" t="s">
        <v>233</v>
      </c>
      <c r="E2037">
        <v>256</v>
      </c>
      <c r="F2037">
        <v>18</v>
      </c>
      <c r="G2037">
        <v>59</v>
      </c>
      <c r="H2037">
        <v>23</v>
      </c>
    </row>
    <row r="2038" spans="1:8" x14ac:dyDescent="0.25">
      <c r="A2038" t="s">
        <v>2702</v>
      </c>
      <c r="B2038" t="s">
        <v>112</v>
      </c>
      <c r="C2038" t="s">
        <v>100</v>
      </c>
      <c r="D2038" t="s">
        <v>234</v>
      </c>
      <c r="E2038">
        <v>254</v>
      </c>
      <c r="F2038">
        <v>18</v>
      </c>
      <c r="G2038">
        <v>58</v>
      </c>
      <c r="H2038">
        <v>24</v>
      </c>
    </row>
    <row r="2039" spans="1:8" x14ac:dyDescent="0.25">
      <c r="A2039" t="s">
        <v>2703</v>
      </c>
      <c r="B2039" t="s">
        <v>112</v>
      </c>
      <c r="C2039" t="s">
        <v>100</v>
      </c>
      <c r="D2039" t="s">
        <v>235</v>
      </c>
      <c r="E2039">
        <v>225</v>
      </c>
      <c r="F2039">
        <v>17</v>
      </c>
      <c r="G2039">
        <v>59</v>
      </c>
      <c r="H2039">
        <v>24</v>
      </c>
    </row>
    <row r="2040" spans="1:8" x14ac:dyDescent="0.25">
      <c r="A2040" t="s">
        <v>2704</v>
      </c>
      <c r="B2040" t="s">
        <v>112</v>
      </c>
      <c r="C2040" t="s">
        <v>100</v>
      </c>
      <c r="D2040" t="s">
        <v>236</v>
      </c>
      <c r="E2040">
        <v>238</v>
      </c>
      <c r="F2040">
        <v>14</v>
      </c>
      <c r="G2040">
        <v>58</v>
      </c>
      <c r="H2040">
        <v>28</v>
      </c>
    </row>
    <row r="2041" spans="1:8" x14ac:dyDescent="0.25">
      <c r="A2041" t="s">
        <v>2705</v>
      </c>
      <c r="B2041" t="s">
        <v>112</v>
      </c>
      <c r="C2041" t="s">
        <v>100</v>
      </c>
      <c r="D2041" t="s">
        <v>237</v>
      </c>
      <c r="E2041">
        <v>215</v>
      </c>
      <c r="F2041">
        <v>16</v>
      </c>
      <c r="G2041">
        <v>60</v>
      </c>
      <c r="H2041">
        <v>24</v>
      </c>
    </row>
    <row r="2042" spans="1:8" x14ac:dyDescent="0.25">
      <c r="A2042" t="s">
        <v>2706</v>
      </c>
      <c r="B2042" t="s">
        <v>112</v>
      </c>
      <c r="C2042" t="s">
        <v>100</v>
      </c>
      <c r="D2042" t="s">
        <v>238</v>
      </c>
      <c r="E2042">
        <v>266</v>
      </c>
      <c r="F2042">
        <v>18</v>
      </c>
      <c r="G2042">
        <v>53</v>
      </c>
      <c r="H2042">
        <v>29</v>
      </c>
    </row>
    <row r="2043" spans="1:8" x14ac:dyDescent="0.25">
      <c r="A2043" t="s">
        <v>2707</v>
      </c>
      <c r="B2043" t="s">
        <v>112</v>
      </c>
      <c r="C2043" t="s">
        <v>100</v>
      </c>
      <c r="D2043" t="s">
        <v>239</v>
      </c>
      <c r="E2043">
        <v>255</v>
      </c>
      <c r="F2043">
        <v>17</v>
      </c>
      <c r="G2043">
        <v>46</v>
      </c>
      <c r="H2043">
        <v>37</v>
      </c>
    </row>
    <row r="2044" spans="1:8" x14ac:dyDescent="0.25">
      <c r="A2044" t="s">
        <v>2708</v>
      </c>
      <c r="B2044" t="s">
        <v>112</v>
      </c>
      <c r="C2044" t="s">
        <v>100</v>
      </c>
      <c r="D2044" t="s">
        <v>47</v>
      </c>
      <c r="E2044">
        <v>231</v>
      </c>
      <c r="F2044">
        <v>16</v>
      </c>
      <c r="G2044">
        <v>59</v>
      </c>
      <c r="H2044">
        <v>25</v>
      </c>
    </row>
    <row r="2045" spans="1:8" x14ac:dyDescent="0.25">
      <c r="A2045" t="s">
        <v>2709</v>
      </c>
      <c r="B2045" t="s">
        <v>112</v>
      </c>
      <c r="C2045" t="s">
        <v>101</v>
      </c>
      <c r="D2045" t="s">
        <v>232</v>
      </c>
      <c r="E2045">
        <v>183</v>
      </c>
      <c r="F2045">
        <v>22</v>
      </c>
      <c r="G2045">
        <v>57</v>
      </c>
      <c r="H2045">
        <v>21</v>
      </c>
    </row>
    <row r="2046" spans="1:8" x14ac:dyDescent="0.25">
      <c r="A2046" t="s">
        <v>2710</v>
      </c>
      <c r="B2046" t="s">
        <v>112</v>
      </c>
      <c r="C2046" t="s">
        <v>101</v>
      </c>
      <c r="D2046" t="s">
        <v>233</v>
      </c>
      <c r="E2046">
        <v>151</v>
      </c>
      <c r="F2046">
        <v>28</v>
      </c>
      <c r="G2046">
        <v>61</v>
      </c>
      <c r="H2046">
        <v>11</v>
      </c>
    </row>
    <row r="2047" spans="1:8" x14ac:dyDescent="0.25">
      <c r="A2047" t="s">
        <v>2711</v>
      </c>
      <c r="B2047" t="s">
        <v>112</v>
      </c>
      <c r="C2047" t="s">
        <v>101</v>
      </c>
      <c r="D2047" t="s">
        <v>234</v>
      </c>
      <c r="E2047">
        <v>144</v>
      </c>
      <c r="F2047">
        <v>23</v>
      </c>
      <c r="G2047">
        <v>62</v>
      </c>
      <c r="H2047">
        <v>15</v>
      </c>
    </row>
    <row r="2048" spans="1:8" x14ac:dyDescent="0.25">
      <c r="A2048" t="s">
        <v>2712</v>
      </c>
      <c r="B2048" t="s">
        <v>112</v>
      </c>
      <c r="C2048" t="s">
        <v>101</v>
      </c>
      <c r="D2048" t="s">
        <v>235</v>
      </c>
      <c r="E2048">
        <v>133</v>
      </c>
      <c r="F2048">
        <v>23</v>
      </c>
      <c r="G2048">
        <v>58</v>
      </c>
      <c r="H2048">
        <v>19</v>
      </c>
    </row>
    <row r="2049" spans="1:8" x14ac:dyDescent="0.25">
      <c r="A2049" t="s">
        <v>2713</v>
      </c>
      <c r="B2049" t="s">
        <v>112</v>
      </c>
      <c r="C2049" t="s">
        <v>101</v>
      </c>
      <c r="D2049" t="s">
        <v>236</v>
      </c>
      <c r="E2049">
        <v>141</v>
      </c>
      <c r="F2049">
        <v>24</v>
      </c>
      <c r="G2049">
        <v>51</v>
      </c>
      <c r="H2049">
        <v>25</v>
      </c>
    </row>
    <row r="2050" spans="1:8" x14ac:dyDescent="0.25">
      <c r="A2050" t="s">
        <v>2714</v>
      </c>
      <c r="B2050" t="s">
        <v>112</v>
      </c>
      <c r="C2050" t="s">
        <v>101</v>
      </c>
      <c r="D2050" t="s">
        <v>237</v>
      </c>
      <c r="E2050">
        <v>122</v>
      </c>
      <c r="F2050">
        <v>22</v>
      </c>
      <c r="G2050">
        <v>57</v>
      </c>
      <c r="H2050">
        <v>21</v>
      </c>
    </row>
    <row r="2051" spans="1:8" x14ac:dyDescent="0.25">
      <c r="A2051" t="s">
        <v>2715</v>
      </c>
      <c r="B2051" t="s">
        <v>112</v>
      </c>
      <c r="C2051" t="s">
        <v>101</v>
      </c>
      <c r="D2051" t="s">
        <v>238</v>
      </c>
      <c r="E2051">
        <v>152</v>
      </c>
      <c r="F2051">
        <v>20</v>
      </c>
      <c r="G2051">
        <v>63</v>
      </c>
      <c r="H2051">
        <v>17</v>
      </c>
    </row>
    <row r="2052" spans="1:8" x14ac:dyDescent="0.25">
      <c r="A2052" t="s">
        <v>2716</v>
      </c>
      <c r="B2052" t="s">
        <v>112</v>
      </c>
      <c r="C2052" t="s">
        <v>101</v>
      </c>
      <c r="D2052" t="s">
        <v>239</v>
      </c>
      <c r="E2052">
        <v>142</v>
      </c>
      <c r="F2052">
        <v>21</v>
      </c>
      <c r="G2052">
        <v>57</v>
      </c>
      <c r="H2052">
        <v>22</v>
      </c>
    </row>
    <row r="2053" spans="1:8" x14ac:dyDescent="0.25">
      <c r="A2053" t="s">
        <v>2717</v>
      </c>
      <c r="B2053" t="s">
        <v>112</v>
      </c>
      <c r="C2053" t="s">
        <v>101</v>
      </c>
      <c r="D2053" t="s">
        <v>47</v>
      </c>
      <c r="E2053">
        <v>135</v>
      </c>
      <c r="F2053">
        <v>21</v>
      </c>
      <c r="G2053">
        <v>63</v>
      </c>
      <c r="H2053">
        <v>16</v>
      </c>
    </row>
    <row r="2054" spans="1:8" x14ac:dyDescent="0.25">
      <c r="A2054" t="s">
        <v>2718</v>
      </c>
      <c r="B2054" t="s">
        <v>112</v>
      </c>
      <c r="C2054" t="s">
        <v>102</v>
      </c>
      <c r="D2054" t="s">
        <v>232</v>
      </c>
      <c r="E2054">
        <v>261</v>
      </c>
      <c r="F2054">
        <v>30</v>
      </c>
      <c r="G2054">
        <v>39</v>
      </c>
      <c r="H2054">
        <v>31</v>
      </c>
    </row>
    <row r="2055" spans="1:8" x14ac:dyDescent="0.25">
      <c r="A2055" t="s">
        <v>2719</v>
      </c>
      <c r="B2055" t="s">
        <v>112</v>
      </c>
      <c r="C2055" t="s">
        <v>102</v>
      </c>
      <c r="D2055" t="s">
        <v>233</v>
      </c>
      <c r="E2055">
        <v>217</v>
      </c>
      <c r="F2055">
        <v>37</v>
      </c>
      <c r="G2055">
        <v>39</v>
      </c>
      <c r="H2055">
        <v>24</v>
      </c>
    </row>
    <row r="2056" spans="1:8" x14ac:dyDescent="0.25">
      <c r="A2056" t="s">
        <v>2720</v>
      </c>
      <c r="B2056" t="s">
        <v>112</v>
      </c>
      <c r="C2056" t="s">
        <v>102</v>
      </c>
      <c r="D2056" t="s">
        <v>234</v>
      </c>
      <c r="E2056">
        <v>214</v>
      </c>
      <c r="F2056">
        <v>34</v>
      </c>
      <c r="G2056">
        <v>39</v>
      </c>
      <c r="H2056">
        <v>27</v>
      </c>
    </row>
    <row r="2057" spans="1:8" x14ac:dyDescent="0.25">
      <c r="A2057" t="s">
        <v>2721</v>
      </c>
      <c r="B2057" t="s">
        <v>112</v>
      </c>
      <c r="C2057" t="s">
        <v>102</v>
      </c>
      <c r="D2057" t="s">
        <v>235</v>
      </c>
      <c r="E2057">
        <v>192</v>
      </c>
      <c r="F2057">
        <v>34</v>
      </c>
      <c r="G2057">
        <v>47</v>
      </c>
      <c r="H2057">
        <v>19</v>
      </c>
    </row>
    <row r="2058" spans="1:8" x14ac:dyDescent="0.25">
      <c r="A2058" t="s">
        <v>2722</v>
      </c>
      <c r="B2058" t="s">
        <v>112</v>
      </c>
      <c r="C2058" t="s">
        <v>102</v>
      </c>
      <c r="D2058" t="s">
        <v>236</v>
      </c>
      <c r="E2058">
        <v>196</v>
      </c>
      <c r="F2058">
        <v>29</v>
      </c>
      <c r="G2058">
        <v>47</v>
      </c>
      <c r="H2058">
        <v>24</v>
      </c>
    </row>
    <row r="2059" spans="1:8" x14ac:dyDescent="0.25">
      <c r="A2059" t="s">
        <v>2723</v>
      </c>
      <c r="B2059" t="s">
        <v>112</v>
      </c>
      <c r="C2059" t="s">
        <v>102</v>
      </c>
      <c r="D2059" t="s">
        <v>237</v>
      </c>
      <c r="E2059">
        <v>182</v>
      </c>
      <c r="F2059">
        <v>20</v>
      </c>
      <c r="G2059">
        <v>45</v>
      </c>
      <c r="H2059">
        <v>35</v>
      </c>
    </row>
    <row r="2060" spans="1:8" x14ac:dyDescent="0.25">
      <c r="A2060" t="s">
        <v>2724</v>
      </c>
      <c r="B2060" t="s">
        <v>112</v>
      </c>
      <c r="C2060" t="s">
        <v>102</v>
      </c>
      <c r="D2060" t="s">
        <v>238</v>
      </c>
      <c r="E2060">
        <v>222</v>
      </c>
      <c r="F2060">
        <v>24</v>
      </c>
      <c r="G2060">
        <v>42</v>
      </c>
      <c r="H2060">
        <v>34</v>
      </c>
    </row>
    <row r="2061" spans="1:8" x14ac:dyDescent="0.25">
      <c r="A2061" t="s">
        <v>2725</v>
      </c>
      <c r="B2061" t="s">
        <v>112</v>
      </c>
      <c r="C2061" t="s">
        <v>102</v>
      </c>
      <c r="D2061" t="s">
        <v>239</v>
      </c>
      <c r="E2061">
        <v>205</v>
      </c>
      <c r="F2061">
        <v>27</v>
      </c>
      <c r="G2061">
        <v>46</v>
      </c>
      <c r="H2061">
        <v>27</v>
      </c>
    </row>
    <row r="2062" spans="1:8" x14ac:dyDescent="0.25">
      <c r="A2062" t="s">
        <v>2726</v>
      </c>
      <c r="B2062" t="s">
        <v>112</v>
      </c>
      <c r="C2062" t="s">
        <v>102</v>
      </c>
      <c r="D2062" t="s">
        <v>47</v>
      </c>
      <c r="E2062">
        <v>184</v>
      </c>
      <c r="F2062">
        <v>31</v>
      </c>
      <c r="G2062">
        <v>43</v>
      </c>
      <c r="H2062">
        <v>26</v>
      </c>
    </row>
    <row r="2063" spans="1:8" x14ac:dyDescent="0.25">
      <c r="A2063" t="s">
        <v>2727</v>
      </c>
      <c r="B2063" t="s">
        <v>112</v>
      </c>
      <c r="C2063" t="s">
        <v>31</v>
      </c>
      <c r="D2063" t="s">
        <v>232</v>
      </c>
      <c r="E2063">
        <v>294</v>
      </c>
      <c r="F2063">
        <v>32</v>
      </c>
      <c r="G2063">
        <v>51</v>
      </c>
      <c r="H2063">
        <v>17</v>
      </c>
    </row>
    <row r="2064" spans="1:8" x14ac:dyDescent="0.25">
      <c r="A2064" t="s">
        <v>2728</v>
      </c>
      <c r="B2064" t="s">
        <v>112</v>
      </c>
      <c r="C2064" t="s">
        <v>31</v>
      </c>
      <c r="D2064" t="s">
        <v>233</v>
      </c>
      <c r="E2064">
        <v>249</v>
      </c>
      <c r="F2064">
        <v>26</v>
      </c>
      <c r="G2064">
        <v>57</v>
      </c>
      <c r="H2064">
        <v>17</v>
      </c>
    </row>
    <row r="2065" spans="1:8" x14ac:dyDescent="0.25">
      <c r="A2065" t="s">
        <v>2729</v>
      </c>
      <c r="B2065" t="s">
        <v>112</v>
      </c>
      <c r="C2065" t="s">
        <v>31</v>
      </c>
      <c r="D2065" t="s">
        <v>234</v>
      </c>
      <c r="E2065">
        <v>252</v>
      </c>
      <c r="F2065">
        <v>28</v>
      </c>
      <c r="G2065">
        <v>49</v>
      </c>
      <c r="H2065">
        <v>23</v>
      </c>
    </row>
    <row r="2066" spans="1:8" x14ac:dyDescent="0.25">
      <c r="A2066" t="s">
        <v>2730</v>
      </c>
      <c r="B2066" t="s">
        <v>112</v>
      </c>
      <c r="C2066" t="s">
        <v>31</v>
      </c>
      <c r="D2066" t="s">
        <v>235</v>
      </c>
      <c r="E2066">
        <v>225</v>
      </c>
      <c r="F2066">
        <v>31</v>
      </c>
      <c r="G2066">
        <v>52</v>
      </c>
      <c r="H2066">
        <v>17</v>
      </c>
    </row>
    <row r="2067" spans="1:8" x14ac:dyDescent="0.25">
      <c r="A2067" t="s">
        <v>2731</v>
      </c>
      <c r="B2067" t="s">
        <v>112</v>
      </c>
      <c r="C2067" t="s">
        <v>31</v>
      </c>
      <c r="D2067" t="s">
        <v>236</v>
      </c>
      <c r="E2067">
        <v>242</v>
      </c>
      <c r="F2067">
        <v>29</v>
      </c>
      <c r="G2067">
        <v>54</v>
      </c>
      <c r="H2067">
        <v>17</v>
      </c>
    </row>
    <row r="2068" spans="1:8" x14ac:dyDescent="0.25">
      <c r="A2068" t="s">
        <v>2732</v>
      </c>
      <c r="B2068" t="s">
        <v>112</v>
      </c>
      <c r="C2068" t="s">
        <v>31</v>
      </c>
      <c r="D2068" t="s">
        <v>237</v>
      </c>
      <c r="E2068">
        <v>220</v>
      </c>
      <c r="F2068">
        <v>27</v>
      </c>
      <c r="G2068">
        <v>46</v>
      </c>
      <c r="H2068">
        <v>27</v>
      </c>
    </row>
    <row r="2069" spans="1:8" x14ac:dyDescent="0.25">
      <c r="A2069" t="s">
        <v>2733</v>
      </c>
      <c r="B2069" t="s">
        <v>112</v>
      </c>
      <c r="C2069" t="s">
        <v>31</v>
      </c>
      <c r="D2069" t="s">
        <v>238</v>
      </c>
      <c r="E2069">
        <v>270</v>
      </c>
      <c r="F2069">
        <v>22</v>
      </c>
      <c r="G2069">
        <v>55</v>
      </c>
      <c r="H2069">
        <v>23</v>
      </c>
    </row>
    <row r="2070" spans="1:8" x14ac:dyDescent="0.25">
      <c r="A2070" t="s">
        <v>2734</v>
      </c>
      <c r="B2070" t="s">
        <v>112</v>
      </c>
      <c r="C2070" t="s">
        <v>31</v>
      </c>
      <c r="D2070" t="s">
        <v>239</v>
      </c>
      <c r="E2070">
        <v>256</v>
      </c>
      <c r="F2070">
        <v>21</v>
      </c>
      <c r="G2070">
        <v>54</v>
      </c>
      <c r="H2070">
        <v>25</v>
      </c>
    </row>
    <row r="2071" spans="1:8" x14ac:dyDescent="0.25">
      <c r="A2071" t="s">
        <v>2735</v>
      </c>
      <c r="B2071" t="s">
        <v>112</v>
      </c>
      <c r="C2071" t="s">
        <v>31</v>
      </c>
      <c r="D2071" t="s">
        <v>47</v>
      </c>
      <c r="E2071">
        <v>235</v>
      </c>
      <c r="F2071">
        <v>25</v>
      </c>
      <c r="G2071">
        <v>50</v>
      </c>
      <c r="H2071">
        <v>25</v>
      </c>
    </row>
    <row r="2072" spans="1:8" x14ac:dyDescent="0.25">
      <c r="A2072" t="s">
        <v>2736</v>
      </c>
      <c r="B2072" t="s">
        <v>117</v>
      </c>
      <c r="C2072" t="s">
        <v>103</v>
      </c>
      <c r="D2072" t="s">
        <v>232</v>
      </c>
      <c r="E2072">
        <v>162</v>
      </c>
      <c r="F2072">
        <v>7</v>
      </c>
      <c r="G2072">
        <v>55</v>
      </c>
      <c r="H2072">
        <v>38</v>
      </c>
    </row>
    <row r="2073" spans="1:8" x14ac:dyDescent="0.25">
      <c r="A2073" t="s">
        <v>2737</v>
      </c>
      <c r="B2073" t="s">
        <v>117</v>
      </c>
      <c r="C2073" t="s">
        <v>103</v>
      </c>
      <c r="D2073" t="s">
        <v>233</v>
      </c>
      <c r="E2073">
        <v>164</v>
      </c>
      <c r="F2073">
        <v>12</v>
      </c>
      <c r="G2073">
        <v>58</v>
      </c>
      <c r="H2073">
        <v>30</v>
      </c>
    </row>
    <row r="2074" spans="1:8" x14ac:dyDescent="0.25">
      <c r="A2074" t="s">
        <v>2738</v>
      </c>
      <c r="B2074" t="s">
        <v>117</v>
      </c>
      <c r="C2074" t="s">
        <v>103</v>
      </c>
      <c r="D2074" t="s">
        <v>234</v>
      </c>
      <c r="E2074">
        <v>160</v>
      </c>
      <c r="F2074">
        <v>8</v>
      </c>
      <c r="G2074">
        <v>57</v>
      </c>
      <c r="H2074">
        <v>35</v>
      </c>
    </row>
    <row r="2075" spans="1:8" x14ac:dyDescent="0.25">
      <c r="A2075" t="s">
        <v>2739</v>
      </c>
      <c r="B2075" t="s">
        <v>117</v>
      </c>
      <c r="C2075" t="s">
        <v>103</v>
      </c>
      <c r="D2075" t="s">
        <v>235</v>
      </c>
      <c r="E2075">
        <v>139</v>
      </c>
      <c r="F2075">
        <v>8</v>
      </c>
      <c r="G2075">
        <v>58</v>
      </c>
      <c r="H2075">
        <v>34</v>
      </c>
    </row>
    <row r="2076" spans="1:8" x14ac:dyDescent="0.25">
      <c r="A2076" t="s">
        <v>2740</v>
      </c>
      <c r="B2076" t="s">
        <v>117</v>
      </c>
      <c r="C2076" t="s">
        <v>103</v>
      </c>
      <c r="D2076" t="s">
        <v>236</v>
      </c>
      <c r="E2076">
        <v>146</v>
      </c>
      <c r="F2076">
        <v>5</v>
      </c>
      <c r="G2076">
        <v>64</v>
      </c>
      <c r="H2076">
        <v>31</v>
      </c>
    </row>
    <row r="2077" spans="1:8" x14ac:dyDescent="0.25">
      <c r="A2077" t="s">
        <v>2741</v>
      </c>
      <c r="B2077" t="s">
        <v>117</v>
      </c>
      <c r="C2077" t="s">
        <v>103</v>
      </c>
      <c r="D2077" t="s">
        <v>237</v>
      </c>
      <c r="E2077">
        <v>133</v>
      </c>
      <c r="F2077">
        <v>10</v>
      </c>
      <c r="G2077">
        <v>53</v>
      </c>
      <c r="H2077">
        <v>37</v>
      </c>
    </row>
    <row r="2078" spans="1:8" x14ac:dyDescent="0.25">
      <c r="A2078" t="s">
        <v>2742</v>
      </c>
      <c r="B2078" t="s">
        <v>117</v>
      </c>
      <c r="C2078" t="s">
        <v>103</v>
      </c>
      <c r="D2078" t="s">
        <v>238</v>
      </c>
      <c r="E2078">
        <v>140</v>
      </c>
      <c r="F2078">
        <v>11</v>
      </c>
      <c r="G2078">
        <v>44</v>
      </c>
      <c r="H2078">
        <v>45</v>
      </c>
    </row>
    <row r="2079" spans="1:8" x14ac:dyDescent="0.25">
      <c r="A2079" t="s">
        <v>2743</v>
      </c>
      <c r="B2079" t="s">
        <v>117</v>
      </c>
      <c r="C2079" t="s">
        <v>103</v>
      </c>
      <c r="D2079" t="s">
        <v>239</v>
      </c>
      <c r="E2079">
        <v>132</v>
      </c>
      <c r="F2079">
        <v>7</v>
      </c>
      <c r="G2079">
        <v>53</v>
      </c>
      <c r="H2079">
        <v>40</v>
      </c>
    </row>
    <row r="2080" spans="1:8" x14ac:dyDescent="0.25">
      <c r="A2080" t="s">
        <v>2744</v>
      </c>
      <c r="B2080" t="s">
        <v>117</v>
      </c>
      <c r="C2080" t="s">
        <v>103</v>
      </c>
      <c r="D2080" t="s">
        <v>47</v>
      </c>
      <c r="E2080">
        <v>134</v>
      </c>
      <c r="F2080">
        <v>7</v>
      </c>
      <c r="G2080">
        <v>57</v>
      </c>
      <c r="H2080">
        <v>36</v>
      </c>
    </row>
    <row r="2081" spans="1:8" x14ac:dyDescent="0.25">
      <c r="A2081" t="s">
        <v>2745</v>
      </c>
      <c r="B2081" t="s">
        <v>117</v>
      </c>
      <c r="C2081" t="s">
        <v>100</v>
      </c>
      <c r="D2081" t="s">
        <v>232</v>
      </c>
      <c r="E2081">
        <v>158</v>
      </c>
      <c r="F2081">
        <v>16</v>
      </c>
      <c r="G2081">
        <v>54</v>
      </c>
      <c r="H2081">
        <v>30</v>
      </c>
    </row>
    <row r="2082" spans="1:8" x14ac:dyDescent="0.25">
      <c r="A2082" t="s">
        <v>2746</v>
      </c>
      <c r="B2082" t="s">
        <v>117</v>
      </c>
      <c r="C2082" t="s">
        <v>100</v>
      </c>
      <c r="D2082" t="s">
        <v>233</v>
      </c>
      <c r="E2082">
        <v>165</v>
      </c>
      <c r="F2082">
        <v>18</v>
      </c>
      <c r="G2082">
        <v>58</v>
      </c>
      <c r="H2082">
        <v>24</v>
      </c>
    </row>
    <row r="2083" spans="1:8" x14ac:dyDescent="0.25">
      <c r="A2083" t="s">
        <v>2747</v>
      </c>
      <c r="B2083" t="s">
        <v>117</v>
      </c>
      <c r="C2083" t="s">
        <v>100</v>
      </c>
      <c r="D2083" t="s">
        <v>234</v>
      </c>
      <c r="E2083">
        <v>160</v>
      </c>
      <c r="F2083">
        <v>14</v>
      </c>
      <c r="G2083">
        <v>58</v>
      </c>
      <c r="H2083">
        <v>28</v>
      </c>
    </row>
    <row r="2084" spans="1:8" x14ac:dyDescent="0.25">
      <c r="A2084" t="s">
        <v>2748</v>
      </c>
      <c r="B2084" t="s">
        <v>117</v>
      </c>
      <c r="C2084" t="s">
        <v>100</v>
      </c>
      <c r="D2084" t="s">
        <v>235</v>
      </c>
      <c r="E2084">
        <v>137</v>
      </c>
      <c r="F2084">
        <v>14</v>
      </c>
      <c r="G2084">
        <v>51</v>
      </c>
      <c r="H2084">
        <v>35</v>
      </c>
    </row>
    <row r="2085" spans="1:8" x14ac:dyDescent="0.25">
      <c r="A2085" t="s">
        <v>2749</v>
      </c>
      <c r="B2085" t="s">
        <v>117</v>
      </c>
      <c r="C2085" t="s">
        <v>100</v>
      </c>
      <c r="D2085" t="s">
        <v>236</v>
      </c>
      <c r="E2085">
        <v>145</v>
      </c>
      <c r="F2085">
        <v>11</v>
      </c>
      <c r="G2085">
        <v>60</v>
      </c>
      <c r="H2085">
        <v>29</v>
      </c>
    </row>
    <row r="2086" spans="1:8" x14ac:dyDescent="0.25">
      <c r="A2086" t="s">
        <v>2750</v>
      </c>
      <c r="B2086" t="s">
        <v>117</v>
      </c>
      <c r="C2086" t="s">
        <v>100</v>
      </c>
      <c r="D2086" t="s">
        <v>237</v>
      </c>
      <c r="E2086">
        <v>134</v>
      </c>
      <c r="F2086">
        <v>11</v>
      </c>
      <c r="G2086">
        <v>58</v>
      </c>
      <c r="H2086">
        <v>31</v>
      </c>
    </row>
    <row r="2087" spans="1:8" x14ac:dyDescent="0.25">
      <c r="A2087" t="s">
        <v>2751</v>
      </c>
      <c r="B2087" t="s">
        <v>117</v>
      </c>
      <c r="C2087" t="s">
        <v>100</v>
      </c>
      <c r="D2087" t="s">
        <v>238</v>
      </c>
      <c r="E2087">
        <v>141</v>
      </c>
      <c r="F2087">
        <v>10</v>
      </c>
      <c r="G2087">
        <v>68</v>
      </c>
      <c r="H2087">
        <v>22</v>
      </c>
    </row>
    <row r="2088" spans="1:8" x14ac:dyDescent="0.25">
      <c r="A2088" t="s">
        <v>2752</v>
      </c>
      <c r="B2088" t="s">
        <v>117</v>
      </c>
      <c r="C2088" t="s">
        <v>100</v>
      </c>
      <c r="D2088" t="s">
        <v>239</v>
      </c>
      <c r="E2088">
        <v>133</v>
      </c>
      <c r="F2088">
        <v>8</v>
      </c>
      <c r="G2088">
        <v>51</v>
      </c>
      <c r="H2088">
        <v>41</v>
      </c>
    </row>
    <row r="2089" spans="1:8" x14ac:dyDescent="0.25">
      <c r="A2089" t="s">
        <v>2753</v>
      </c>
      <c r="B2089" t="s">
        <v>117</v>
      </c>
      <c r="C2089" t="s">
        <v>100</v>
      </c>
      <c r="D2089" t="s">
        <v>47</v>
      </c>
      <c r="E2089">
        <v>135</v>
      </c>
      <c r="F2089">
        <v>10</v>
      </c>
      <c r="G2089">
        <v>52</v>
      </c>
      <c r="H2089">
        <v>38</v>
      </c>
    </row>
    <row r="2090" spans="1:8" x14ac:dyDescent="0.25">
      <c r="A2090" t="s">
        <v>2754</v>
      </c>
      <c r="B2090" t="s">
        <v>117</v>
      </c>
      <c r="C2090" t="s">
        <v>101</v>
      </c>
      <c r="D2090" t="s">
        <v>232</v>
      </c>
      <c r="E2090">
        <v>138</v>
      </c>
      <c r="F2090">
        <v>18</v>
      </c>
      <c r="G2090">
        <v>61</v>
      </c>
      <c r="H2090">
        <v>21</v>
      </c>
    </row>
    <row r="2091" spans="1:8" x14ac:dyDescent="0.25">
      <c r="A2091" t="s">
        <v>2755</v>
      </c>
      <c r="B2091" t="s">
        <v>117</v>
      </c>
      <c r="C2091" t="s">
        <v>101</v>
      </c>
      <c r="D2091" t="s">
        <v>233</v>
      </c>
      <c r="E2091">
        <v>140</v>
      </c>
      <c r="F2091">
        <v>21</v>
      </c>
      <c r="G2091">
        <v>58</v>
      </c>
      <c r="H2091">
        <v>21</v>
      </c>
    </row>
    <row r="2092" spans="1:8" x14ac:dyDescent="0.25">
      <c r="A2092" t="s">
        <v>2756</v>
      </c>
      <c r="B2092" t="s">
        <v>117</v>
      </c>
      <c r="C2092" t="s">
        <v>101</v>
      </c>
      <c r="D2092" t="s">
        <v>234</v>
      </c>
      <c r="E2092">
        <v>132</v>
      </c>
      <c r="F2092">
        <v>11</v>
      </c>
      <c r="G2092">
        <v>63</v>
      </c>
      <c r="H2092">
        <v>26</v>
      </c>
    </row>
    <row r="2093" spans="1:8" x14ac:dyDescent="0.25">
      <c r="A2093" t="s">
        <v>2757</v>
      </c>
      <c r="B2093" t="s">
        <v>117</v>
      </c>
      <c r="C2093" t="s">
        <v>101</v>
      </c>
      <c r="D2093" t="s">
        <v>235</v>
      </c>
      <c r="E2093">
        <v>114</v>
      </c>
      <c r="F2093">
        <v>16</v>
      </c>
      <c r="G2093">
        <v>57</v>
      </c>
      <c r="H2093">
        <v>27</v>
      </c>
    </row>
    <row r="2094" spans="1:8" x14ac:dyDescent="0.25">
      <c r="A2094" t="s">
        <v>2758</v>
      </c>
      <c r="B2094" t="s">
        <v>117</v>
      </c>
      <c r="C2094" t="s">
        <v>101</v>
      </c>
      <c r="D2094" t="s">
        <v>236</v>
      </c>
      <c r="E2094">
        <v>115</v>
      </c>
      <c r="F2094">
        <v>16</v>
      </c>
      <c r="G2094">
        <v>60</v>
      </c>
      <c r="H2094">
        <v>24</v>
      </c>
    </row>
    <row r="2095" spans="1:8" x14ac:dyDescent="0.25">
      <c r="A2095" t="s">
        <v>2759</v>
      </c>
      <c r="B2095" t="s">
        <v>117</v>
      </c>
      <c r="C2095" t="s">
        <v>101</v>
      </c>
      <c r="D2095" t="s">
        <v>237</v>
      </c>
      <c r="E2095">
        <v>104</v>
      </c>
      <c r="F2095">
        <v>16</v>
      </c>
      <c r="G2095">
        <v>53</v>
      </c>
      <c r="H2095">
        <v>31</v>
      </c>
    </row>
    <row r="2096" spans="1:8" x14ac:dyDescent="0.25">
      <c r="A2096" t="s">
        <v>2760</v>
      </c>
      <c r="B2096" t="s">
        <v>117</v>
      </c>
      <c r="C2096" t="s">
        <v>101</v>
      </c>
      <c r="D2096" t="s">
        <v>238</v>
      </c>
      <c r="E2096">
        <v>115</v>
      </c>
      <c r="F2096">
        <v>12</v>
      </c>
      <c r="G2096">
        <v>63</v>
      </c>
      <c r="H2096">
        <v>25</v>
      </c>
    </row>
    <row r="2097" spans="1:8" x14ac:dyDescent="0.25">
      <c r="A2097" t="s">
        <v>2761</v>
      </c>
      <c r="B2097" t="s">
        <v>117</v>
      </c>
      <c r="C2097" t="s">
        <v>101</v>
      </c>
      <c r="D2097" t="s">
        <v>239</v>
      </c>
      <c r="E2097">
        <v>103</v>
      </c>
      <c r="F2097">
        <v>10</v>
      </c>
      <c r="G2097">
        <v>58</v>
      </c>
      <c r="H2097">
        <v>32</v>
      </c>
    </row>
    <row r="2098" spans="1:8" x14ac:dyDescent="0.25">
      <c r="A2098" t="s">
        <v>2762</v>
      </c>
      <c r="B2098" t="s">
        <v>117</v>
      </c>
      <c r="C2098" t="s">
        <v>101</v>
      </c>
      <c r="D2098" t="s">
        <v>47</v>
      </c>
      <c r="E2098">
        <v>110</v>
      </c>
      <c r="F2098">
        <v>12</v>
      </c>
      <c r="G2098">
        <v>66</v>
      </c>
      <c r="H2098">
        <v>22</v>
      </c>
    </row>
    <row r="2099" spans="1:8" x14ac:dyDescent="0.25">
      <c r="A2099" t="s">
        <v>2763</v>
      </c>
      <c r="B2099" t="s">
        <v>117</v>
      </c>
      <c r="C2099" t="s">
        <v>102</v>
      </c>
      <c r="D2099" t="s">
        <v>232</v>
      </c>
      <c r="E2099">
        <v>141</v>
      </c>
      <c r="F2099">
        <v>31</v>
      </c>
      <c r="G2099">
        <v>33</v>
      </c>
      <c r="H2099">
        <v>36</v>
      </c>
    </row>
    <row r="2100" spans="1:8" x14ac:dyDescent="0.25">
      <c r="A2100" t="s">
        <v>2764</v>
      </c>
      <c r="B2100" t="s">
        <v>117</v>
      </c>
      <c r="C2100" t="s">
        <v>102</v>
      </c>
      <c r="D2100" t="s">
        <v>233</v>
      </c>
      <c r="E2100">
        <v>144</v>
      </c>
      <c r="F2100">
        <v>29</v>
      </c>
      <c r="G2100">
        <v>31</v>
      </c>
      <c r="H2100">
        <v>40</v>
      </c>
    </row>
    <row r="2101" spans="1:8" x14ac:dyDescent="0.25">
      <c r="A2101" t="s">
        <v>2765</v>
      </c>
      <c r="B2101" t="s">
        <v>117</v>
      </c>
      <c r="C2101" t="s">
        <v>102</v>
      </c>
      <c r="D2101" t="s">
        <v>234</v>
      </c>
      <c r="E2101">
        <v>139</v>
      </c>
      <c r="F2101">
        <v>25</v>
      </c>
      <c r="G2101">
        <v>43</v>
      </c>
      <c r="H2101">
        <v>32</v>
      </c>
    </row>
    <row r="2102" spans="1:8" x14ac:dyDescent="0.25">
      <c r="A2102" t="s">
        <v>2766</v>
      </c>
      <c r="B2102" t="s">
        <v>117</v>
      </c>
      <c r="C2102" t="s">
        <v>102</v>
      </c>
      <c r="D2102" t="s">
        <v>235</v>
      </c>
      <c r="E2102">
        <v>114</v>
      </c>
      <c r="F2102">
        <v>28</v>
      </c>
      <c r="G2102">
        <v>38</v>
      </c>
      <c r="H2102">
        <v>34</v>
      </c>
    </row>
    <row r="2103" spans="1:8" x14ac:dyDescent="0.25">
      <c r="A2103" t="s">
        <v>2767</v>
      </c>
      <c r="B2103" t="s">
        <v>117</v>
      </c>
      <c r="C2103" t="s">
        <v>102</v>
      </c>
      <c r="D2103" t="s">
        <v>236</v>
      </c>
      <c r="E2103">
        <v>130</v>
      </c>
      <c r="F2103">
        <v>26</v>
      </c>
      <c r="G2103">
        <v>38</v>
      </c>
      <c r="H2103">
        <v>36</v>
      </c>
    </row>
    <row r="2104" spans="1:8" x14ac:dyDescent="0.25">
      <c r="A2104" t="s">
        <v>2768</v>
      </c>
      <c r="B2104" t="s">
        <v>117</v>
      </c>
      <c r="C2104" t="s">
        <v>102</v>
      </c>
      <c r="D2104" t="s">
        <v>237</v>
      </c>
      <c r="E2104">
        <v>114</v>
      </c>
      <c r="F2104">
        <v>22</v>
      </c>
      <c r="G2104">
        <v>33</v>
      </c>
      <c r="H2104">
        <v>45</v>
      </c>
    </row>
    <row r="2105" spans="1:8" x14ac:dyDescent="0.25">
      <c r="A2105" t="s">
        <v>2769</v>
      </c>
      <c r="B2105" t="s">
        <v>117</v>
      </c>
      <c r="C2105" t="s">
        <v>102</v>
      </c>
      <c r="D2105" t="s">
        <v>238</v>
      </c>
      <c r="E2105">
        <v>123</v>
      </c>
      <c r="F2105">
        <v>18</v>
      </c>
      <c r="G2105">
        <v>30</v>
      </c>
      <c r="H2105">
        <v>52</v>
      </c>
    </row>
    <row r="2106" spans="1:8" x14ac:dyDescent="0.25">
      <c r="A2106" t="s">
        <v>2770</v>
      </c>
      <c r="B2106" t="s">
        <v>117</v>
      </c>
      <c r="C2106" t="s">
        <v>102</v>
      </c>
      <c r="D2106" t="s">
        <v>239</v>
      </c>
      <c r="E2106">
        <v>120</v>
      </c>
      <c r="F2106">
        <v>26</v>
      </c>
      <c r="G2106">
        <v>31</v>
      </c>
      <c r="H2106">
        <v>43</v>
      </c>
    </row>
    <row r="2107" spans="1:8" x14ac:dyDescent="0.25">
      <c r="A2107" t="s">
        <v>2771</v>
      </c>
      <c r="B2107" t="s">
        <v>117</v>
      </c>
      <c r="C2107" t="s">
        <v>102</v>
      </c>
      <c r="D2107" t="s">
        <v>47</v>
      </c>
      <c r="E2107">
        <v>112</v>
      </c>
      <c r="F2107">
        <v>25</v>
      </c>
      <c r="G2107">
        <v>36</v>
      </c>
      <c r="H2107">
        <v>39</v>
      </c>
    </row>
    <row r="2108" spans="1:8" x14ac:dyDescent="0.25">
      <c r="A2108" t="s">
        <v>2772</v>
      </c>
      <c r="B2108" t="s">
        <v>117</v>
      </c>
      <c r="C2108" t="s">
        <v>31</v>
      </c>
      <c r="D2108" t="s">
        <v>232</v>
      </c>
      <c r="E2108">
        <v>161</v>
      </c>
      <c r="F2108">
        <v>9</v>
      </c>
      <c r="G2108">
        <v>48</v>
      </c>
      <c r="H2108">
        <v>43</v>
      </c>
    </row>
    <row r="2109" spans="1:8" x14ac:dyDescent="0.25">
      <c r="A2109" t="s">
        <v>2773</v>
      </c>
      <c r="B2109" t="s">
        <v>117</v>
      </c>
      <c r="C2109" t="s">
        <v>31</v>
      </c>
      <c r="D2109" t="s">
        <v>233</v>
      </c>
      <c r="E2109">
        <v>165</v>
      </c>
      <c r="F2109">
        <v>16</v>
      </c>
      <c r="G2109">
        <v>45</v>
      </c>
      <c r="H2109">
        <v>39</v>
      </c>
    </row>
    <row r="2110" spans="1:8" x14ac:dyDescent="0.25">
      <c r="A2110" t="s">
        <v>2774</v>
      </c>
      <c r="B2110" t="s">
        <v>117</v>
      </c>
      <c r="C2110" t="s">
        <v>31</v>
      </c>
      <c r="D2110" t="s">
        <v>234</v>
      </c>
      <c r="E2110">
        <v>163</v>
      </c>
      <c r="F2110">
        <v>9</v>
      </c>
      <c r="G2110">
        <v>45</v>
      </c>
      <c r="H2110">
        <v>46</v>
      </c>
    </row>
    <row r="2111" spans="1:8" x14ac:dyDescent="0.25">
      <c r="A2111" t="s">
        <v>2775</v>
      </c>
      <c r="B2111" t="s">
        <v>117</v>
      </c>
      <c r="C2111" t="s">
        <v>31</v>
      </c>
      <c r="D2111" t="s">
        <v>235</v>
      </c>
      <c r="E2111">
        <v>143</v>
      </c>
      <c r="F2111">
        <v>10</v>
      </c>
      <c r="G2111">
        <v>43</v>
      </c>
      <c r="H2111">
        <v>47</v>
      </c>
    </row>
    <row r="2112" spans="1:8" x14ac:dyDescent="0.25">
      <c r="A2112" t="s">
        <v>2776</v>
      </c>
      <c r="B2112" t="s">
        <v>117</v>
      </c>
      <c r="C2112" t="s">
        <v>31</v>
      </c>
      <c r="D2112" t="s">
        <v>236</v>
      </c>
      <c r="E2112">
        <v>146</v>
      </c>
      <c r="F2112">
        <v>7</v>
      </c>
      <c r="G2112">
        <v>52</v>
      </c>
      <c r="H2112">
        <v>41</v>
      </c>
    </row>
    <row r="2113" spans="1:8" x14ac:dyDescent="0.25">
      <c r="A2113" t="s">
        <v>2777</v>
      </c>
      <c r="B2113" t="s">
        <v>117</v>
      </c>
      <c r="C2113" t="s">
        <v>31</v>
      </c>
      <c r="D2113" t="s">
        <v>237</v>
      </c>
      <c r="E2113">
        <v>135</v>
      </c>
      <c r="F2113">
        <v>8</v>
      </c>
      <c r="G2113">
        <v>40</v>
      </c>
      <c r="H2113">
        <v>52</v>
      </c>
    </row>
    <row r="2114" spans="1:8" x14ac:dyDescent="0.25">
      <c r="A2114" t="s">
        <v>2778</v>
      </c>
      <c r="B2114" t="s">
        <v>117</v>
      </c>
      <c r="C2114" t="s">
        <v>31</v>
      </c>
      <c r="D2114" t="s">
        <v>238</v>
      </c>
      <c r="E2114">
        <v>145</v>
      </c>
      <c r="F2114">
        <v>7</v>
      </c>
      <c r="G2114">
        <v>54</v>
      </c>
      <c r="H2114">
        <v>39</v>
      </c>
    </row>
    <row r="2115" spans="1:8" x14ac:dyDescent="0.25">
      <c r="A2115" t="s">
        <v>2779</v>
      </c>
      <c r="B2115" t="s">
        <v>117</v>
      </c>
      <c r="C2115" t="s">
        <v>31</v>
      </c>
      <c r="D2115" t="s">
        <v>239</v>
      </c>
      <c r="E2115">
        <v>136</v>
      </c>
      <c r="F2115">
        <v>8</v>
      </c>
      <c r="G2115">
        <v>53</v>
      </c>
      <c r="H2115">
        <v>39</v>
      </c>
    </row>
    <row r="2116" spans="1:8" x14ac:dyDescent="0.25">
      <c r="A2116" t="s">
        <v>2780</v>
      </c>
      <c r="B2116" t="s">
        <v>117</v>
      </c>
      <c r="C2116" t="s">
        <v>31</v>
      </c>
      <c r="D2116" t="s">
        <v>47</v>
      </c>
      <c r="E2116">
        <v>135</v>
      </c>
      <c r="F2116">
        <v>12</v>
      </c>
      <c r="G2116">
        <v>42</v>
      </c>
      <c r="H2116">
        <v>46</v>
      </c>
    </row>
    <row r="2117" spans="1:8" x14ac:dyDescent="0.25">
      <c r="A2117" t="s">
        <v>2781</v>
      </c>
      <c r="B2117" t="s">
        <v>120</v>
      </c>
      <c r="C2117" t="s">
        <v>103</v>
      </c>
      <c r="D2117" t="s">
        <v>232</v>
      </c>
      <c r="E2117">
        <v>79</v>
      </c>
      <c r="F2117">
        <v>29</v>
      </c>
      <c r="G2117">
        <v>52</v>
      </c>
      <c r="H2117">
        <v>19</v>
      </c>
    </row>
    <row r="2118" spans="1:8" x14ac:dyDescent="0.25">
      <c r="A2118" t="s">
        <v>2782</v>
      </c>
      <c r="B2118" t="s">
        <v>120</v>
      </c>
      <c r="C2118" t="s">
        <v>103</v>
      </c>
      <c r="D2118" t="s">
        <v>233</v>
      </c>
      <c r="E2118">
        <v>56</v>
      </c>
      <c r="F2118">
        <v>18</v>
      </c>
      <c r="G2118">
        <v>70</v>
      </c>
      <c r="H2118">
        <v>12</v>
      </c>
    </row>
    <row r="2119" spans="1:8" x14ac:dyDescent="0.25">
      <c r="A2119" t="s">
        <v>2783</v>
      </c>
      <c r="B2119" t="s">
        <v>120</v>
      </c>
      <c r="C2119" t="s">
        <v>103</v>
      </c>
      <c r="D2119" t="s">
        <v>234</v>
      </c>
      <c r="E2119">
        <v>71</v>
      </c>
      <c r="F2119">
        <v>27</v>
      </c>
      <c r="G2119">
        <v>65</v>
      </c>
      <c r="H2119">
        <v>8</v>
      </c>
    </row>
    <row r="2120" spans="1:8" x14ac:dyDescent="0.25">
      <c r="A2120" t="s">
        <v>2784</v>
      </c>
      <c r="B2120" t="s">
        <v>120</v>
      </c>
      <c r="C2120" t="s">
        <v>103</v>
      </c>
      <c r="D2120" t="s">
        <v>235</v>
      </c>
      <c r="E2120">
        <v>60</v>
      </c>
      <c r="F2120">
        <v>27</v>
      </c>
      <c r="G2120">
        <v>61</v>
      </c>
      <c r="H2120">
        <v>12</v>
      </c>
    </row>
    <row r="2121" spans="1:8" x14ac:dyDescent="0.25">
      <c r="A2121" t="s">
        <v>2785</v>
      </c>
      <c r="B2121" t="s">
        <v>120</v>
      </c>
      <c r="C2121" t="s">
        <v>103</v>
      </c>
      <c r="D2121" t="s">
        <v>236</v>
      </c>
      <c r="E2121">
        <v>60</v>
      </c>
      <c r="F2121">
        <v>25</v>
      </c>
      <c r="G2121">
        <v>69</v>
      </c>
      <c r="H2121">
        <v>6</v>
      </c>
    </row>
    <row r="2122" spans="1:8" x14ac:dyDescent="0.25">
      <c r="A2122" t="s">
        <v>2786</v>
      </c>
      <c r="B2122" t="s">
        <v>120</v>
      </c>
      <c r="C2122" t="s">
        <v>103</v>
      </c>
      <c r="D2122" t="s">
        <v>237</v>
      </c>
      <c r="E2122">
        <v>58</v>
      </c>
      <c r="F2122">
        <v>14</v>
      </c>
      <c r="G2122">
        <v>76</v>
      </c>
      <c r="H2122">
        <v>10</v>
      </c>
    </row>
    <row r="2123" spans="1:8" x14ac:dyDescent="0.25">
      <c r="A2123" t="s">
        <v>2787</v>
      </c>
      <c r="B2123" t="s">
        <v>120</v>
      </c>
      <c r="C2123" t="s">
        <v>103</v>
      </c>
      <c r="D2123" t="s">
        <v>238</v>
      </c>
      <c r="E2123">
        <v>80</v>
      </c>
      <c r="F2123">
        <v>22</v>
      </c>
      <c r="G2123">
        <v>59</v>
      </c>
      <c r="H2123">
        <v>19</v>
      </c>
    </row>
    <row r="2124" spans="1:8" x14ac:dyDescent="0.25">
      <c r="A2124" t="s">
        <v>2788</v>
      </c>
      <c r="B2124" t="s">
        <v>120</v>
      </c>
      <c r="C2124" t="s">
        <v>103</v>
      </c>
      <c r="D2124" t="s">
        <v>239</v>
      </c>
      <c r="E2124">
        <v>69</v>
      </c>
      <c r="F2124">
        <v>11</v>
      </c>
      <c r="G2124">
        <v>71</v>
      </c>
      <c r="H2124">
        <v>18</v>
      </c>
    </row>
    <row r="2125" spans="1:8" x14ac:dyDescent="0.25">
      <c r="A2125" t="s">
        <v>2789</v>
      </c>
      <c r="B2125" t="s">
        <v>120</v>
      </c>
      <c r="C2125" t="s">
        <v>103</v>
      </c>
      <c r="D2125" t="s">
        <v>47</v>
      </c>
      <c r="E2125">
        <v>61</v>
      </c>
      <c r="F2125">
        <v>15</v>
      </c>
      <c r="G2125">
        <v>65</v>
      </c>
      <c r="H2125">
        <v>20</v>
      </c>
    </row>
    <row r="2126" spans="1:8" x14ac:dyDescent="0.25">
      <c r="A2126" t="s">
        <v>2790</v>
      </c>
      <c r="B2126" t="s">
        <v>120</v>
      </c>
      <c r="C2126" t="s">
        <v>100</v>
      </c>
      <c r="D2126" t="s">
        <v>232</v>
      </c>
      <c r="E2126">
        <v>82</v>
      </c>
      <c r="F2126">
        <v>23</v>
      </c>
      <c r="G2126">
        <v>70</v>
      </c>
      <c r="H2126">
        <v>7</v>
      </c>
    </row>
    <row r="2127" spans="1:8" x14ac:dyDescent="0.25">
      <c r="A2127" t="s">
        <v>2791</v>
      </c>
      <c r="B2127" t="s">
        <v>120</v>
      </c>
      <c r="C2127" t="s">
        <v>100</v>
      </c>
      <c r="D2127" t="s">
        <v>233</v>
      </c>
      <c r="E2127">
        <v>60</v>
      </c>
      <c r="F2127">
        <v>22</v>
      </c>
      <c r="G2127">
        <v>72</v>
      </c>
      <c r="H2127">
        <v>6</v>
      </c>
    </row>
    <row r="2128" spans="1:8" x14ac:dyDescent="0.25">
      <c r="A2128" t="s">
        <v>2792</v>
      </c>
      <c r="B2128" t="s">
        <v>120</v>
      </c>
      <c r="C2128" t="s">
        <v>100</v>
      </c>
      <c r="D2128" t="s">
        <v>234</v>
      </c>
      <c r="E2128">
        <v>74</v>
      </c>
      <c r="F2128">
        <v>28</v>
      </c>
      <c r="G2128">
        <v>65</v>
      </c>
      <c r="H2128">
        <v>7</v>
      </c>
    </row>
    <row r="2129" spans="1:8" x14ac:dyDescent="0.25">
      <c r="A2129" t="s">
        <v>2793</v>
      </c>
      <c r="B2129" t="s">
        <v>120</v>
      </c>
      <c r="C2129" t="s">
        <v>100</v>
      </c>
      <c r="D2129" t="s">
        <v>235</v>
      </c>
      <c r="E2129">
        <v>65</v>
      </c>
      <c r="F2129">
        <v>28</v>
      </c>
      <c r="G2129">
        <v>67</v>
      </c>
      <c r="H2129">
        <v>5</v>
      </c>
    </row>
    <row r="2130" spans="1:8" x14ac:dyDescent="0.25">
      <c r="A2130" t="s">
        <v>2794</v>
      </c>
      <c r="B2130" t="s">
        <v>120</v>
      </c>
      <c r="C2130" t="s">
        <v>100</v>
      </c>
      <c r="D2130" t="s">
        <v>236</v>
      </c>
      <c r="E2130">
        <v>63</v>
      </c>
      <c r="F2130">
        <v>23</v>
      </c>
      <c r="G2130">
        <v>65</v>
      </c>
      <c r="H2130">
        <v>12</v>
      </c>
    </row>
    <row r="2131" spans="1:8" x14ac:dyDescent="0.25">
      <c r="A2131" t="s">
        <v>2795</v>
      </c>
      <c r="B2131" t="s">
        <v>120</v>
      </c>
      <c r="C2131" t="s">
        <v>100</v>
      </c>
      <c r="D2131" t="s">
        <v>237</v>
      </c>
      <c r="E2131">
        <v>61</v>
      </c>
      <c r="F2131">
        <v>17</v>
      </c>
      <c r="G2131">
        <v>61</v>
      </c>
      <c r="H2131">
        <v>22</v>
      </c>
    </row>
    <row r="2132" spans="1:8" x14ac:dyDescent="0.25">
      <c r="A2132" t="s">
        <v>2796</v>
      </c>
      <c r="B2132" t="s">
        <v>120</v>
      </c>
      <c r="C2132" t="s">
        <v>100</v>
      </c>
      <c r="D2132" t="s">
        <v>238</v>
      </c>
      <c r="E2132">
        <v>85</v>
      </c>
      <c r="F2132">
        <v>29</v>
      </c>
      <c r="G2132">
        <v>51</v>
      </c>
      <c r="H2132">
        <v>20</v>
      </c>
    </row>
    <row r="2133" spans="1:8" x14ac:dyDescent="0.25">
      <c r="A2133" t="s">
        <v>2797</v>
      </c>
      <c r="B2133" t="s">
        <v>120</v>
      </c>
      <c r="C2133" t="s">
        <v>100</v>
      </c>
      <c r="D2133" t="s">
        <v>239</v>
      </c>
      <c r="E2133">
        <v>74</v>
      </c>
      <c r="F2133">
        <v>28</v>
      </c>
      <c r="G2133">
        <v>49</v>
      </c>
      <c r="H2133">
        <v>23</v>
      </c>
    </row>
    <row r="2134" spans="1:8" x14ac:dyDescent="0.25">
      <c r="A2134" t="s">
        <v>2798</v>
      </c>
      <c r="B2134" t="s">
        <v>120</v>
      </c>
      <c r="C2134" t="s">
        <v>100</v>
      </c>
      <c r="D2134" t="s">
        <v>47</v>
      </c>
      <c r="E2134">
        <v>63</v>
      </c>
      <c r="F2134">
        <v>16</v>
      </c>
      <c r="G2134">
        <v>66</v>
      </c>
      <c r="H2134">
        <v>18</v>
      </c>
    </row>
    <row r="2135" spans="1:8" x14ac:dyDescent="0.25">
      <c r="A2135" t="s">
        <v>2799</v>
      </c>
      <c r="B2135" t="s">
        <v>120</v>
      </c>
      <c r="C2135" t="s">
        <v>101</v>
      </c>
      <c r="D2135" t="s">
        <v>232</v>
      </c>
      <c r="E2135">
        <v>74</v>
      </c>
      <c r="F2135">
        <v>39</v>
      </c>
      <c r="G2135">
        <v>53</v>
      </c>
      <c r="H2135">
        <v>8</v>
      </c>
    </row>
    <row r="2136" spans="1:8" x14ac:dyDescent="0.25">
      <c r="A2136" t="s">
        <v>2800</v>
      </c>
      <c r="B2136" t="s">
        <v>120</v>
      </c>
      <c r="C2136" t="s">
        <v>101</v>
      </c>
      <c r="D2136" t="s">
        <v>233</v>
      </c>
      <c r="E2136">
        <v>50</v>
      </c>
      <c r="F2136">
        <v>30</v>
      </c>
      <c r="G2136">
        <v>53</v>
      </c>
      <c r="H2136">
        <v>17</v>
      </c>
    </row>
    <row r="2137" spans="1:8" x14ac:dyDescent="0.25">
      <c r="A2137" t="s">
        <v>2801</v>
      </c>
      <c r="B2137" t="s">
        <v>120</v>
      </c>
      <c r="C2137" t="s">
        <v>101</v>
      </c>
      <c r="D2137" t="s">
        <v>234</v>
      </c>
      <c r="E2137">
        <v>65</v>
      </c>
      <c r="F2137">
        <v>39</v>
      </c>
      <c r="G2137">
        <v>48</v>
      </c>
      <c r="H2137">
        <v>13</v>
      </c>
    </row>
    <row r="2138" spans="1:8" x14ac:dyDescent="0.25">
      <c r="A2138" t="s">
        <v>2802</v>
      </c>
      <c r="B2138" t="s">
        <v>120</v>
      </c>
      <c r="C2138" t="s">
        <v>101</v>
      </c>
      <c r="D2138" t="s">
        <v>235</v>
      </c>
      <c r="E2138">
        <v>55</v>
      </c>
      <c r="F2138">
        <v>52</v>
      </c>
      <c r="G2138">
        <v>47</v>
      </c>
      <c r="H2138">
        <v>1</v>
      </c>
    </row>
    <row r="2139" spans="1:8" x14ac:dyDescent="0.25">
      <c r="A2139" t="s">
        <v>2803</v>
      </c>
      <c r="B2139" t="s">
        <v>120</v>
      </c>
      <c r="C2139" t="s">
        <v>101</v>
      </c>
      <c r="D2139" t="s">
        <v>236</v>
      </c>
      <c r="E2139">
        <v>53</v>
      </c>
      <c r="F2139">
        <v>41</v>
      </c>
      <c r="G2139">
        <v>49</v>
      </c>
      <c r="H2139">
        <v>10</v>
      </c>
    </row>
    <row r="2140" spans="1:8" x14ac:dyDescent="0.25">
      <c r="A2140" t="s">
        <v>2804</v>
      </c>
      <c r="B2140" t="s">
        <v>120</v>
      </c>
      <c r="C2140" t="s">
        <v>101</v>
      </c>
      <c r="D2140" t="s">
        <v>237</v>
      </c>
      <c r="E2140">
        <v>52</v>
      </c>
      <c r="F2140">
        <v>21</v>
      </c>
      <c r="G2140">
        <v>56</v>
      </c>
      <c r="H2140">
        <v>23</v>
      </c>
    </row>
    <row r="2141" spans="1:8" x14ac:dyDescent="0.25">
      <c r="A2141" t="s">
        <v>2805</v>
      </c>
      <c r="B2141" t="s">
        <v>120</v>
      </c>
      <c r="C2141" t="s">
        <v>101</v>
      </c>
      <c r="D2141" t="s">
        <v>238</v>
      </c>
      <c r="E2141">
        <v>74</v>
      </c>
      <c r="F2141">
        <v>30</v>
      </c>
      <c r="G2141">
        <v>57</v>
      </c>
      <c r="H2141">
        <v>13</v>
      </c>
    </row>
    <row r="2142" spans="1:8" x14ac:dyDescent="0.25">
      <c r="A2142" t="s">
        <v>2806</v>
      </c>
      <c r="B2142" t="s">
        <v>120</v>
      </c>
      <c r="C2142" t="s">
        <v>101</v>
      </c>
      <c r="D2142" t="s">
        <v>239</v>
      </c>
      <c r="E2142">
        <v>61</v>
      </c>
      <c r="F2142">
        <v>36</v>
      </c>
      <c r="G2142">
        <v>44</v>
      </c>
      <c r="H2142">
        <v>20</v>
      </c>
    </row>
    <row r="2143" spans="1:8" x14ac:dyDescent="0.25">
      <c r="A2143" t="s">
        <v>2807</v>
      </c>
      <c r="B2143" t="s">
        <v>120</v>
      </c>
      <c r="C2143" t="s">
        <v>101</v>
      </c>
      <c r="D2143" t="s">
        <v>47</v>
      </c>
      <c r="E2143">
        <v>55</v>
      </c>
      <c r="F2143">
        <v>32</v>
      </c>
      <c r="G2143">
        <v>60</v>
      </c>
      <c r="H2143">
        <v>8</v>
      </c>
    </row>
    <row r="2144" spans="1:8" x14ac:dyDescent="0.25">
      <c r="A2144" t="s">
        <v>2808</v>
      </c>
      <c r="B2144" t="s">
        <v>120</v>
      </c>
      <c r="C2144" t="s">
        <v>102</v>
      </c>
      <c r="D2144" t="s">
        <v>232</v>
      </c>
      <c r="E2144">
        <v>75</v>
      </c>
      <c r="F2144">
        <v>46</v>
      </c>
      <c r="G2144">
        <v>38</v>
      </c>
      <c r="H2144">
        <v>16</v>
      </c>
    </row>
    <row r="2145" spans="1:8" x14ac:dyDescent="0.25">
      <c r="A2145" t="s">
        <v>2809</v>
      </c>
      <c r="B2145" t="s">
        <v>120</v>
      </c>
      <c r="C2145" t="s">
        <v>102</v>
      </c>
      <c r="D2145" t="s">
        <v>233</v>
      </c>
      <c r="E2145">
        <v>56</v>
      </c>
      <c r="F2145">
        <v>40</v>
      </c>
      <c r="G2145">
        <v>39</v>
      </c>
      <c r="H2145">
        <v>21</v>
      </c>
    </row>
    <row r="2146" spans="1:8" x14ac:dyDescent="0.25">
      <c r="A2146" t="s">
        <v>2810</v>
      </c>
      <c r="B2146" t="s">
        <v>120</v>
      </c>
      <c r="C2146" t="s">
        <v>102</v>
      </c>
      <c r="D2146" t="s">
        <v>234</v>
      </c>
      <c r="E2146">
        <v>66</v>
      </c>
      <c r="F2146">
        <v>49</v>
      </c>
      <c r="G2146">
        <v>36</v>
      </c>
      <c r="H2146">
        <v>15</v>
      </c>
    </row>
    <row r="2147" spans="1:8" x14ac:dyDescent="0.25">
      <c r="A2147" t="s">
        <v>2811</v>
      </c>
      <c r="B2147" t="s">
        <v>120</v>
      </c>
      <c r="C2147" t="s">
        <v>102</v>
      </c>
      <c r="D2147" t="s">
        <v>235</v>
      </c>
      <c r="E2147">
        <v>56</v>
      </c>
      <c r="F2147">
        <v>52</v>
      </c>
      <c r="G2147">
        <v>31</v>
      </c>
      <c r="H2147">
        <v>17</v>
      </c>
    </row>
    <row r="2148" spans="1:8" x14ac:dyDescent="0.25">
      <c r="A2148" t="s">
        <v>2812</v>
      </c>
      <c r="B2148" t="s">
        <v>120</v>
      </c>
      <c r="C2148" t="s">
        <v>102</v>
      </c>
      <c r="D2148" t="s">
        <v>236</v>
      </c>
      <c r="E2148">
        <v>57</v>
      </c>
      <c r="F2148">
        <v>41</v>
      </c>
      <c r="G2148">
        <v>45</v>
      </c>
      <c r="H2148">
        <v>14</v>
      </c>
    </row>
    <row r="2149" spans="1:8" x14ac:dyDescent="0.25">
      <c r="A2149" t="s">
        <v>2813</v>
      </c>
      <c r="B2149" t="s">
        <v>120</v>
      </c>
      <c r="C2149" t="s">
        <v>102</v>
      </c>
      <c r="D2149" t="s">
        <v>237</v>
      </c>
      <c r="E2149">
        <v>55</v>
      </c>
      <c r="F2149">
        <v>18</v>
      </c>
      <c r="G2149">
        <v>64</v>
      </c>
      <c r="H2149">
        <v>18</v>
      </c>
    </row>
    <row r="2150" spans="1:8" x14ac:dyDescent="0.25">
      <c r="A2150" t="s">
        <v>2814</v>
      </c>
      <c r="B2150" t="s">
        <v>120</v>
      </c>
      <c r="C2150" t="s">
        <v>102</v>
      </c>
      <c r="D2150" t="s">
        <v>238</v>
      </c>
      <c r="E2150">
        <v>73</v>
      </c>
      <c r="F2150">
        <v>36</v>
      </c>
      <c r="G2150">
        <v>44</v>
      </c>
      <c r="H2150">
        <v>20</v>
      </c>
    </row>
    <row r="2151" spans="1:8" x14ac:dyDescent="0.25">
      <c r="A2151" t="s">
        <v>2815</v>
      </c>
      <c r="B2151" t="s">
        <v>120</v>
      </c>
      <c r="C2151" t="s">
        <v>102</v>
      </c>
      <c r="D2151" t="s">
        <v>239</v>
      </c>
      <c r="E2151">
        <v>62</v>
      </c>
      <c r="F2151">
        <v>25</v>
      </c>
      <c r="G2151">
        <v>55</v>
      </c>
      <c r="H2151">
        <v>20</v>
      </c>
    </row>
    <row r="2152" spans="1:8" x14ac:dyDescent="0.25">
      <c r="A2152" t="s">
        <v>2816</v>
      </c>
      <c r="B2152" t="s">
        <v>120</v>
      </c>
      <c r="C2152" t="s">
        <v>102</v>
      </c>
      <c r="D2152" t="s">
        <v>47</v>
      </c>
      <c r="E2152">
        <v>57</v>
      </c>
      <c r="F2152">
        <v>30</v>
      </c>
      <c r="G2152">
        <v>47</v>
      </c>
      <c r="H2152">
        <v>23</v>
      </c>
    </row>
    <row r="2153" spans="1:8" x14ac:dyDescent="0.25">
      <c r="A2153" t="s">
        <v>2817</v>
      </c>
      <c r="B2153" t="s">
        <v>120</v>
      </c>
      <c r="C2153" t="s">
        <v>31</v>
      </c>
      <c r="D2153" t="s">
        <v>232</v>
      </c>
      <c r="E2153">
        <v>82</v>
      </c>
      <c r="F2153">
        <v>47</v>
      </c>
      <c r="G2153">
        <v>41</v>
      </c>
      <c r="H2153">
        <v>12</v>
      </c>
    </row>
    <row r="2154" spans="1:8" x14ac:dyDescent="0.25">
      <c r="A2154" t="s">
        <v>2818</v>
      </c>
      <c r="B2154" t="s">
        <v>120</v>
      </c>
      <c r="C2154" t="s">
        <v>31</v>
      </c>
      <c r="D2154" t="s">
        <v>233</v>
      </c>
      <c r="E2154">
        <v>60</v>
      </c>
      <c r="F2154">
        <v>33</v>
      </c>
      <c r="G2154">
        <v>55</v>
      </c>
      <c r="H2154">
        <v>12</v>
      </c>
    </row>
    <row r="2155" spans="1:8" x14ac:dyDescent="0.25">
      <c r="A2155" t="s">
        <v>2819</v>
      </c>
      <c r="B2155" t="s">
        <v>120</v>
      </c>
      <c r="C2155" t="s">
        <v>31</v>
      </c>
      <c r="D2155" t="s">
        <v>234</v>
      </c>
      <c r="E2155">
        <v>74</v>
      </c>
      <c r="F2155">
        <v>51</v>
      </c>
      <c r="G2155">
        <v>39</v>
      </c>
      <c r="H2155">
        <v>10</v>
      </c>
    </row>
    <row r="2156" spans="1:8" x14ac:dyDescent="0.25">
      <c r="A2156" t="s">
        <v>2820</v>
      </c>
      <c r="B2156" t="s">
        <v>120</v>
      </c>
      <c r="C2156" t="s">
        <v>31</v>
      </c>
      <c r="D2156" t="s">
        <v>235</v>
      </c>
      <c r="E2156">
        <v>64</v>
      </c>
      <c r="F2156">
        <v>34</v>
      </c>
      <c r="G2156">
        <v>64</v>
      </c>
      <c r="H2156">
        <v>2</v>
      </c>
    </row>
    <row r="2157" spans="1:8" x14ac:dyDescent="0.25">
      <c r="A2157" t="s">
        <v>2821</v>
      </c>
      <c r="B2157" t="s">
        <v>120</v>
      </c>
      <c r="C2157" t="s">
        <v>31</v>
      </c>
      <c r="D2157" t="s">
        <v>236</v>
      </c>
      <c r="E2157">
        <v>63</v>
      </c>
      <c r="F2157">
        <v>45</v>
      </c>
      <c r="G2157">
        <v>46</v>
      </c>
      <c r="H2157">
        <v>9</v>
      </c>
    </row>
    <row r="2158" spans="1:8" x14ac:dyDescent="0.25">
      <c r="A2158" t="s">
        <v>2822</v>
      </c>
      <c r="B2158" t="s">
        <v>120</v>
      </c>
      <c r="C2158" t="s">
        <v>31</v>
      </c>
      <c r="D2158" t="s">
        <v>237</v>
      </c>
      <c r="E2158">
        <v>61</v>
      </c>
      <c r="F2158">
        <v>37</v>
      </c>
      <c r="G2158">
        <v>44</v>
      </c>
      <c r="H2158">
        <v>19</v>
      </c>
    </row>
    <row r="2159" spans="1:8" x14ac:dyDescent="0.25">
      <c r="A2159" t="s">
        <v>2823</v>
      </c>
      <c r="B2159" t="s">
        <v>120</v>
      </c>
      <c r="C2159" t="s">
        <v>31</v>
      </c>
      <c r="D2159" t="s">
        <v>238</v>
      </c>
      <c r="E2159">
        <v>85</v>
      </c>
      <c r="F2159">
        <v>49</v>
      </c>
      <c r="G2159">
        <v>44</v>
      </c>
      <c r="H2159">
        <v>7</v>
      </c>
    </row>
    <row r="2160" spans="1:8" x14ac:dyDescent="0.25">
      <c r="A2160" t="s">
        <v>2824</v>
      </c>
      <c r="B2160" t="s">
        <v>120</v>
      </c>
      <c r="C2160" t="s">
        <v>31</v>
      </c>
      <c r="D2160" t="s">
        <v>239</v>
      </c>
      <c r="E2160">
        <v>74</v>
      </c>
      <c r="F2160">
        <v>39</v>
      </c>
      <c r="G2160">
        <v>47</v>
      </c>
      <c r="H2160">
        <v>14</v>
      </c>
    </row>
    <row r="2161" spans="1:8" x14ac:dyDescent="0.25">
      <c r="A2161" t="s">
        <v>2825</v>
      </c>
      <c r="B2161" t="s">
        <v>120</v>
      </c>
      <c r="C2161" t="s">
        <v>31</v>
      </c>
      <c r="D2161" t="s">
        <v>47</v>
      </c>
      <c r="E2161">
        <v>66</v>
      </c>
      <c r="F2161">
        <v>34</v>
      </c>
      <c r="G2161">
        <v>53</v>
      </c>
      <c r="H2161">
        <v>13</v>
      </c>
    </row>
    <row r="2162" spans="1:8" x14ac:dyDescent="0.25">
      <c r="A2162" t="s">
        <v>2826</v>
      </c>
      <c r="B2162" t="s">
        <v>159</v>
      </c>
      <c r="C2162" t="s">
        <v>103</v>
      </c>
      <c r="D2162" t="s">
        <v>232</v>
      </c>
      <c r="E2162">
        <v>284</v>
      </c>
      <c r="F2162">
        <v>32</v>
      </c>
      <c r="G2162">
        <v>58</v>
      </c>
      <c r="H2162">
        <v>10</v>
      </c>
    </row>
    <row r="2163" spans="1:8" x14ac:dyDescent="0.25">
      <c r="A2163" t="s">
        <v>2827</v>
      </c>
      <c r="B2163" t="s">
        <v>159</v>
      </c>
      <c r="C2163" t="s">
        <v>103</v>
      </c>
      <c r="D2163" t="s">
        <v>233</v>
      </c>
      <c r="E2163">
        <v>208</v>
      </c>
      <c r="F2163">
        <v>29</v>
      </c>
      <c r="G2163">
        <v>60</v>
      </c>
      <c r="H2163">
        <v>11</v>
      </c>
    </row>
    <row r="2164" spans="1:8" x14ac:dyDescent="0.25">
      <c r="A2164" t="s">
        <v>2828</v>
      </c>
      <c r="B2164" t="s">
        <v>159</v>
      </c>
      <c r="C2164" t="s">
        <v>103</v>
      </c>
      <c r="D2164" t="s">
        <v>234</v>
      </c>
      <c r="E2164">
        <v>220</v>
      </c>
      <c r="F2164">
        <v>27</v>
      </c>
      <c r="G2164">
        <v>63</v>
      </c>
      <c r="H2164">
        <v>10</v>
      </c>
    </row>
    <row r="2165" spans="1:8" x14ac:dyDescent="0.25">
      <c r="A2165" t="s">
        <v>2829</v>
      </c>
      <c r="B2165" t="s">
        <v>159</v>
      </c>
      <c r="C2165" t="s">
        <v>103</v>
      </c>
      <c r="D2165" t="s">
        <v>235</v>
      </c>
      <c r="E2165">
        <v>200</v>
      </c>
      <c r="F2165">
        <v>27</v>
      </c>
      <c r="G2165">
        <v>66</v>
      </c>
      <c r="H2165">
        <v>7</v>
      </c>
    </row>
    <row r="2166" spans="1:8" x14ac:dyDescent="0.25">
      <c r="A2166" t="s">
        <v>2830</v>
      </c>
      <c r="B2166" t="s">
        <v>159</v>
      </c>
      <c r="C2166" t="s">
        <v>103</v>
      </c>
      <c r="D2166" t="s">
        <v>236</v>
      </c>
      <c r="E2166">
        <v>219</v>
      </c>
      <c r="F2166">
        <v>28</v>
      </c>
      <c r="G2166">
        <v>62</v>
      </c>
      <c r="H2166">
        <v>10</v>
      </c>
    </row>
    <row r="2167" spans="1:8" x14ac:dyDescent="0.25">
      <c r="A2167" t="s">
        <v>2831</v>
      </c>
      <c r="B2167" t="s">
        <v>159</v>
      </c>
      <c r="C2167" t="s">
        <v>103</v>
      </c>
      <c r="D2167" t="s">
        <v>237</v>
      </c>
      <c r="E2167">
        <v>204</v>
      </c>
      <c r="F2167">
        <v>21</v>
      </c>
      <c r="G2167">
        <v>67</v>
      </c>
      <c r="H2167">
        <v>12</v>
      </c>
    </row>
    <row r="2168" spans="1:8" x14ac:dyDescent="0.25">
      <c r="A2168" t="s">
        <v>2832</v>
      </c>
      <c r="B2168" t="s">
        <v>159</v>
      </c>
      <c r="C2168" t="s">
        <v>103</v>
      </c>
      <c r="D2168" t="s">
        <v>238</v>
      </c>
      <c r="E2168">
        <v>257</v>
      </c>
      <c r="F2168">
        <v>26</v>
      </c>
      <c r="G2168">
        <v>63</v>
      </c>
      <c r="H2168">
        <v>11</v>
      </c>
    </row>
    <row r="2169" spans="1:8" x14ac:dyDescent="0.25">
      <c r="A2169" t="s">
        <v>2833</v>
      </c>
      <c r="B2169" t="s">
        <v>159</v>
      </c>
      <c r="C2169" t="s">
        <v>103</v>
      </c>
      <c r="D2169" t="s">
        <v>239</v>
      </c>
      <c r="E2169">
        <v>211</v>
      </c>
      <c r="F2169">
        <v>21</v>
      </c>
      <c r="G2169">
        <v>67</v>
      </c>
      <c r="H2169">
        <v>12</v>
      </c>
    </row>
    <row r="2170" spans="1:8" x14ac:dyDescent="0.25">
      <c r="A2170" t="s">
        <v>2834</v>
      </c>
      <c r="B2170" t="s">
        <v>159</v>
      </c>
      <c r="C2170" t="s">
        <v>103</v>
      </c>
      <c r="D2170" t="s">
        <v>47</v>
      </c>
      <c r="E2170">
        <v>231</v>
      </c>
      <c r="F2170">
        <v>21</v>
      </c>
      <c r="G2170">
        <v>65</v>
      </c>
      <c r="H2170">
        <v>14</v>
      </c>
    </row>
    <row r="2171" spans="1:8" x14ac:dyDescent="0.25">
      <c r="A2171" t="s">
        <v>2835</v>
      </c>
      <c r="B2171" t="s">
        <v>159</v>
      </c>
      <c r="C2171" t="s">
        <v>100</v>
      </c>
      <c r="D2171" t="s">
        <v>232</v>
      </c>
      <c r="E2171">
        <v>286</v>
      </c>
      <c r="F2171">
        <v>19</v>
      </c>
      <c r="G2171">
        <v>61</v>
      </c>
      <c r="H2171">
        <v>20</v>
      </c>
    </row>
    <row r="2172" spans="1:8" x14ac:dyDescent="0.25">
      <c r="A2172" t="s">
        <v>2836</v>
      </c>
      <c r="B2172" t="s">
        <v>159</v>
      </c>
      <c r="C2172" t="s">
        <v>100</v>
      </c>
      <c r="D2172" t="s">
        <v>233</v>
      </c>
      <c r="E2172">
        <v>214</v>
      </c>
      <c r="F2172">
        <v>22</v>
      </c>
      <c r="G2172">
        <v>62</v>
      </c>
      <c r="H2172">
        <v>16</v>
      </c>
    </row>
    <row r="2173" spans="1:8" x14ac:dyDescent="0.25">
      <c r="A2173" t="s">
        <v>2837</v>
      </c>
      <c r="B2173" t="s">
        <v>159</v>
      </c>
      <c r="C2173" t="s">
        <v>100</v>
      </c>
      <c r="D2173" t="s">
        <v>234</v>
      </c>
      <c r="E2173">
        <v>221</v>
      </c>
      <c r="F2173">
        <v>15</v>
      </c>
      <c r="G2173">
        <v>66</v>
      </c>
      <c r="H2173">
        <v>19</v>
      </c>
    </row>
    <row r="2174" spans="1:8" x14ac:dyDescent="0.25">
      <c r="A2174" t="s">
        <v>2838</v>
      </c>
      <c r="B2174" t="s">
        <v>159</v>
      </c>
      <c r="C2174" t="s">
        <v>100</v>
      </c>
      <c r="D2174" t="s">
        <v>235</v>
      </c>
      <c r="E2174">
        <v>204</v>
      </c>
      <c r="F2174">
        <v>20</v>
      </c>
      <c r="G2174">
        <v>62</v>
      </c>
      <c r="H2174">
        <v>18</v>
      </c>
    </row>
    <row r="2175" spans="1:8" x14ac:dyDescent="0.25">
      <c r="A2175" t="s">
        <v>2839</v>
      </c>
      <c r="B2175" t="s">
        <v>159</v>
      </c>
      <c r="C2175" t="s">
        <v>100</v>
      </c>
      <c r="D2175" t="s">
        <v>236</v>
      </c>
      <c r="E2175">
        <v>223</v>
      </c>
      <c r="F2175">
        <v>21</v>
      </c>
      <c r="G2175">
        <v>60</v>
      </c>
      <c r="H2175">
        <v>19</v>
      </c>
    </row>
    <row r="2176" spans="1:8" x14ac:dyDescent="0.25">
      <c r="A2176" t="s">
        <v>2840</v>
      </c>
      <c r="B2176" t="s">
        <v>159</v>
      </c>
      <c r="C2176" t="s">
        <v>100</v>
      </c>
      <c r="D2176" t="s">
        <v>237</v>
      </c>
      <c r="E2176">
        <v>208</v>
      </c>
      <c r="F2176">
        <v>15</v>
      </c>
      <c r="G2176">
        <v>70</v>
      </c>
      <c r="H2176">
        <v>15</v>
      </c>
    </row>
    <row r="2177" spans="1:8" x14ac:dyDescent="0.25">
      <c r="A2177" t="s">
        <v>2841</v>
      </c>
      <c r="B2177" t="s">
        <v>159</v>
      </c>
      <c r="C2177" t="s">
        <v>100</v>
      </c>
      <c r="D2177" t="s">
        <v>238</v>
      </c>
      <c r="E2177">
        <v>266</v>
      </c>
      <c r="F2177">
        <v>21</v>
      </c>
      <c r="G2177">
        <v>62</v>
      </c>
      <c r="H2177">
        <v>17</v>
      </c>
    </row>
    <row r="2178" spans="1:8" x14ac:dyDescent="0.25">
      <c r="A2178" t="s">
        <v>2842</v>
      </c>
      <c r="B2178" t="s">
        <v>159</v>
      </c>
      <c r="C2178" t="s">
        <v>100</v>
      </c>
      <c r="D2178" t="s">
        <v>239</v>
      </c>
      <c r="E2178">
        <v>217</v>
      </c>
      <c r="F2178">
        <v>15</v>
      </c>
      <c r="G2178">
        <v>63</v>
      </c>
      <c r="H2178">
        <v>22</v>
      </c>
    </row>
    <row r="2179" spans="1:8" x14ac:dyDescent="0.25">
      <c r="A2179" t="s">
        <v>2843</v>
      </c>
      <c r="B2179" t="s">
        <v>159</v>
      </c>
      <c r="C2179" t="s">
        <v>100</v>
      </c>
      <c r="D2179" t="s">
        <v>47</v>
      </c>
      <c r="E2179">
        <v>234</v>
      </c>
      <c r="F2179">
        <v>20</v>
      </c>
      <c r="G2179">
        <v>66</v>
      </c>
      <c r="H2179">
        <v>14</v>
      </c>
    </row>
    <row r="2180" spans="1:8" x14ac:dyDescent="0.25">
      <c r="A2180" t="s">
        <v>2844</v>
      </c>
      <c r="B2180" t="s">
        <v>159</v>
      </c>
      <c r="C2180" t="s">
        <v>101</v>
      </c>
      <c r="D2180" t="s">
        <v>232</v>
      </c>
    </row>
    <row r="2181" spans="1:8" x14ac:dyDescent="0.25">
      <c r="A2181" t="s">
        <v>2845</v>
      </c>
      <c r="B2181" t="s">
        <v>159</v>
      </c>
      <c r="C2181" t="s">
        <v>101</v>
      </c>
      <c r="D2181" t="s">
        <v>233</v>
      </c>
    </row>
    <row r="2182" spans="1:8" x14ac:dyDescent="0.25">
      <c r="A2182" t="s">
        <v>2846</v>
      </c>
      <c r="B2182" t="s">
        <v>159</v>
      </c>
      <c r="C2182" t="s">
        <v>101</v>
      </c>
      <c r="D2182" t="s">
        <v>234</v>
      </c>
    </row>
    <row r="2183" spans="1:8" x14ac:dyDescent="0.25">
      <c r="A2183" t="s">
        <v>2847</v>
      </c>
      <c r="B2183" t="s">
        <v>159</v>
      </c>
      <c r="C2183" t="s">
        <v>101</v>
      </c>
      <c r="D2183" t="s">
        <v>235</v>
      </c>
    </row>
    <row r="2184" spans="1:8" x14ac:dyDescent="0.25">
      <c r="A2184" t="s">
        <v>2848</v>
      </c>
      <c r="B2184" t="s">
        <v>159</v>
      </c>
      <c r="C2184" t="s">
        <v>101</v>
      </c>
      <c r="D2184" t="s">
        <v>236</v>
      </c>
    </row>
    <row r="2185" spans="1:8" x14ac:dyDescent="0.25">
      <c r="A2185" t="s">
        <v>2849</v>
      </c>
      <c r="B2185" t="s">
        <v>159</v>
      </c>
      <c r="C2185" t="s">
        <v>101</v>
      </c>
      <c r="D2185" t="s">
        <v>237</v>
      </c>
    </row>
    <row r="2186" spans="1:8" x14ac:dyDescent="0.25">
      <c r="A2186" t="s">
        <v>2850</v>
      </c>
      <c r="B2186" t="s">
        <v>159</v>
      </c>
      <c r="C2186" t="s">
        <v>101</v>
      </c>
      <c r="D2186" t="s">
        <v>238</v>
      </c>
    </row>
    <row r="2187" spans="1:8" x14ac:dyDescent="0.25">
      <c r="A2187" t="s">
        <v>2851</v>
      </c>
      <c r="B2187" t="s">
        <v>159</v>
      </c>
      <c r="C2187" t="s">
        <v>101</v>
      </c>
      <c r="D2187" t="s">
        <v>239</v>
      </c>
    </row>
    <row r="2188" spans="1:8" x14ac:dyDescent="0.25">
      <c r="A2188" t="s">
        <v>2852</v>
      </c>
      <c r="B2188" t="s">
        <v>159</v>
      </c>
      <c r="C2188" t="s">
        <v>101</v>
      </c>
      <c r="D2188" t="s">
        <v>47</v>
      </c>
    </row>
    <row r="2189" spans="1:8" x14ac:dyDescent="0.25">
      <c r="A2189" t="s">
        <v>2853</v>
      </c>
      <c r="B2189" t="s">
        <v>159</v>
      </c>
      <c r="C2189" t="s">
        <v>102</v>
      </c>
      <c r="D2189" t="s">
        <v>232</v>
      </c>
      <c r="E2189">
        <v>260</v>
      </c>
      <c r="F2189">
        <v>30</v>
      </c>
      <c r="G2189">
        <v>54</v>
      </c>
      <c r="H2189">
        <v>16</v>
      </c>
    </row>
    <row r="2190" spans="1:8" x14ac:dyDescent="0.25">
      <c r="A2190" t="s">
        <v>2854</v>
      </c>
      <c r="B2190" t="s">
        <v>159</v>
      </c>
      <c r="C2190" t="s">
        <v>102</v>
      </c>
      <c r="D2190" t="s">
        <v>233</v>
      </c>
      <c r="E2190">
        <v>193</v>
      </c>
      <c r="F2190">
        <v>26</v>
      </c>
      <c r="G2190">
        <v>60</v>
      </c>
      <c r="H2190">
        <v>14</v>
      </c>
    </row>
    <row r="2191" spans="1:8" x14ac:dyDescent="0.25">
      <c r="A2191" t="s">
        <v>2855</v>
      </c>
      <c r="B2191" t="s">
        <v>159</v>
      </c>
      <c r="C2191" t="s">
        <v>102</v>
      </c>
      <c r="D2191" t="s">
        <v>234</v>
      </c>
      <c r="E2191">
        <v>199</v>
      </c>
      <c r="F2191">
        <v>27</v>
      </c>
      <c r="G2191">
        <v>57</v>
      </c>
      <c r="H2191">
        <v>16</v>
      </c>
    </row>
    <row r="2192" spans="1:8" x14ac:dyDescent="0.25">
      <c r="A2192" t="s">
        <v>2856</v>
      </c>
      <c r="B2192" t="s">
        <v>159</v>
      </c>
      <c r="C2192" t="s">
        <v>102</v>
      </c>
      <c r="D2192" t="s">
        <v>235</v>
      </c>
      <c r="E2192">
        <v>182</v>
      </c>
      <c r="F2192">
        <v>33</v>
      </c>
      <c r="G2192">
        <v>55</v>
      </c>
      <c r="H2192">
        <v>12</v>
      </c>
    </row>
    <row r="2193" spans="1:8" x14ac:dyDescent="0.25">
      <c r="A2193" t="s">
        <v>2857</v>
      </c>
      <c r="B2193" t="s">
        <v>159</v>
      </c>
      <c r="C2193" t="s">
        <v>102</v>
      </c>
      <c r="D2193" t="s">
        <v>236</v>
      </c>
      <c r="E2193">
        <v>190</v>
      </c>
      <c r="F2193">
        <v>31</v>
      </c>
      <c r="G2193">
        <v>58</v>
      </c>
      <c r="H2193">
        <v>11</v>
      </c>
    </row>
    <row r="2194" spans="1:8" x14ac:dyDescent="0.25">
      <c r="A2194" t="s">
        <v>2858</v>
      </c>
      <c r="B2194" t="s">
        <v>159</v>
      </c>
      <c r="C2194" t="s">
        <v>102</v>
      </c>
      <c r="D2194" t="s">
        <v>237</v>
      </c>
      <c r="E2194">
        <v>186</v>
      </c>
      <c r="F2194">
        <v>26</v>
      </c>
      <c r="G2194">
        <v>60</v>
      </c>
      <c r="H2194">
        <v>14</v>
      </c>
    </row>
    <row r="2195" spans="1:8" x14ac:dyDescent="0.25">
      <c r="A2195" t="s">
        <v>2859</v>
      </c>
      <c r="B2195" t="s">
        <v>159</v>
      </c>
      <c r="C2195" t="s">
        <v>102</v>
      </c>
      <c r="D2195" t="s">
        <v>238</v>
      </c>
      <c r="E2195">
        <v>225</v>
      </c>
      <c r="F2195">
        <v>23</v>
      </c>
      <c r="G2195">
        <v>64</v>
      </c>
      <c r="H2195">
        <v>13</v>
      </c>
    </row>
    <row r="2196" spans="1:8" x14ac:dyDescent="0.25">
      <c r="A2196" t="s">
        <v>2860</v>
      </c>
      <c r="B2196" t="s">
        <v>159</v>
      </c>
      <c r="C2196" t="s">
        <v>102</v>
      </c>
      <c r="D2196" t="s">
        <v>239</v>
      </c>
      <c r="E2196">
        <v>192</v>
      </c>
      <c r="F2196">
        <v>24</v>
      </c>
      <c r="G2196">
        <v>59</v>
      </c>
      <c r="H2196">
        <v>17</v>
      </c>
    </row>
    <row r="2197" spans="1:8" x14ac:dyDescent="0.25">
      <c r="A2197" t="s">
        <v>2861</v>
      </c>
      <c r="B2197" t="s">
        <v>159</v>
      </c>
      <c r="C2197" t="s">
        <v>102</v>
      </c>
      <c r="D2197" t="s">
        <v>47</v>
      </c>
      <c r="E2197">
        <v>209</v>
      </c>
      <c r="F2197">
        <v>30</v>
      </c>
      <c r="G2197">
        <v>56</v>
      </c>
      <c r="H2197">
        <v>14</v>
      </c>
    </row>
    <row r="2198" spans="1:8" x14ac:dyDescent="0.25">
      <c r="A2198" t="s">
        <v>2862</v>
      </c>
      <c r="B2198" t="s">
        <v>159</v>
      </c>
      <c r="C2198" t="s">
        <v>31</v>
      </c>
      <c r="D2198" t="s">
        <v>232</v>
      </c>
      <c r="E2198">
        <v>287</v>
      </c>
      <c r="F2198">
        <v>59</v>
      </c>
      <c r="G2198">
        <v>36</v>
      </c>
      <c r="H2198">
        <v>5</v>
      </c>
    </row>
    <row r="2199" spans="1:8" x14ac:dyDescent="0.25">
      <c r="A2199" t="s">
        <v>2863</v>
      </c>
      <c r="B2199" t="s">
        <v>159</v>
      </c>
      <c r="C2199" t="s">
        <v>31</v>
      </c>
      <c r="D2199" t="s">
        <v>233</v>
      </c>
      <c r="E2199">
        <v>214</v>
      </c>
      <c r="F2199">
        <v>61</v>
      </c>
      <c r="G2199">
        <v>34</v>
      </c>
      <c r="H2199">
        <v>5</v>
      </c>
    </row>
    <row r="2200" spans="1:8" x14ac:dyDescent="0.25">
      <c r="A2200" t="s">
        <v>2864</v>
      </c>
      <c r="B2200" t="s">
        <v>159</v>
      </c>
      <c r="C2200" t="s">
        <v>31</v>
      </c>
      <c r="D2200" t="s">
        <v>234</v>
      </c>
      <c r="E2200">
        <v>223</v>
      </c>
      <c r="F2200">
        <v>60</v>
      </c>
      <c r="G2200">
        <v>35</v>
      </c>
      <c r="H2200">
        <v>5</v>
      </c>
    </row>
    <row r="2201" spans="1:8" x14ac:dyDescent="0.25">
      <c r="A2201" t="s">
        <v>2865</v>
      </c>
      <c r="B2201" t="s">
        <v>159</v>
      </c>
      <c r="C2201" t="s">
        <v>31</v>
      </c>
      <c r="D2201" t="s">
        <v>235</v>
      </c>
      <c r="E2201">
        <v>205</v>
      </c>
      <c r="F2201">
        <v>62</v>
      </c>
      <c r="G2201">
        <v>31</v>
      </c>
      <c r="H2201">
        <v>7</v>
      </c>
    </row>
    <row r="2202" spans="1:8" x14ac:dyDescent="0.25">
      <c r="A2202" t="s">
        <v>2866</v>
      </c>
      <c r="B2202" t="s">
        <v>159</v>
      </c>
      <c r="C2202" t="s">
        <v>31</v>
      </c>
      <c r="D2202" t="s">
        <v>236</v>
      </c>
      <c r="E2202">
        <v>223</v>
      </c>
      <c r="F2202">
        <v>57</v>
      </c>
      <c r="G2202">
        <v>41</v>
      </c>
      <c r="H2202">
        <v>2</v>
      </c>
    </row>
    <row r="2203" spans="1:8" x14ac:dyDescent="0.25">
      <c r="A2203" t="s">
        <v>2867</v>
      </c>
      <c r="B2203" t="s">
        <v>159</v>
      </c>
      <c r="C2203" t="s">
        <v>31</v>
      </c>
      <c r="D2203" t="s">
        <v>237</v>
      </c>
      <c r="E2203">
        <v>208</v>
      </c>
      <c r="F2203">
        <v>57</v>
      </c>
      <c r="G2203">
        <v>39</v>
      </c>
      <c r="H2203">
        <v>4</v>
      </c>
    </row>
    <row r="2204" spans="1:8" x14ac:dyDescent="0.25">
      <c r="A2204" t="s">
        <v>2868</v>
      </c>
      <c r="B2204" t="s">
        <v>159</v>
      </c>
      <c r="C2204" t="s">
        <v>31</v>
      </c>
      <c r="D2204" t="s">
        <v>238</v>
      </c>
      <c r="E2204">
        <v>266</v>
      </c>
      <c r="F2204">
        <v>55</v>
      </c>
      <c r="G2204">
        <v>40</v>
      </c>
      <c r="H2204">
        <v>5</v>
      </c>
    </row>
    <row r="2205" spans="1:8" x14ac:dyDescent="0.25">
      <c r="A2205" t="s">
        <v>2869</v>
      </c>
      <c r="B2205" t="s">
        <v>159</v>
      </c>
      <c r="C2205" t="s">
        <v>31</v>
      </c>
      <c r="D2205" t="s">
        <v>239</v>
      </c>
      <c r="E2205">
        <v>219</v>
      </c>
      <c r="F2205">
        <v>54</v>
      </c>
      <c r="G2205">
        <v>38</v>
      </c>
      <c r="H2205">
        <v>8</v>
      </c>
    </row>
    <row r="2206" spans="1:8" x14ac:dyDescent="0.25">
      <c r="A2206" t="s">
        <v>2870</v>
      </c>
      <c r="B2206" t="s">
        <v>159</v>
      </c>
      <c r="C2206" t="s">
        <v>31</v>
      </c>
      <c r="D2206" t="s">
        <v>47</v>
      </c>
      <c r="E2206">
        <v>233</v>
      </c>
      <c r="F2206">
        <v>54</v>
      </c>
      <c r="G2206">
        <v>42</v>
      </c>
      <c r="H2206">
        <v>4</v>
      </c>
    </row>
    <row r="2207" spans="1:8" x14ac:dyDescent="0.25">
      <c r="A2207" t="s">
        <v>2871</v>
      </c>
      <c r="B2207" t="s">
        <v>158</v>
      </c>
      <c r="C2207" t="s">
        <v>103</v>
      </c>
      <c r="D2207" t="s">
        <v>232</v>
      </c>
      <c r="E2207">
        <v>320</v>
      </c>
      <c r="F2207">
        <v>12</v>
      </c>
      <c r="G2207">
        <v>77</v>
      </c>
      <c r="H2207">
        <v>11</v>
      </c>
    </row>
    <row r="2208" spans="1:8" x14ac:dyDescent="0.25">
      <c r="A2208" t="s">
        <v>2872</v>
      </c>
      <c r="B2208" t="s">
        <v>158</v>
      </c>
      <c r="C2208" t="s">
        <v>103</v>
      </c>
      <c r="D2208" t="s">
        <v>233</v>
      </c>
      <c r="E2208">
        <v>357</v>
      </c>
      <c r="F2208">
        <v>12</v>
      </c>
      <c r="G2208">
        <v>78</v>
      </c>
      <c r="H2208">
        <v>10</v>
      </c>
    </row>
    <row r="2209" spans="1:8" x14ac:dyDescent="0.25">
      <c r="A2209" t="s">
        <v>2873</v>
      </c>
      <c r="B2209" t="s">
        <v>158</v>
      </c>
      <c r="C2209" t="s">
        <v>103</v>
      </c>
      <c r="D2209" t="s">
        <v>234</v>
      </c>
      <c r="E2209">
        <v>322</v>
      </c>
      <c r="F2209">
        <v>10</v>
      </c>
      <c r="G2209">
        <v>81</v>
      </c>
      <c r="H2209">
        <v>9</v>
      </c>
    </row>
    <row r="2210" spans="1:8" x14ac:dyDescent="0.25">
      <c r="A2210" t="s">
        <v>2874</v>
      </c>
      <c r="B2210" t="s">
        <v>158</v>
      </c>
      <c r="C2210" t="s">
        <v>103</v>
      </c>
      <c r="D2210" t="s">
        <v>235</v>
      </c>
      <c r="E2210">
        <v>283</v>
      </c>
      <c r="F2210">
        <v>7</v>
      </c>
      <c r="G2210">
        <v>83</v>
      </c>
      <c r="H2210">
        <v>10</v>
      </c>
    </row>
    <row r="2211" spans="1:8" x14ac:dyDescent="0.25">
      <c r="A2211" t="s">
        <v>2875</v>
      </c>
      <c r="B2211" t="s">
        <v>158</v>
      </c>
      <c r="C2211" t="s">
        <v>103</v>
      </c>
      <c r="D2211" t="s">
        <v>236</v>
      </c>
      <c r="E2211">
        <v>326</v>
      </c>
      <c r="F2211">
        <v>5</v>
      </c>
      <c r="G2211">
        <v>85</v>
      </c>
      <c r="H2211">
        <v>10</v>
      </c>
    </row>
    <row r="2212" spans="1:8" x14ac:dyDescent="0.25">
      <c r="A2212" t="s">
        <v>2876</v>
      </c>
      <c r="B2212" t="s">
        <v>158</v>
      </c>
      <c r="C2212" t="s">
        <v>103</v>
      </c>
      <c r="D2212" t="s">
        <v>237</v>
      </c>
      <c r="E2212">
        <v>291</v>
      </c>
      <c r="F2212">
        <v>7</v>
      </c>
      <c r="G2212">
        <v>80</v>
      </c>
      <c r="H2212">
        <v>13</v>
      </c>
    </row>
    <row r="2213" spans="1:8" x14ac:dyDescent="0.25">
      <c r="A2213" t="s">
        <v>2877</v>
      </c>
      <c r="B2213" t="s">
        <v>158</v>
      </c>
      <c r="C2213" t="s">
        <v>103</v>
      </c>
      <c r="D2213" t="s">
        <v>238</v>
      </c>
      <c r="E2213">
        <v>339</v>
      </c>
      <c r="F2213">
        <v>8</v>
      </c>
      <c r="G2213">
        <v>79</v>
      </c>
      <c r="H2213">
        <v>13</v>
      </c>
    </row>
    <row r="2214" spans="1:8" x14ac:dyDescent="0.25">
      <c r="A2214" t="s">
        <v>2878</v>
      </c>
      <c r="B2214" t="s">
        <v>158</v>
      </c>
      <c r="C2214" t="s">
        <v>103</v>
      </c>
      <c r="D2214" t="s">
        <v>239</v>
      </c>
      <c r="E2214">
        <v>341</v>
      </c>
      <c r="F2214">
        <v>3</v>
      </c>
      <c r="G2214">
        <v>79</v>
      </c>
      <c r="H2214">
        <v>18</v>
      </c>
    </row>
    <row r="2215" spans="1:8" x14ac:dyDescent="0.25">
      <c r="A2215" t="s">
        <v>2879</v>
      </c>
      <c r="B2215" t="s">
        <v>158</v>
      </c>
      <c r="C2215" t="s">
        <v>103</v>
      </c>
      <c r="D2215" t="s">
        <v>47</v>
      </c>
      <c r="E2215">
        <v>310</v>
      </c>
      <c r="F2215">
        <v>6</v>
      </c>
      <c r="G2215">
        <v>75</v>
      </c>
      <c r="H2215">
        <v>19</v>
      </c>
    </row>
    <row r="2216" spans="1:8" x14ac:dyDescent="0.25">
      <c r="A2216" t="s">
        <v>2880</v>
      </c>
      <c r="B2216" t="s">
        <v>158</v>
      </c>
      <c r="C2216" t="s">
        <v>100</v>
      </c>
      <c r="D2216" t="s">
        <v>232</v>
      </c>
      <c r="E2216">
        <v>334</v>
      </c>
      <c r="F2216">
        <v>20</v>
      </c>
      <c r="G2216">
        <v>59</v>
      </c>
      <c r="H2216">
        <v>21</v>
      </c>
    </row>
    <row r="2217" spans="1:8" x14ac:dyDescent="0.25">
      <c r="A2217" t="s">
        <v>2881</v>
      </c>
      <c r="B2217" t="s">
        <v>158</v>
      </c>
      <c r="C2217" t="s">
        <v>100</v>
      </c>
      <c r="D2217" t="s">
        <v>233</v>
      </c>
      <c r="E2217">
        <v>370</v>
      </c>
      <c r="F2217">
        <v>21</v>
      </c>
      <c r="G2217">
        <v>60</v>
      </c>
      <c r="H2217">
        <v>19</v>
      </c>
    </row>
    <row r="2218" spans="1:8" x14ac:dyDescent="0.25">
      <c r="A2218" t="s">
        <v>2882</v>
      </c>
      <c r="B2218" t="s">
        <v>158</v>
      </c>
      <c r="C2218" t="s">
        <v>100</v>
      </c>
      <c r="D2218" t="s">
        <v>234</v>
      </c>
      <c r="E2218">
        <v>334</v>
      </c>
      <c r="F2218">
        <v>14</v>
      </c>
      <c r="G2218">
        <v>66</v>
      </c>
      <c r="H2218">
        <v>20</v>
      </c>
    </row>
    <row r="2219" spans="1:8" x14ac:dyDescent="0.25">
      <c r="A2219" t="s">
        <v>2883</v>
      </c>
      <c r="B2219" t="s">
        <v>158</v>
      </c>
      <c r="C2219" t="s">
        <v>100</v>
      </c>
      <c r="D2219" t="s">
        <v>235</v>
      </c>
      <c r="E2219">
        <v>286</v>
      </c>
      <c r="F2219">
        <v>18</v>
      </c>
      <c r="G2219">
        <v>63</v>
      </c>
      <c r="H2219">
        <v>19</v>
      </c>
    </row>
    <row r="2220" spans="1:8" x14ac:dyDescent="0.25">
      <c r="A2220" t="s">
        <v>2884</v>
      </c>
      <c r="B2220" t="s">
        <v>158</v>
      </c>
      <c r="C2220" t="s">
        <v>100</v>
      </c>
      <c r="D2220" t="s">
        <v>236</v>
      </c>
      <c r="E2220">
        <v>344</v>
      </c>
      <c r="F2220">
        <v>11</v>
      </c>
      <c r="G2220">
        <v>65</v>
      </c>
      <c r="H2220">
        <v>24</v>
      </c>
    </row>
    <row r="2221" spans="1:8" x14ac:dyDescent="0.25">
      <c r="A2221" t="s">
        <v>2885</v>
      </c>
      <c r="B2221" t="s">
        <v>158</v>
      </c>
      <c r="C2221" t="s">
        <v>100</v>
      </c>
      <c r="D2221" t="s">
        <v>237</v>
      </c>
      <c r="E2221">
        <v>307</v>
      </c>
      <c r="F2221">
        <v>12</v>
      </c>
      <c r="G2221">
        <v>62</v>
      </c>
      <c r="H2221">
        <v>26</v>
      </c>
    </row>
    <row r="2222" spans="1:8" x14ac:dyDescent="0.25">
      <c r="A2222" t="s">
        <v>2886</v>
      </c>
      <c r="B2222" t="s">
        <v>158</v>
      </c>
      <c r="C2222" t="s">
        <v>100</v>
      </c>
      <c r="D2222" t="s">
        <v>238</v>
      </c>
      <c r="E2222">
        <v>344</v>
      </c>
      <c r="F2222">
        <v>14</v>
      </c>
      <c r="G2222">
        <v>61</v>
      </c>
      <c r="H2222">
        <v>25</v>
      </c>
    </row>
    <row r="2223" spans="1:8" x14ac:dyDescent="0.25">
      <c r="A2223" t="s">
        <v>2887</v>
      </c>
      <c r="B2223" t="s">
        <v>158</v>
      </c>
      <c r="C2223" t="s">
        <v>100</v>
      </c>
      <c r="D2223" t="s">
        <v>239</v>
      </c>
      <c r="E2223">
        <v>345</v>
      </c>
      <c r="F2223">
        <v>7</v>
      </c>
      <c r="G2223">
        <v>37</v>
      </c>
      <c r="H2223">
        <v>56</v>
      </c>
    </row>
    <row r="2224" spans="1:8" x14ac:dyDescent="0.25">
      <c r="A2224" t="s">
        <v>2888</v>
      </c>
      <c r="B2224" t="s">
        <v>158</v>
      </c>
      <c r="C2224" t="s">
        <v>100</v>
      </c>
      <c r="D2224" t="s">
        <v>47</v>
      </c>
      <c r="E2224">
        <v>320</v>
      </c>
      <c r="F2224">
        <v>13</v>
      </c>
      <c r="G2224">
        <v>51</v>
      </c>
      <c r="H2224">
        <v>36</v>
      </c>
    </row>
    <row r="2225" spans="1:8" x14ac:dyDescent="0.25">
      <c r="A2225" t="s">
        <v>2889</v>
      </c>
      <c r="B2225" t="s">
        <v>158</v>
      </c>
      <c r="C2225" t="s">
        <v>101</v>
      </c>
      <c r="D2225" t="s">
        <v>232</v>
      </c>
    </row>
    <row r="2226" spans="1:8" x14ac:dyDescent="0.25">
      <c r="A2226" t="s">
        <v>2890</v>
      </c>
      <c r="B2226" t="s">
        <v>158</v>
      </c>
      <c r="C2226" t="s">
        <v>101</v>
      </c>
      <c r="D2226" t="s">
        <v>233</v>
      </c>
    </row>
    <row r="2227" spans="1:8" x14ac:dyDescent="0.25">
      <c r="A2227" t="s">
        <v>2891</v>
      </c>
      <c r="B2227" t="s">
        <v>158</v>
      </c>
      <c r="C2227" t="s">
        <v>101</v>
      </c>
      <c r="D2227" t="s">
        <v>234</v>
      </c>
    </row>
    <row r="2228" spans="1:8" x14ac:dyDescent="0.25">
      <c r="A2228" t="s">
        <v>2892</v>
      </c>
      <c r="B2228" t="s">
        <v>158</v>
      </c>
      <c r="C2228" t="s">
        <v>101</v>
      </c>
      <c r="D2228" t="s">
        <v>235</v>
      </c>
    </row>
    <row r="2229" spans="1:8" x14ac:dyDescent="0.25">
      <c r="A2229" t="s">
        <v>2893</v>
      </c>
      <c r="B2229" t="s">
        <v>158</v>
      </c>
      <c r="C2229" t="s">
        <v>101</v>
      </c>
      <c r="D2229" t="s">
        <v>236</v>
      </c>
    </row>
    <row r="2230" spans="1:8" x14ac:dyDescent="0.25">
      <c r="A2230" t="s">
        <v>2894</v>
      </c>
      <c r="B2230" t="s">
        <v>158</v>
      </c>
      <c r="C2230" t="s">
        <v>101</v>
      </c>
      <c r="D2230" t="s">
        <v>237</v>
      </c>
    </row>
    <row r="2231" spans="1:8" x14ac:dyDescent="0.25">
      <c r="A2231" t="s">
        <v>2895</v>
      </c>
      <c r="B2231" t="s">
        <v>158</v>
      </c>
      <c r="C2231" t="s">
        <v>101</v>
      </c>
      <c r="D2231" t="s">
        <v>238</v>
      </c>
    </row>
    <row r="2232" spans="1:8" x14ac:dyDescent="0.25">
      <c r="A2232" t="s">
        <v>2896</v>
      </c>
      <c r="B2232" t="s">
        <v>158</v>
      </c>
      <c r="C2232" t="s">
        <v>101</v>
      </c>
      <c r="D2232" t="s">
        <v>239</v>
      </c>
    </row>
    <row r="2233" spans="1:8" x14ac:dyDescent="0.25">
      <c r="A2233" t="s">
        <v>2897</v>
      </c>
      <c r="B2233" t="s">
        <v>158</v>
      </c>
      <c r="C2233" t="s">
        <v>101</v>
      </c>
      <c r="D2233" t="s">
        <v>47</v>
      </c>
    </row>
    <row r="2234" spans="1:8" x14ac:dyDescent="0.25">
      <c r="A2234" t="s">
        <v>2898</v>
      </c>
      <c r="B2234" t="s">
        <v>158</v>
      </c>
      <c r="C2234" t="s">
        <v>102</v>
      </c>
      <c r="D2234" t="s">
        <v>232</v>
      </c>
      <c r="E2234">
        <v>231</v>
      </c>
      <c r="F2234">
        <v>20</v>
      </c>
      <c r="G2234">
        <v>59</v>
      </c>
      <c r="H2234">
        <v>21</v>
      </c>
    </row>
    <row r="2235" spans="1:8" x14ac:dyDescent="0.25">
      <c r="A2235" t="s">
        <v>2899</v>
      </c>
      <c r="B2235" t="s">
        <v>158</v>
      </c>
      <c r="C2235" t="s">
        <v>102</v>
      </c>
      <c r="D2235" t="s">
        <v>233</v>
      </c>
      <c r="E2235">
        <v>238</v>
      </c>
      <c r="F2235">
        <v>24</v>
      </c>
      <c r="G2235">
        <v>57</v>
      </c>
      <c r="H2235">
        <v>19</v>
      </c>
    </row>
    <row r="2236" spans="1:8" x14ac:dyDescent="0.25">
      <c r="A2236" t="s">
        <v>2900</v>
      </c>
      <c r="B2236" t="s">
        <v>158</v>
      </c>
      <c r="C2236" t="s">
        <v>102</v>
      </c>
      <c r="D2236" t="s">
        <v>234</v>
      </c>
      <c r="E2236">
        <v>226</v>
      </c>
      <c r="F2236">
        <v>20</v>
      </c>
      <c r="G2236">
        <v>61</v>
      </c>
      <c r="H2236">
        <v>19</v>
      </c>
    </row>
    <row r="2237" spans="1:8" x14ac:dyDescent="0.25">
      <c r="A2237" t="s">
        <v>2901</v>
      </c>
      <c r="B2237" t="s">
        <v>158</v>
      </c>
      <c r="C2237" t="s">
        <v>102</v>
      </c>
      <c r="D2237" t="s">
        <v>235</v>
      </c>
      <c r="E2237">
        <v>204</v>
      </c>
      <c r="F2237">
        <v>23</v>
      </c>
      <c r="G2237">
        <v>55</v>
      </c>
      <c r="H2237">
        <v>22</v>
      </c>
    </row>
    <row r="2238" spans="1:8" x14ac:dyDescent="0.25">
      <c r="A2238" t="s">
        <v>2902</v>
      </c>
      <c r="B2238" t="s">
        <v>158</v>
      </c>
      <c r="C2238" t="s">
        <v>102</v>
      </c>
      <c r="D2238" t="s">
        <v>236</v>
      </c>
      <c r="E2238">
        <v>229</v>
      </c>
      <c r="F2238">
        <v>20</v>
      </c>
      <c r="G2238">
        <v>58</v>
      </c>
      <c r="H2238">
        <v>22</v>
      </c>
    </row>
    <row r="2239" spans="1:8" x14ac:dyDescent="0.25">
      <c r="A2239" t="s">
        <v>2903</v>
      </c>
      <c r="B2239" t="s">
        <v>158</v>
      </c>
      <c r="C2239" t="s">
        <v>102</v>
      </c>
      <c r="D2239" t="s">
        <v>237</v>
      </c>
      <c r="E2239">
        <v>232</v>
      </c>
      <c r="F2239">
        <v>17</v>
      </c>
      <c r="G2239">
        <v>57</v>
      </c>
      <c r="H2239">
        <v>26</v>
      </c>
    </row>
    <row r="2240" spans="1:8" x14ac:dyDescent="0.25">
      <c r="A2240" t="s">
        <v>2904</v>
      </c>
      <c r="B2240" t="s">
        <v>158</v>
      </c>
      <c r="C2240" t="s">
        <v>102</v>
      </c>
      <c r="D2240" t="s">
        <v>238</v>
      </c>
      <c r="E2240">
        <v>242</v>
      </c>
      <c r="F2240">
        <v>17</v>
      </c>
      <c r="G2240">
        <v>56</v>
      </c>
      <c r="H2240">
        <v>27</v>
      </c>
    </row>
    <row r="2241" spans="1:8" x14ac:dyDescent="0.25">
      <c r="A2241" t="s">
        <v>2905</v>
      </c>
      <c r="B2241" t="s">
        <v>158</v>
      </c>
      <c r="C2241" t="s">
        <v>102</v>
      </c>
      <c r="D2241" t="s">
        <v>239</v>
      </c>
      <c r="E2241">
        <v>230</v>
      </c>
      <c r="F2241">
        <v>18</v>
      </c>
      <c r="G2241">
        <v>47</v>
      </c>
      <c r="H2241">
        <v>35</v>
      </c>
    </row>
    <row r="2242" spans="1:8" x14ac:dyDescent="0.25">
      <c r="A2242" t="s">
        <v>2906</v>
      </c>
      <c r="B2242" t="s">
        <v>158</v>
      </c>
      <c r="C2242" t="s">
        <v>102</v>
      </c>
      <c r="D2242" t="s">
        <v>47</v>
      </c>
      <c r="E2242">
        <v>211</v>
      </c>
      <c r="F2242">
        <v>17</v>
      </c>
      <c r="G2242">
        <v>56</v>
      </c>
      <c r="H2242">
        <v>27</v>
      </c>
    </row>
    <row r="2243" spans="1:8" x14ac:dyDescent="0.25">
      <c r="A2243" t="s">
        <v>2907</v>
      </c>
      <c r="B2243" t="s">
        <v>158</v>
      </c>
      <c r="C2243" t="s">
        <v>31</v>
      </c>
      <c r="D2243" t="s">
        <v>232</v>
      </c>
      <c r="E2243">
        <v>341</v>
      </c>
      <c r="F2243">
        <v>48</v>
      </c>
      <c r="G2243">
        <v>40</v>
      </c>
      <c r="H2243">
        <v>12</v>
      </c>
    </row>
    <row r="2244" spans="1:8" x14ac:dyDescent="0.25">
      <c r="A2244" t="s">
        <v>2908</v>
      </c>
      <c r="B2244" t="s">
        <v>158</v>
      </c>
      <c r="C2244" t="s">
        <v>31</v>
      </c>
      <c r="D2244" t="s">
        <v>233</v>
      </c>
      <c r="E2244">
        <v>376</v>
      </c>
      <c r="F2244">
        <v>46</v>
      </c>
      <c r="G2244">
        <v>41</v>
      </c>
      <c r="H2244">
        <v>13</v>
      </c>
    </row>
    <row r="2245" spans="1:8" x14ac:dyDescent="0.25">
      <c r="A2245" t="s">
        <v>2909</v>
      </c>
      <c r="B2245" t="s">
        <v>158</v>
      </c>
      <c r="C2245" t="s">
        <v>31</v>
      </c>
      <c r="D2245" t="s">
        <v>234</v>
      </c>
      <c r="E2245">
        <v>338</v>
      </c>
      <c r="F2245">
        <v>43</v>
      </c>
      <c r="G2245">
        <v>45</v>
      </c>
      <c r="H2245">
        <v>12</v>
      </c>
    </row>
    <row r="2246" spans="1:8" x14ac:dyDescent="0.25">
      <c r="A2246" t="s">
        <v>2910</v>
      </c>
      <c r="B2246" t="s">
        <v>158</v>
      </c>
      <c r="C2246" t="s">
        <v>31</v>
      </c>
      <c r="D2246" t="s">
        <v>235</v>
      </c>
      <c r="E2246">
        <v>291</v>
      </c>
      <c r="F2246">
        <v>38</v>
      </c>
      <c r="G2246">
        <v>51</v>
      </c>
      <c r="H2246">
        <v>11</v>
      </c>
    </row>
    <row r="2247" spans="1:8" x14ac:dyDescent="0.25">
      <c r="A2247" t="s">
        <v>2911</v>
      </c>
      <c r="B2247" t="s">
        <v>158</v>
      </c>
      <c r="C2247" t="s">
        <v>31</v>
      </c>
      <c r="D2247" t="s">
        <v>236</v>
      </c>
      <c r="E2247">
        <v>356</v>
      </c>
      <c r="F2247">
        <v>34</v>
      </c>
      <c r="G2247">
        <v>51</v>
      </c>
      <c r="H2247">
        <v>15</v>
      </c>
    </row>
    <row r="2248" spans="1:8" x14ac:dyDescent="0.25">
      <c r="A2248" t="s">
        <v>2912</v>
      </c>
      <c r="B2248" t="s">
        <v>158</v>
      </c>
      <c r="C2248" t="s">
        <v>31</v>
      </c>
      <c r="D2248" t="s">
        <v>237</v>
      </c>
      <c r="E2248">
        <v>313</v>
      </c>
      <c r="F2248">
        <v>33</v>
      </c>
      <c r="G2248">
        <v>57</v>
      </c>
      <c r="H2248">
        <v>10</v>
      </c>
    </row>
    <row r="2249" spans="1:8" x14ac:dyDescent="0.25">
      <c r="A2249" t="s">
        <v>2913</v>
      </c>
      <c r="B2249" t="s">
        <v>158</v>
      </c>
      <c r="C2249" t="s">
        <v>31</v>
      </c>
      <c r="D2249" t="s">
        <v>238</v>
      </c>
      <c r="E2249">
        <v>350</v>
      </c>
      <c r="F2249">
        <v>31</v>
      </c>
      <c r="G2249">
        <v>58</v>
      </c>
      <c r="H2249">
        <v>11</v>
      </c>
    </row>
    <row r="2250" spans="1:8" x14ac:dyDescent="0.25">
      <c r="A2250" t="s">
        <v>2914</v>
      </c>
      <c r="B2250" t="s">
        <v>158</v>
      </c>
      <c r="C2250" t="s">
        <v>31</v>
      </c>
      <c r="D2250" t="s">
        <v>239</v>
      </c>
      <c r="E2250">
        <v>359</v>
      </c>
      <c r="F2250">
        <v>12</v>
      </c>
      <c r="G2250">
        <v>54</v>
      </c>
      <c r="H2250">
        <v>34</v>
      </c>
    </row>
    <row r="2251" spans="1:8" x14ac:dyDescent="0.25">
      <c r="A2251" t="s">
        <v>2915</v>
      </c>
      <c r="B2251" t="s">
        <v>158</v>
      </c>
      <c r="C2251" t="s">
        <v>31</v>
      </c>
      <c r="D2251" t="s">
        <v>47</v>
      </c>
      <c r="E2251">
        <v>323</v>
      </c>
      <c r="F2251">
        <v>20</v>
      </c>
      <c r="G2251">
        <v>55</v>
      </c>
      <c r="H2251">
        <v>25</v>
      </c>
    </row>
    <row r="2252" spans="1:8" x14ac:dyDescent="0.25">
      <c r="A2252" t="s">
        <v>2916</v>
      </c>
      <c r="B2252" t="s">
        <v>242</v>
      </c>
      <c r="C2252" t="s">
        <v>103</v>
      </c>
      <c r="D2252" t="s">
        <v>232</v>
      </c>
      <c r="E2252">
        <v>78</v>
      </c>
      <c r="F2252">
        <v>18</v>
      </c>
      <c r="G2252">
        <v>53</v>
      </c>
      <c r="H2252">
        <v>29</v>
      </c>
    </row>
    <row r="2253" spans="1:8" x14ac:dyDescent="0.25">
      <c r="A2253" t="s">
        <v>2917</v>
      </c>
      <c r="B2253" t="s">
        <v>242</v>
      </c>
      <c r="C2253" t="s">
        <v>103</v>
      </c>
      <c r="D2253" t="s">
        <v>233</v>
      </c>
      <c r="E2253">
        <v>76</v>
      </c>
      <c r="F2253">
        <v>10</v>
      </c>
      <c r="G2253">
        <v>63</v>
      </c>
      <c r="H2253">
        <v>27</v>
      </c>
    </row>
    <row r="2254" spans="1:8" x14ac:dyDescent="0.25">
      <c r="A2254" t="s">
        <v>2918</v>
      </c>
      <c r="B2254" t="s">
        <v>242</v>
      </c>
      <c r="C2254" t="s">
        <v>103</v>
      </c>
      <c r="D2254" t="s">
        <v>234</v>
      </c>
      <c r="E2254">
        <v>83</v>
      </c>
      <c r="F2254">
        <v>13</v>
      </c>
      <c r="G2254">
        <v>60</v>
      </c>
      <c r="H2254">
        <v>27</v>
      </c>
    </row>
    <row r="2255" spans="1:8" x14ac:dyDescent="0.25">
      <c r="A2255" t="s">
        <v>2919</v>
      </c>
      <c r="B2255" t="s">
        <v>242</v>
      </c>
      <c r="C2255" t="s">
        <v>103</v>
      </c>
      <c r="D2255" t="s">
        <v>235</v>
      </c>
      <c r="E2255">
        <v>67</v>
      </c>
      <c r="F2255">
        <v>14</v>
      </c>
      <c r="G2255">
        <v>57</v>
      </c>
      <c r="H2255">
        <v>29</v>
      </c>
    </row>
    <row r="2256" spans="1:8" x14ac:dyDescent="0.25">
      <c r="A2256" t="s">
        <v>2920</v>
      </c>
      <c r="B2256" t="s">
        <v>242</v>
      </c>
      <c r="C2256" t="s">
        <v>103</v>
      </c>
      <c r="D2256" t="s">
        <v>236</v>
      </c>
      <c r="E2256">
        <v>66</v>
      </c>
      <c r="F2256">
        <v>22</v>
      </c>
      <c r="G2256">
        <v>51</v>
      </c>
      <c r="H2256">
        <v>27</v>
      </c>
    </row>
    <row r="2257" spans="1:8" x14ac:dyDescent="0.25">
      <c r="A2257" t="s">
        <v>2921</v>
      </c>
      <c r="B2257" t="s">
        <v>242</v>
      </c>
      <c r="C2257" t="s">
        <v>103</v>
      </c>
      <c r="D2257" t="s">
        <v>237</v>
      </c>
      <c r="E2257">
        <v>68</v>
      </c>
      <c r="F2257">
        <v>20</v>
      </c>
      <c r="G2257">
        <v>54</v>
      </c>
      <c r="H2257">
        <v>26</v>
      </c>
    </row>
    <row r="2258" spans="1:8" x14ac:dyDescent="0.25">
      <c r="A2258" t="s">
        <v>2922</v>
      </c>
      <c r="B2258" t="s">
        <v>242</v>
      </c>
      <c r="C2258" t="s">
        <v>103</v>
      </c>
      <c r="D2258" t="s">
        <v>238</v>
      </c>
      <c r="E2258">
        <v>90</v>
      </c>
      <c r="F2258">
        <v>19</v>
      </c>
      <c r="G2258">
        <v>56</v>
      </c>
      <c r="H2258">
        <v>25</v>
      </c>
    </row>
    <row r="2259" spans="1:8" x14ac:dyDescent="0.25">
      <c r="A2259" t="s">
        <v>2923</v>
      </c>
      <c r="B2259" t="s">
        <v>242</v>
      </c>
      <c r="C2259" t="s">
        <v>103</v>
      </c>
      <c r="D2259" t="s">
        <v>239</v>
      </c>
      <c r="E2259">
        <v>81</v>
      </c>
      <c r="F2259">
        <v>19</v>
      </c>
      <c r="G2259">
        <v>49</v>
      </c>
      <c r="H2259">
        <v>32</v>
      </c>
    </row>
    <row r="2260" spans="1:8" x14ac:dyDescent="0.25">
      <c r="A2260" t="s">
        <v>2924</v>
      </c>
      <c r="B2260" t="s">
        <v>242</v>
      </c>
      <c r="C2260" t="s">
        <v>103</v>
      </c>
      <c r="D2260" t="s">
        <v>47</v>
      </c>
      <c r="E2260">
        <v>98</v>
      </c>
      <c r="F2260">
        <v>15</v>
      </c>
      <c r="G2260">
        <v>60</v>
      </c>
      <c r="H2260">
        <v>25</v>
      </c>
    </row>
    <row r="2261" spans="1:8" x14ac:dyDescent="0.25">
      <c r="A2261" t="s">
        <v>2925</v>
      </c>
      <c r="B2261" t="s">
        <v>242</v>
      </c>
      <c r="C2261" t="s">
        <v>100</v>
      </c>
      <c r="D2261" t="s">
        <v>232</v>
      </c>
      <c r="E2261">
        <v>79</v>
      </c>
      <c r="F2261">
        <v>14</v>
      </c>
      <c r="G2261">
        <v>56</v>
      </c>
      <c r="H2261">
        <v>30</v>
      </c>
    </row>
    <row r="2262" spans="1:8" x14ac:dyDescent="0.25">
      <c r="A2262" t="s">
        <v>2926</v>
      </c>
      <c r="B2262" t="s">
        <v>242</v>
      </c>
      <c r="C2262" t="s">
        <v>100</v>
      </c>
      <c r="D2262" t="s">
        <v>233</v>
      </c>
      <c r="E2262">
        <v>75</v>
      </c>
      <c r="F2262">
        <v>19</v>
      </c>
      <c r="G2262">
        <v>49</v>
      </c>
      <c r="H2262">
        <v>32</v>
      </c>
    </row>
    <row r="2263" spans="1:8" x14ac:dyDescent="0.25">
      <c r="A2263" t="s">
        <v>2927</v>
      </c>
      <c r="B2263" t="s">
        <v>242</v>
      </c>
      <c r="C2263" t="s">
        <v>100</v>
      </c>
      <c r="D2263" t="s">
        <v>234</v>
      </c>
      <c r="E2263">
        <v>80</v>
      </c>
      <c r="F2263">
        <v>17</v>
      </c>
      <c r="G2263">
        <v>57</v>
      </c>
      <c r="H2263">
        <v>26</v>
      </c>
    </row>
    <row r="2264" spans="1:8" x14ac:dyDescent="0.25">
      <c r="A2264" t="s">
        <v>2928</v>
      </c>
      <c r="B2264" t="s">
        <v>242</v>
      </c>
      <c r="C2264" t="s">
        <v>100</v>
      </c>
      <c r="D2264" t="s">
        <v>235</v>
      </c>
      <c r="E2264">
        <v>67</v>
      </c>
      <c r="F2264">
        <v>16</v>
      </c>
      <c r="G2264">
        <v>47</v>
      </c>
      <c r="H2264">
        <v>37</v>
      </c>
    </row>
    <row r="2265" spans="1:8" x14ac:dyDescent="0.25">
      <c r="A2265" t="s">
        <v>2929</v>
      </c>
      <c r="B2265" t="s">
        <v>242</v>
      </c>
      <c r="C2265" t="s">
        <v>100</v>
      </c>
      <c r="D2265" t="s">
        <v>236</v>
      </c>
      <c r="E2265">
        <v>68</v>
      </c>
      <c r="F2265">
        <v>16</v>
      </c>
      <c r="G2265">
        <v>46</v>
      </c>
      <c r="H2265">
        <v>38</v>
      </c>
    </row>
    <row r="2266" spans="1:8" x14ac:dyDescent="0.25">
      <c r="A2266" t="s">
        <v>2930</v>
      </c>
      <c r="B2266" t="s">
        <v>242</v>
      </c>
      <c r="C2266" t="s">
        <v>100</v>
      </c>
      <c r="D2266" t="s">
        <v>237</v>
      </c>
      <c r="E2266">
        <v>70</v>
      </c>
      <c r="F2266">
        <v>20</v>
      </c>
      <c r="G2266">
        <v>61</v>
      </c>
      <c r="H2266">
        <v>19</v>
      </c>
    </row>
    <row r="2267" spans="1:8" x14ac:dyDescent="0.25">
      <c r="A2267" t="s">
        <v>2931</v>
      </c>
      <c r="B2267" t="s">
        <v>242</v>
      </c>
      <c r="C2267" t="s">
        <v>100</v>
      </c>
      <c r="D2267" t="s">
        <v>238</v>
      </c>
      <c r="E2267">
        <v>91</v>
      </c>
      <c r="F2267">
        <v>22</v>
      </c>
      <c r="G2267">
        <v>52</v>
      </c>
      <c r="H2267">
        <v>26</v>
      </c>
    </row>
    <row r="2268" spans="1:8" x14ac:dyDescent="0.25">
      <c r="A2268" t="s">
        <v>2932</v>
      </c>
      <c r="B2268" t="s">
        <v>242</v>
      </c>
      <c r="C2268" t="s">
        <v>100</v>
      </c>
      <c r="D2268" t="s">
        <v>239</v>
      </c>
      <c r="E2268">
        <v>83</v>
      </c>
      <c r="F2268">
        <v>22</v>
      </c>
      <c r="G2268">
        <v>49</v>
      </c>
      <c r="H2268">
        <v>29</v>
      </c>
    </row>
    <row r="2269" spans="1:8" x14ac:dyDescent="0.25">
      <c r="A2269" t="s">
        <v>2933</v>
      </c>
      <c r="B2269" t="s">
        <v>242</v>
      </c>
      <c r="C2269" t="s">
        <v>100</v>
      </c>
      <c r="D2269" t="s">
        <v>47</v>
      </c>
      <c r="E2269">
        <v>100</v>
      </c>
      <c r="F2269">
        <v>17</v>
      </c>
      <c r="G2269">
        <v>64</v>
      </c>
      <c r="H2269">
        <v>19</v>
      </c>
    </row>
    <row r="2270" spans="1:8" x14ac:dyDescent="0.25">
      <c r="A2270" t="s">
        <v>2934</v>
      </c>
      <c r="B2270" t="s">
        <v>242</v>
      </c>
      <c r="C2270" t="s">
        <v>101</v>
      </c>
      <c r="D2270" t="s">
        <v>232</v>
      </c>
      <c r="E2270">
        <v>43</v>
      </c>
      <c r="F2270">
        <v>19</v>
      </c>
      <c r="G2270">
        <v>46</v>
      </c>
      <c r="H2270">
        <v>35</v>
      </c>
    </row>
    <row r="2271" spans="1:8" x14ac:dyDescent="0.25">
      <c r="A2271" t="s">
        <v>2935</v>
      </c>
      <c r="B2271" t="s">
        <v>242</v>
      </c>
      <c r="C2271" t="s">
        <v>101</v>
      </c>
      <c r="D2271" t="s">
        <v>233</v>
      </c>
      <c r="E2271">
        <v>38</v>
      </c>
      <c r="F2271">
        <v>27</v>
      </c>
      <c r="G2271">
        <v>40</v>
      </c>
      <c r="H2271">
        <v>33</v>
      </c>
    </row>
    <row r="2272" spans="1:8" x14ac:dyDescent="0.25">
      <c r="A2272" t="s">
        <v>2936</v>
      </c>
      <c r="B2272" t="s">
        <v>242</v>
      </c>
      <c r="C2272" t="s">
        <v>101</v>
      </c>
      <c r="D2272" t="s">
        <v>234</v>
      </c>
      <c r="E2272">
        <v>42</v>
      </c>
      <c r="F2272">
        <v>33</v>
      </c>
      <c r="G2272">
        <v>31</v>
      </c>
      <c r="H2272">
        <v>36</v>
      </c>
    </row>
    <row r="2273" spans="1:8" x14ac:dyDescent="0.25">
      <c r="A2273" t="s">
        <v>2937</v>
      </c>
      <c r="B2273" t="s">
        <v>242</v>
      </c>
      <c r="C2273" t="s">
        <v>101</v>
      </c>
      <c r="D2273" t="s">
        <v>235</v>
      </c>
      <c r="E2273">
        <v>36</v>
      </c>
      <c r="F2273">
        <v>22</v>
      </c>
      <c r="G2273">
        <v>54</v>
      </c>
      <c r="H2273">
        <v>24</v>
      </c>
    </row>
    <row r="2274" spans="1:8" x14ac:dyDescent="0.25">
      <c r="A2274" t="s">
        <v>2938</v>
      </c>
      <c r="B2274" t="s">
        <v>242</v>
      </c>
      <c r="C2274" t="s">
        <v>101</v>
      </c>
      <c r="D2274" t="s">
        <v>236</v>
      </c>
      <c r="E2274">
        <v>32</v>
      </c>
      <c r="F2274">
        <v>25</v>
      </c>
      <c r="G2274">
        <v>42</v>
      </c>
      <c r="H2274">
        <v>33</v>
      </c>
    </row>
    <row r="2275" spans="1:8" x14ac:dyDescent="0.25">
      <c r="A2275" t="s">
        <v>2939</v>
      </c>
      <c r="B2275" t="s">
        <v>242</v>
      </c>
      <c r="C2275" t="s">
        <v>101</v>
      </c>
      <c r="D2275" t="s">
        <v>237</v>
      </c>
      <c r="E2275">
        <v>30</v>
      </c>
      <c r="F2275">
        <v>28</v>
      </c>
      <c r="G2275">
        <v>51</v>
      </c>
      <c r="H2275">
        <v>21</v>
      </c>
    </row>
    <row r="2276" spans="1:8" x14ac:dyDescent="0.25">
      <c r="A2276" t="s">
        <v>2940</v>
      </c>
      <c r="B2276" t="s">
        <v>242</v>
      </c>
      <c r="C2276" t="s">
        <v>101</v>
      </c>
      <c r="D2276" t="s">
        <v>238</v>
      </c>
      <c r="E2276">
        <v>40</v>
      </c>
      <c r="F2276">
        <v>19</v>
      </c>
      <c r="G2276">
        <v>48</v>
      </c>
      <c r="H2276">
        <v>33</v>
      </c>
    </row>
    <row r="2277" spans="1:8" x14ac:dyDescent="0.25">
      <c r="A2277" t="s">
        <v>2941</v>
      </c>
      <c r="B2277" t="s">
        <v>242</v>
      </c>
      <c r="C2277" t="s">
        <v>101</v>
      </c>
      <c r="D2277" t="s">
        <v>239</v>
      </c>
      <c r="E2277">
        <v>33</v>
      </c>
      <c r="F2277">
        <v>27</v>
      </c>
      <c r="G2277">
        <v>33</v>
      </c>
      <c r="H2277">
        <v>40</v>
      </c>
    </row>
    <row r="2278" spans="1:8" x14ac:dyDescent="0.25">
      <c r="A2278" t="s">
        <v>2942</v>
      </c>
      <c r="B2278" t="s">
        <v>242</v>
      </c>
      <c r="C2278" t="s">
        <v>101</v>
      </c>
      <c r="D2278" t="s">
        <v>47</v>
      </c>
      <c r="E2278">
        <v>36</v>
      </c>
      <c r="F2278">
        <v>33</v>
      </c>
      <c r="G2278">
        <v>50</v>
      </c>
      <c r="H2278">
        <v>17</v>
      </c>
    </row>
    <row r="2279" spans="1:8" x14ac:dyDescent="0.25">
      <c r="A2279" t="s">
        <v>2943</v>
      </c>
      <c r="B2279" t="s">
        <v>242</v>
      </c>
      <c r="C2279" t="s">
        <v>102</v>
      </c>
      <c r="D2279" t="s">
        <v>232</v>
      </c>
      <c r="E2279">
        <v>64</v>
      </c>
      <c r="F2279">
        <v>23</v>
      </c>
      <c r="G2279">
        <v>41</v>
      </c>
      <c r="H2279">
        <v>36</v>
      </c>
    </row>
    <row r="2280" spans="1:8" x14ac:dyDescent="0.25">
      <c r="A2280" t="s">
        <v>2944</v>
      </c>
      <c r="B2280" t="s">
        <v>242</v>
      </c>
      <c r="C2280" t="s">
        <v>102</v>
      </c>
      <c r="D2280" t="s">
        <v>233</v>
      </c>
      <c r="E2280">
        <v>61</v>
      </c>
      <c r="F2280">
        <v>19</v>
      </c>
      <c r="G2280">
        <v>46</v>
      </c>
      <c r="H2280">
        <v>35</v>
      </c>
    </row>
    <row r="2281" spans="1:8" x14ac:dyDescent="0.25">
      <c r="A2281" t="s">
        <v>2945</v>
      </c>
      <c r="B2281" t="s">
        <v>242</v>
      </c>
      <c r="C2281" t="s">
        <v>102</v>
      </c>
      <c r="D2281" t="s">
        <v>234</v>
      </c>
      <c r="E2281">
        <v>63</v>
      </c>
      <c r="F2281">
        <v>12</v>
      </c>
      <c r="G2281">
        <v>51</v>
      </c>
      <c r="H2281">
        <v>37</v>
      </c>
    </row>
    <row r="2282" spans="1:8" x14ac:dyDescent="0.25">
      <c r="A2282" t="s">
        <v>2946</v>
      </c>
      <c r="B2282" t="s">
        <v>242</v>
      </c>
      <c r="C2282" t="s">
        <v>102</v>
      </c>
      <c r="D2282" t="s">
        <v>235</v>
      </c>
      <c r="E2282">
        <v>56</v>
      </c>
      <c r="F2282">
        <v>19</v>
      </c>
      <c r="G2282">
        <v>42</v>
      </c>
      <c r="H2282">
        <v>39</v>
      </c>
    </row>
    <row r="2283" spans="1:8" x14ac:dyDescent="0.25">
      <c r="A2283" t="s">
        <v>2947</v>
      </c>
      <c r="B2283" t="s">
        <v>242</v>
      </c>
      <c r="C2283" t="s">
        <v>102</v>
      </c>
      <c r="D2283" t="s">
        <v>236</v>
      </c>
      <c r="E2283">
        <v>51</v>
      </c>
      <c r="F2283">
        <v>20</v>
      </c>
      <c r="G2283">
        <v>50</v>
      </c>
      <c r="H2283">
        <v>30</v>
      </c>
    </row>
    <row r="2284" spans="1:8" x14ac:dyDescent="0.25">
      <c r="A2284" t="s">
        <v>2948</v>
      </c>
      <c r="B2284" t="s">
        <v>242</v>
      </c>
      <c r="C2284" t="s">
        <v>102</v>
      </c>
      <c r="D2284" t="s">
        <v>237</v>
      </c>
      <c r="E2284">
        <v>61</v>
      </c>
      <c r="F2284">
        <v>22</v>
      </c>
      <c r="G2284">
        <v>50</v>
      </c>
      <c r="H2284">
        <v>28</v>
      </c>
    </row>
    <row r="2285" spans="1:8" x14ac:dyDescent="0.25">
      <c r="A2285" t="s">
        <v>2949</v>
      </c>
      <c r="B2285" t="s">
        <v>242</v>
      </c>
      <c r="C2285" t="s">
        <v>102</v>
      </c>
      <c r="D2285" t="s">
        <v>238</v>
      </c>
      <c r="E2285">
        <v>73</v>
      </c>
      <c r="F2285">
        <v>18</v>
      </c>
      <c r="G2285">
        <v>51</v>
      </c>
      <c r="H2285">
        <v>31</v>
      </c>
    </row>
    <row r="2286" spans="1:8" x14ac:dyDescent="0.25">
      <c r="A2286" t="s">
        <v>2950</v>
      </c>
      <c r="B2286" t="s">
        <v>242</v>
      </c>
      <c r="C2286" t="s">
        <v>102</v>
      </c>
      <c r="D2286" t="s">
        <v>239</v>
      </c>
      <c r="E2286">
        <v>62</v>
      </c>
      <c r="F2286">
        <v>21</v>
      </c>
      <c r="G2286">
        <v>35</v>
      </c>
      <c r="H2286">
        <v>44</v>
      </c>
    </row>
    <row r="2287" spans="1:8" x14ac:dyDescent="0.25">
      <c r="A2287" t="s">
        <v>2951</v>
      </c>
      <c r="B2287" t="s">
        <v>242</v>
      </c>
      <c r="C2287" t="s">
        <v>102</v>
      </c>
      <c r="D2287" t="s">
        <v>47</v>
      </c>
      <c r="E2287">
        <v>81</v>
      </c>
      <c r="F2287">
        <v>27</v>
      </c>
      <c r="G2287">
        <v>44</v>
      </c>
      <c r="H2287">
        <v>29</v>
      </c>
    </row>
    <row r="2288" spans="1:8" x14ac:dyDescent="0.25">
      <c r="A2288" t="s">
        <v>2952</v>
      </c>
      <c r="B2288" t="s">
        <v>242</v>
      </c>
      <c r="C2288" t="s">
        <v>31</v>
      </c>
      <c r="D2288" t="s">
        <v>232</v>
      </c>
      <c r="E2288">
        <v>80</v>
      </c>
      <c r="F2288">
        <v>40</v>
      </c>
      <c r="G2288">
        <v>41</v>
      </c>
      <c r="H2288">
        <v>19</v>
      </c>
    </row>
    <row r="2289" spans="1:8" x14ac:dyDescent="0.25">
      <c r="A2289" t="s">
        <v>2953</v>
      </c>
      <c r="B2289" t="s">
        <v>242</v>
      </c>
      <c r="C2289" t="s">
        <v>31</v>
      </c>
      <c r="D2289" t="s">
        <v>233</v>
      </c>
      <c r="E2289">
        <v>76</v>
      </c>
      <c r="F2289">
        <v>32</v>
      </c>
      <c r="G2289">
        <v>45</v>
      </c>
      <c r="H2289">
        <v>23</v>
      </c>
    </row>
    <row r="2290" spans="1:8" x14ac:dyDescent="0.25">
      <c r="A2290" t="s">
        <v>2954</v>
      </c>
      <c r="B2290" t="s">
        <v>242</v>
      </c>
      <c r="C2290" t="s">
        <v>31</v>
      </c>
      <c r="D2290" t="s">
        <v>234</v>
      </c>
      <c r="E2290">
        <v>86</v>
      </c>
      <c r="F2290">
        <v>35</v>
      </c>
      <c r="G2290">
        <v>31</v>
      </c>
      <c r="H2290">
        <v>34</v>
      </c>
    </row>
    <row r="2291" spans="1:8" x14ac:dyDescent="0.25">
      <c r="A2291" t="s">
        <v>2955</v>
      </c>
      <c r="B2291" t="s">
        <v>242</v>
      </c>
      <c r="C2291" t="s">
        <v>31</v>
      </c>
      <c r="D2291" t="s">
        <v>235</v>
      </c>
      <c r="E2291">
        <v>69</v>
      </c>
      <c r="F2291">
        <v>30</v>
      </c>
      <c r="G2291">
        <v>46</v>
      </c>
      <c r="H2291">
        <v>24</v>
      </c>
    </row>
    <row r="2292" spans="1:8" x14ac:dyDescent="0.25">
      <c r="A2292" t="s">
        <v>2956</v>
      </c>
      <c r="B2292" t="s">
        <v>242</v>
      </c>
      <c r="C2292" t="s">
        <v>31</v>
      </c>
      <c r="D2292" t="s">
        <v>236</v>
      </c>
      <c r="E2292">
        <v>70</v>
      </c>
      <c r="F2292">
        <v>29</v>
      </c>
      <c r="G2292">
        <v>46</v>
      </c>
      <c r="H2292">
        <v>25</v>
      </c>
    </row>
    <row r="2293" spans="1:8" x14ac:dyDescent="0.25">
      <c r="A2293" t="s">
        <v>2957</v>
      </c>
      <c r="B2293" t="s">
        <v>242</v>
      </c>
      <c r="C2293" t="s">
        <v>31</v>
      </c>
      <c r="D2293" t="s">
        <v>237</v>
      </c>
      <c r="E2293">
        <v>72</v>
      </c>
      <c r="F2293">
        <v>33</v>
      </c>
      <c r="G2293">
        <v>44</v>
      </c>
      <c r="H2293">
        <v>23</v>
      </c>
    </row>
    <row r="2294" spans="1:8" x14ac:dyDescent="0.25">
      <c r="A2294" t="s">
        <v>2958</v>
      </c>
      <c r="B2294" t="s">
        <v>242</v>
      </c>
      <c r="C2294" t="s">
        <v>31</v>
      </c>
      <c r="D2294" t="s">
        <v>238</v>
      </c>
      <c r="E2294">
        <v>91</v>
      </c>
      <c r="F2294">
        <v>32</v>
      </c>
      <c r="G2294">
        <v>40</v>
      </c>
      <c r="H2294">
        <v>28</v>
      </c>
    </row>
    <row r="2295" spans="1:8" x14ac:dyDescent="0.25">
      <c r="A2295" t="s">
        <v>2959</v>
      </c>
      <c r="B2295" t="s">
        <v>242</v>
      </c>
      <c r="C2295" t="s">
        <v>31</v>
      </c>
      <c r="D2295" t="s">
        <v>239</v>
      </c>
      <c r="E2295">
        <v>84</v>
      </c>
      <c r="F2295">
        <v>26</v>
      </c>
      <c r="G2295">
        <v>51</v>
      </c>
      <c r="H2295">
        <v>23</v>
      </c>
    </row>
    <row r="2296" spans="1:8" x14ac:dyDescent="0.25">
      <c r="A2296" t="s">
        <v>2960</v>
      </c>
      <c r="B2296" t="s">
        <v>242</v>
      </c>
      <c r="C2296" t="s">
        <v>31</v>
      </c>
      <c r="D2296" t="s">
        <v>47</v>
      </c>
      <c r="E2296">
        <v>101</v>
      </c>
      <c r="F2296">
        <v>32</v>
      </c>
      <c r="G2296">
        <v>50</v>
      </c>
      <c r="H2296">
        <v>18</v>
      </c>
    </row>
    <row r="2297" spans="1:8" x14ac:dyDescent="0.25">
      <c r="A2297" t="s">
        <v>2961</v>
      </c>
      <c r="B2297" t="s">
        <v>241</v>
      </c>
      <c r="C2297" t="s">
        <v>103</v>
      </c>
      <c r="D2297" t="s">
        <v>232</v>
      </c>
      <c r="E2297">
        <v>213</v>
      </c>
      <c r="F2297">
        <v>13</v>
      </c>
      <c r="G2297">
        <v>61</v>
      </c>
      <c r="H2297">
        <v>26</v>
      </c>
    </row>
    <row r="2298" spans="1:8" x14ac:dyDescent="0.25">
      <c r="A2298" t="s">
        <v>2962</v>
      </c>
      <c r="B2298" t="s">
        <v>241</v>
      </c>
      <c r="C2298" t="s">
        <v>103</v>
      </c>
      <c r="D2298" t="s">
        <v>233</v>
      </c>
      <c r="E2298">
        <v>193</v>
      </c>
      <c r="F2298">
        <v>13</v>
      </c>
      <c r="G2298">
        <v>64</v>
      </c>
      <c r="H2298">
        <v>23</v>
      </c>
    </row>
    <row r="2299" spans="1:8" x14ac:dyDescent="0.25">
      <c r="A2299" t="s">
        <v>2963</v>
      </c>
      <c r="B2299" t="s">
        <v>241</v>
      </c>
      <c r="C2299" t="s">
        <v>103</v>
      </c>
      <c r="D2299" t="s">
        <v>234</v>
      </c>
      <c r="E2299">
        <v>194</v>
      </c>
      <c r="F2299">
        <v>12</v>
      </c>
      <c r="G2299">
        <v>60</v>
      </c>
      <c r="H2299">
        <v>28</v>
      </c>
    </row>
    <row r="2300" spans="1:8" x14ac:dyDescent="0.25">
      <c r="A2300" t="s">
        <v>2964</v>
      </c>
      <c r="B2300" t="s">
        <v>241</v>
      </c>
      <c r="C2300" t="s">
        <v>103</v>
      </c>
      <c r="D2300" t="s">
        <v>235</v>
      </c>
      <c r="E2300">
        <v>207</v>
      </c>
      <c r="F2300">
        <v>14</v>
      </c>
      <c r="G2300">
        <v>62</v>
      </c>
      <c r="H2300">
        <v>24</v>
      </c>
    </row>
    <row r="2301" spans="1:8" x14ac:dyDescent="0.25">
      <c r="A2301" t="s">
        <v>2965</v>
      </c>
      <c r="B2301" t="s">
        <v>241</v>
      </c>
      <c r="C2301" t="s">
        <v>103</v>
      </c>
      <c r="D2301" t="s">
        <v>236</v>
      </c>
      <c r="E2301">
        <v>189</v>
      </c>
      <c r="F2301">
        <v>13</v>
      </c>
      <c r="G2301">
        <v>65</v>
      </c>
      <c r="H2301">
        <v>22</v>
      </c>
    </row>
    <row r="2302" spans="1:8" x14ac:dyDescent="0.25">
      <c r="A2302" t="s">
        <v>2966</v>
      </c>
      <c r="B2302" t="s">
        <v>241</v>
      </c>
      <c r="C2302" t="s">
        <v>103</v>
      </c>
      <c r="D2302" t="s">
        <v>237</v>
      </c>
      <c r="E2302">
        <v>174</v>
      </c>
      <c r="F2302">
        <v>12</v>
      </c>
      <c r="G2302">
        <v>61</v>
      </c>
      <c r="H2302">
        <v>27</v>
      </c>
    </row>
    <row r="2303" spans="1:8" x14ac:dyDescent="0.25">
      <c r="A2303" t="s">
        <v>2967</v>
      </c>
      <c r="B2303" t="s">
        <v>241</v>
      </c>
      <c r="C2303" t="s">
        <v>103</v>
      </c>
      <c r="D2303" t="s">
        <v>238</v>
      </c>
      <c r="E2303">
        <v>189</v>
      </c>
      <c r="F2303">
        <v>11</v>
      </c>
      <c r="G2303">
        <v>62</v>
      </c>
      <c r="H2303">
        <v>27</v>
      </c>
    </row>
    <row r="2304" spans="1:8" x14ac:dyDescent="0.25">
      <c r="A2304" t="s">
        <v>2968</v>
      </c>
      <c r="B2304" t="s">
        <v>241</v>
      </c>
      <c r="C2304" t="s">
        <v>103</v>
      </c>
      <c r="D2304" t="s">
        <v>239</v>
      </c>
      <c r="E2304">
        <v>174</v>
      </c>
      <c r="F2304">
        <v>13</v>
      </c>
      <c r="G2304">
        <v>63</v>
      </c>
      <c r="H2304">
        <v>24</v>
      </c>
    </row>
    <row r="2305" spans="1:8" x14ac:dyDescent="0.25">
      <c r="A2305" t="s">
        <v>2969</v>
      </c>
      <c r="B2305" t="s">
        <v>241</v>
      </c>
      <c r="C2305" t="s">
        <v>103</v>
      </c>
      <c r="D2305" t="s">
        <v>47</v>
      </c>
      <c r="E2305">
        <v>162</v>
      </c>
      <c r="F2305">
        <v>16</v>
      </c>
      <c r="G2305">
        <v>62</v>
      </c>
      <c r="H2305">
        <v>22</v>
      </c>
    </row>
    <row r="2306" spans="1:8" x14ac:dyDescent="0.25">
      <c r="A2306" t="s">
        <v>2970</v>
      </c>
      <c r="B2306" t="s">
        <v>241</v>
      </c>
      <c r="C2306" t="s">
        <v>100</v>
      </c>
      <c r="D2306" t="s">
        <v>232</v>
      </c>
      <c r="E2306">
        <v>215</v>
      </c>
      <c r="F2306">
        <v>15</v>
      </c>
      <c r="G2306">
        <v>56</v>
      </c>
      <c r="H2306">
        <v>29</v>
      </c>
    </row>
    <row r="2307" spans="1:8" x14ac:dyDescent="0.25">
      <c r="A2307" t="s">
        <v>2971</v>
      </c>
      <c r="B2307" t="s">
        <v>241</v>
      </c>
      <c r="C2307" t="s">
        <v>100</v>
      </c>
      <c r="D2307" t="s">
        <v>233</v>
      </c>
      <c r="E2307">
        <v>193</v>
      </c>
      <c r="F2307">
        <v>16</v>
      </c>
      <c r="G2307">
        <v>61</v>
      </c>
      <c r="H2307">
        <v>23</v>
      </c>
    </row>
    <row r="2308" spans="1:8" x14ac:dyDescent="0.25">
      <c r="A2308" t="s">
        <v>2972</v>
      </c>
      <c r="B2308" t="s">
        <v>241</v>
      </c>
      <c r="C2308" t="s">
        <v>100</v>
      </c>
      <c r="D2308" t="s">
        <v>234</v>
      </c>
      <c r="E2308">
        <v>196</v>
      </c>
      <c r="F2308">
        <v>22</v>
      </c>
      <c r="G2308">
        <v>52</v>
      </c>
      <c r="H2308">
        <v>26</v>
      </c>
    </row>
    <row r="2309" spans="1:8" x14ac:dyDescent="0.25">
      <c r="A2309" t="s">
        <v>2973</v>
      </c>
      <c r="B2309" t="s">
        <v>241</v>
      </c>
      <c r="C2309" t="s">
        <v>100</v>
      </c>
      <c r="D2309" t="s">
        <v>235</v>
      </c>
      <c r="E2309">
        <v>204</v>
      </c>
      <c r="F2309">
        <v>18</v>
      </c>
      <c r="G2309">
        <v>50</v>
      </c>
      <c r="H2309">
        <v>32</v>
      </c>
    </row>
    <row r="2310" spans="1:8" x14ac:dyDescent="0.25">
      <c r="A2310" t="s">
        <v>2974</v>
      </c>
      <c r="B2310" t="s">
        <v>241</v>
      </c>
      <c r="C2310" t="s">
        <v>100</v>
      </c>
      <c r="D2310" t="s">
        <v>236</v>
      </c>
      <c r="E2310">
        <v>189</v>
      </c>
      <c r="F2310">
        <v>23</v>
      </c>
      <c r="G2310">
        <v>52</v>
      </c>
      <c r="H2310">
        <v>25</v>
      </c>
    </row>
    <row r="2311" spans="1:8" x14ac:dyDescent="0.25">
      <c r="A2311" t="s">
        <v>2975</v>
      </c>
      <c r="B2311" t="s">
        <v>241</v>
      </c>
      <c r="C2311" t="s">
        <v>100</v>
      </c>
      <c r="D2311" t="s">
        <v>237</v>
      </c>
      <c r="E2311">
        <v>173</v>
      </c>
      <c r="F2311">
        <v>15</v>
      </c>
      <c r="G2311">
        <v>60</v>
      </c>
      <c r="H2311">
        <v>25</v>
      </c>
    </row>
    <row r="2312" spans="1:8" x14ac:dyDescent="0.25">
      <c r="A2312" t="s">
        <v>2976</v>
      </c>
      <c r="B2312" t="s">
        <v>241</v>
      </c>
      <c r="C2312" t="s">
        <v>100</v>
      </c>
      <c r="D2312" t="s">
        <v>238</v>
      </c>
      <c r="E2312">
        <v>193</v>
      </c>
      <c r="F2312">
        <v>23</v>
      </c>
      <c r="G2312">
        <v>52</v>
      </c>
      <c r="H2312">
        <v>25</v>
      </c>
    </row>
    <row r="2313" spans="1:8" x14ac:dyDescent="0.25">
      <c r="A2313" t="s">
        <v>2977</v>
      </c>
      <c r="B2313" t="s">
        <v>241</v>
      </c>
      <c r="C2313" t="s">
        <v>100</v>
      </c>
      <c r="D2313" t="s">
        <v>239</v>
      </c>
      <c r="E2313">
        <v>176</v>
      </c>
      <c r="F2313">
        <v>16</v>
      </c>
      <c r="G2313">
        <v>47</v>
      </c>
      <c r="H2313">
        <v>37</v>
      </c>
    </row>
    <row r="2314" spans="1:8" x14ac:dyDescent="0.25">
      <c r="A2314" t="s">
        <v>2978</v>
      </c>
      <c r="B2314" t="s">
        <v>241</v>
      </c>
      <c r="C2314" t="s">
        <v>100</v>
      </c>
      <c r="D2314" t="s">
        <v>47</v>
      </c>
      <c r="E2314">
        <v>164</v>
      </c>
      <c r="F2314">
        <v>21</v>
      </c>
      <c r="G2314">
        <v>54</v>
      </c>
      <c r="H2314">
        <v>25</v>
      </c>
    </row>
    <row r="2315" spans="1:8" x14ac:dyDescent="0.25">
      <c r="A2315" t="s">
        <v>2979</v>
      </c>
      <c r="B2315" t="s">
        <v>241</v>
      </c>
      <c r="C2315" t="s">
        <v>101</v>
      </c>
      <c r="D2315" t="s">
        <v>232</v>
      </c>
      <c r="E2315">
        <v>169</v>
      </c>
      <c r="F2315">
        <v>19</v>
      </c>
      <c r="G2315">
        <v>62</v>
      </c>
      <c r="H2315">
        <v>19</v>
      </c>
    </row>
    <row r="2316" spans="1:8" x14ac:dyDescent="0.25">
      <c r="A2316" t="s">
        <v>2980</v>
      </c>
      <c r="B2316" t="s">
        <v>241</v>
      </c>
      <c r="C2316" t="s">
        <v>101</v>
      </c>
      <c r="D2316" t="s">
        <v>233</v>
      </c>
      <c r="E2316">
        <v>157</v>
      </c>
      <c r="F2316">
        <v>17</v>
      </c>
      <c r="G2316">
        <v>57</v>
      </c>
      <c r="H2316">
        <v>26</v>
      </c>
    </row>
    <row r="2317" spans="1:8" x14ac:dyDescent="0.25">
      <c r="A2317" t="s">
        <v>2981</v>
      </c>
      <c r="B2317" t="s">
        <v>241</v>
      </c>
      <c r="C2317" t="s">
        <v>101</v>
      </c>
      <c r="D2317" t="s">
        <v>234</v>
      </c>
      <c r="E2317">
        <v>161</v>
      </c>
      <c r="F2317">
        <v>24</v>
      </c>
      <c r="G2317">
        <v>48</v>
      </c>
      <c r="H2317">
        <v>28</v>
      </c>
    </row>
    <row r="2318" spans="1:8" x14ac:dyDescent="0.25">
      <c r="A2318" t="s">
        <v>2982</v>
      </c>
      <c r="B2318" t="s">
        <v>241</v>
      </c>
      <c r="C2318" t="s">
        <v>101</v>
      </c>
      <c r="D2318" t="s">
        <v>235</v>
      </c>
      <c r="E2318">
        <v>166</v>
      </c>
      <c r="F2318">
        <v>23</v>
      </c>
      <c r="G2318">
        <v>52</v>
      </c>
      <c r="H2318">
        <v>25</v>
      </c>
    </row>
    <row r="2319" spans="1:8" x14ac:dyDescent="0.25">
      <c r="A2319" t="s">
        <v>2983</v>
      </c>
      <c r="B2319" t="s">
        <v>241</v>
      </c>
      <c r="C2319" t="s">
        <v>101</v>
      </c>
      <c r="D2319" t="s">
        <v>236</v>
      </c>
      <c r="E2319">
        <v>158</v>
      </c>
      <c r="F2319">
        <v>17</v>
      </c>
      <c r="G2319">
        <v>56</v>
      </c>
      <c r="H2319">
        <v>27</v>
      </c>
    </row>
    <row r="2320" spans="1:8" x14ac:dyDescent="0.25">
      <c r="A2320" t="s">
        <v>2984</v>
      </c>
      <c r="B2320" t="s">
        <v>241</v>
      </c>
      <c r="C2320" t="s">
        <v>101</v>
      </c>
      <c r="D2320" t="s">
        <v>237</v>
      </c>
      <c r="E2320">
        <v>139</v>
      </c>
      <c r="F2320">
        <v>15</v>
      </c>
      <c r="G2320">
        <v>59</v>
      </c>
      <c r="H2320">
        <v>26</v>
      </c>
    </row>
    <row r="2321" spans="1:8" x14ac:dyDescent="0.25">
      <c r="A2321" t="s">
        <v>2985</v>
      </c>
      <c r="B2321" t="s">
        <v>241</v>
      </c>
      <c r="C2321" t="s">
        <v>101</v>
      </c>
      <c r="D2321" t="s">
        <v>238</v>
      </c>
      <c r="E2321">
        <v>158</v>
      </c>
      <c r="F2321">
        <v>27</v>
      </c>
      <c r="G2321">
        <v>47</v>
      </c>
      <c r="H2321">
        <v>26</v>
      </c>
    </row>
    <row r="2322" spans="1:8" x14ac:dyDescent="0.25">
      <c r="A2322" t="s">
        <v>2986</v>
      </c>
      <c r="B2322" t="s">
        <v>241</v>
      </c>
      <c r="C2322" t="s">
        <v>101</v>
      </c>
      <c r="D2322" t="s">
        <v>239</v>
      </c>
      <c r="E2322">
        <v>138</v>
      </c>
      <c r="F2322">
        <v>21</v>
      </c>
      <c r="G2322">
        <v>43</v>
      </c>
      <c r="H2322">
        <v>36</v>
      </c>
    </row>
    <row r="2323" spans="1:8" x14ac:dyDescent="0.25">
      <c r="A2323" t="s">
        <v>2987</v>
      </c>
      <c r="B2323" t="s">
        <v>241</v>
      </c>
      <c r="C2323" t="s">
        <v>101</v>
      </c>
      <c r="D2323" t="s">
        <v>47</v>
      </c>
      <c r="E2323">
        <v>129</v>
      </c>
      <c r="F2323">
        <v>31</v>
      </c>
      <c r="G2323">
        <v>45</v>
      </c>
      <c r="H2323">
        <v>24</v>
      </c>
    </row>
    <row r="2324" spans="1:8" x14ac:dyDescent="0.25">
      <c r="A2324" t="s">
        <v>2988</v>
      </c>
      <c r="B2324" t="s">
        <v>241</v>
      </c>
      <c r="C2324" t="s">
        <v>102</v>
      </c>
      <c r="D2324" t="s">
        <v>232</v>
      </c>
      <c r="E2324">
        <v>178</v>
      </c>
      <c r="F2324">
        <v>25</v>
      </c>
      <c r="G2324">
        <v>43</v>
      </c>
      <c r="H2324">
        <v>32</v>
      </c>
    </row>
    <row r="2325" spans="1:8" x14ac:dyDescent="0.25">
      <c r="A2325" t="s">
        <v>2989</v>
      </c>
      <c r="B2325" t="s">
        <v>241</v>
      </c>
      <c r="C2325" t="s">
        <v>102</v>
      </c>
      <c r="D2325" t="s">
        <v>233</v>
      </c>
      <c r="E2325">
        <v>166</v>
      </c>
      <c r="F2325">
        <v>19</v>
      </c>
      <c r="G2325">
        <v>48</v>
      </c>
      <c r="H2325">
        <v>33</v>
      </c>
    </row>
    <row r="2326" spans="1:8" x14ac:dyDescent="0.25">
      <c r="A2326" t="s">
        <v>2990</v>
      </c>
      <c r="B2326" t="s">
        <v>241</v>
      </c>
      <c r="C2326" t="s">
        <v>102</v>
      </c>
      <c r="D2326" t="s">
        <v>234</v>
      </c>
      <c r="E2326">
        <v>169</v>
      </c>
      <c r="F2326">
        <v>18</v>
      </c>
      <c r="G2326">
        <v>47</v>
      </c>
      <c r="H2326">
        <v>35</v>
      </c>
    </row>
    <row r="2327" spans="1:8" x14ac:dyDescent="0.25">
      <c r="A2327" t="s">
        <v>2991</v>
      </c>
      <c r="B2327" t="s">
        <v>241</v>
      </c>
      <c r="C2327" t="s">
        <v>102</v>
      </c>
      <c r="D2327" t="s">
        <v>235</v>
      </c>
      <c r="E2327">
        <v>177</v>
      </c>
      <c r="F2327">
        <v>19</v>
      </c>
      <c r="G2327">
        <v>40</v>
      </c>
      <c r="H2327">
        <v>41</v>
      </c>
    </row>
    <row r="2328" spans="1:8" x14ac:dyDescent="0.25">
      <c r="A2328" t="s">
        <v>2992</v>
      </c>
      <c r="B2328" t="s">
        <v>241</v>
      </c>
      <c r="C2328" t="s">
        <v>102</v>
      </c>
      <c r="D2328" t="s">
        <v>236</v>
      </c>
      <c r="E2328">
        <v>165</v>
      </c>
      <c r="F2328">
        <v>25</v>
      </c>
      <c r="G2328">
        <v>37</v>
      </c>
      <c r="H2328">
        <v>38</v>
      </c>
    </row>
    <row r="2329" spans="1:8" x14ac:dyDescent="0.25">
      <c r="A2329" t="s">
        <v>2993</v>
      </c>
      <c r="B2329" t="s">
        <v>241</v>
      </c>
      <c r="C2329" t="s">
        <v>102</v>
      </c>
      <c r="D2329" t="s">
        <v>237</v>
      </c>
      <c r="E2329">
        <v>152</v>
      </c>
      <c r="F2329">
        <v>24</v>
      </c>
      <c r="G2329">
        <v>36</v>
      </c>
      <c r="H2329">
        <v>40</v>
      </c>
    </row>
    <row r="2330" spans="1:8" x14ac:dyDescent="0.25">
      <c r="A2330" t="s">
        <v>2994</v>
      </c>
      <c r="B2330" t="s">
        <v>241</v>
      </c>
      <c r="C2330" t="s">
        <v>102</v>
      </c>
      <c r="D2330" t="s">
        <v>238</v>
      </c>
      <c r="E2330">
        <v>166</v>
      </c>
      <c r="F2330">
        <v>15</v>
      </c>
      <c r="G2330">
        <v>48</v>
      </c>
      <c r="H2330">
        <v>37</v>
      </c>
    </row>
    <row r="2331" spans="1:8" x14ac:dyDescent="0.25">
      <c r="A2331" t="s">
        <v>2995</v>
      </c>
      <c r="B2331" t="s">
        <v>241</v>
      </c>
      <c r="C2331" t="s">
        <v>102</v>
      </c>
      <c r="D2331" t="s">
        <v>239</v>
      </c>
      <c r="E2331">
        <v>146</v>
      </c>
      <c r="F2331">
        <v>18</v>
      </c>
      <c r="G2331">
        <v>44</v>
      </c>
      <c r="H2331">
        <v>38</v>
      </c>
    </row>
    <row r="2332" spans="1:8" x14ac:dyDescent="0.25">
      <c r="A2332" t="s">
        <v>2996</v>
      </c>
      <c r="B2332" t="s">
        <v>241</v>
      </c>
      <c r="C2332" t="s">
        <v>102</v>
      </c>
      <c r="D2332" t="s">
        <v>47</v>
      </c>
      <c r="E2332">
        <v>142</v>
      </c>
      <c r="F2332">
        <v>17</v>
      </c>
      <c r="G2332">
        <v>45</v>
      </c>
      <c r="H2332">
        <v>38</v>
      </c>
    </row>
    <row r="2333" spans="1:8" x14ac:dyDescent="0.25">
      <c r="A2333" t="s">
        <v>2997</v>
      </c>
      <c r="B2333" t="s">
        <v>241</v>
      </c>
      <c r="C2333" t="s">
        <v>31</v>
      </c>
      <c r="D2333" t="s">
        <v>232</v>
      </c>
      <c r="E2333">
        <v>215</v>
      </c>
      <c r="F2333">
        <v>28</v>
      </c>
      <c r="G2333">
        <v>42</v>
      </c>
      <c r="H2333">
        <v>30</v>
      </c>
    </row>
    <row r="2334" spans="1:8" x14ac:dyDescent="0.25">
      <c r="A2334" t="s">
        <v>2998</v>
      </c>
      <c r="B2334" t="s">
        <v>241</v>
      </c>
      <c r="C2334" t="s">
        <v>31</v>
      </c>
      <c r="D2334" t="s">
        <v>233</v>
      </c>
      <c r="E2334">
        <v>191</v>
      </c>
      <c r="F2334">
        <v>33</v>
      </c>
      <c r="G2334">
        <v>40</v>
      </c>
      <c r="H2334">
        <v>27</v>
      </c>
    </row>
    <row r="2335" spans="1:8" x14ac:dyDescent="0.25">
      <c r="A2335" t="s">
        <v>2999</v>
      </c>
      <c r="B2335" t="s">
        <v>241</v>
      </c>
      <c r="C2335" t="s">
        <v>31</v>
      </c>
      <c r="D2335" t="s">
        <v>234</v>
      </c>
      <c r="E2335">
        <v>196</v>
      </c>
      <c r="F2335">
        <v>27</v>
      </c>
      <c r="G2335">
        <v>44</v>
      </c>
      <c r="H2335">
        <v>29</v>
      </c>
    </row>
    <row r="2336" spans="1:8" x14ac:dyDescent="0.25">
      <c r="A2336" t="s">
        <v>3000</v>
      </c>
      <c r="B2336" t="s">
        <v>241</v>
      </c>
      <c r="C2336" t="s">
        <v>31</v>
      </c>
      <c r="D2336" t="s">
        <v>235</v>
      </c>
      <c r="E2336">
        <v>206</v>
      </c>
      <c r="F2336">
        <v>27</v>
      </c>
      <c r="G2336">
        <v>50</v>
      </c>
      <c r="H2336">
        <v>23</v>
      </c>
    </row>
    <row r="2337" spans="1:8" x14ac:dyDescent="0.25">
      <c r="A2337" t="s">
        <v>3001</v>
      </c>
      <c r="B2337" t="s">
        <v>241</v>
      </c>
      <c r="C2337" t="s">
        <v>31</v>
      </c>
      <c r="D2337" t="s">
        <v>236</v>
      </c>
      <c r="E2337">
        <v>191</v>
      </c>
      <c r="F2337">
        <v>26</v>
      </c>
      <c r="G2337">
        <v>47</v>
      </c>
      <c r="H2337">
        <v>27</v>
      </c>
    </row>
    <row r="2338" spans="1:8" x14ac:dyDescent="0.25">
      <c r="A2338" t="s">
        <v>3002</v>
      </c>
      <c r="B2338" t="s">
        <v>241</v>
      </c>
      <c r="C2338" t="s">
        <v>31</v>
      </c>
      <c r="D2338" t="s">
        <v>237</v>
      </c>
      <c r="E2338">
        <v>173</v>
      </c>
      <c r="F2338">
        <v>25</v>
      </c>
      <c r="G2338">
        <v>46</v>
      </c>
      <c r="H2338">
        <v>29</v>
      </c>
    </row>
    <row r="2339" spans="1:8" x14ac:dyDescent="0.25">
      <c r="A2339" t="s">
        <v>3003</v>
      </c>
      <c r="B2339" t="s">
        <v>241</v>
      </c>
      <c r="C2339" t="s">
        <v>31</v>
      </c>
      <c r="D2339" t="s">
        <v>238</v>
      </c>
      <c r="E2339">
        <v>191</v>
      </c>
      <c r="F2339">
        <v>22</v>
      </c>
      <c r="G2339">
        <v>54</v>
      </c>
      <c r="H2339">
        <v>24</v>
      </c>
    </row>
    <row r="2340" spans="1:8" x14ac:dyDescent="0.25">
      <c r="A2340" t="s">
        <v>3004</v>
      </c>
      <c r="B2340" t="s">
        <v>241</v>
      </c>
      <c r="C2340" t="s">
        <v>31</v>
      </c>
      <c r="D2340" t="s">
        <v>239</v>
      </c>
      <c r="E2340">
        <v>177</v>
      </c>
      <c r="F2340">
        <v>21</v>
      </c>
      <c r="G2340">
        <v>47</v>
      </c>
      <c r="H2340">
        <v>32</v>
      </c>
    </row>
    <row r="2341" spans="1:8" x14ac:dyDescent="0.25">
      <c r="A2341" t="s">
        <v>3005</v>
      </c>
      <c r="B2341" t="s">
        <v>241</v>
      </c>
      <c r="C2341" t="s">
        <v>31</v>
      </c>
      <c r="D2341" t="s">
        <v>47</v>
      </c>
      <c r="E2341">
        <v>163</v>
      </c>
      <c r="F2341">
        <v>27</v>
      </c>
      <c r="G2341">
        <v>47</v>
      </c>
      <c r="H2341">
        <v>26</v>
      </c>
    </row>
    <row r="2342" spans="1:8" x14ac:dyDescent="0.25">
      <c r="A2342" t="s">
        <v>3006</v>
      </c>
      <c r="B2342" t="s">
        <v>164</v>
      </c>
      <c r="C2342" t="s">
        <v>103</v>
      </c>
      <c r="D2342" t="s">
        <v>232</v>
      </c>
      <c r="E2342">
        <v>73</v>
      </c>
      <c r="F2342">
        <v>33</v>
      </c>
      <c r="G2342">
        <v>52</v>
      </c>
      <c r="H2342">
        <v>15</v>
      </c>
    </row>
    <row r="2343" spans="1:8" x14ac:dyDescent="0.25">
      <c r="A2343" t="s">
        <v>3007</v>
      </c>
      <c r="B2343" t="s">
        <v>164</v>
      </c>
      <c r="C2343" t="s">
        <v>103</v>
      </c>
      <c r="D2343" t="s">
        <v>233</v>
      </c>
      <c r="E2343">
        <v>69</v>
      </c>
      <c r="F2343">
        <v>35</v>
      </c>
      <c r="G2343">
        <v>48</v>
      </c>
      <c r="H2343">
        <v>17</v>
      </c>
    </row>
    <row r="2344" spans="1:8" x14ac:dyDescent="0.25">
      <c r="A2344" t="s">
        <v>3008</v>
      </c>
      <c r="B2344" t="s">
        <v>164</v>
      </c>
      <c r="C2344" t="s">
        <v>103</v>
      </c>
      <c r="D2344" t="s">
        <v>234</v>
      </c>
      <c r="E2344">
        <v>68</v>
      </c>
      <c r="F2344">
        <v>14</v>
      </c>
      <c r="G2344">
        <v>69</v>
      </c>
      <c r="H2344">
        <v>17</v>
      </c>
    </row>
    <row r="2345" spans="1:8" x14ac:dyDescent="0.25">
      <c r="A2345" t="s">
        <v>3009</v>
      </c>
      <c r="B2345" t="s">
        <v>164</v>
      </c>
      <c r="C2345" t="s">
        <v>103</v>
      </c>
      <c r="D2345" t="s">
        <v>235</v>
      </c>
      <c r="E2345">
        <v>66</v>
      </c>
      <c r="F2345">
        <v>14</v>
      </c>
      <c r="G2345">
        <v>61</v>
      </c>
      <c r="H2345">
        <v>25</v>
      </c>
    </row>
    <row r="2346" spans="1:8" x14ac:dyDescent="0.25">
      <c r="A2346" t="s">
        <v>3010</v>
      </c>
      <c r="B2346" t="s">
        <v>164</v>
      </c>
      <c r="C2346" t="s">
        <v>103</v>
      </c>
      <c r="D2346" t="s">
        <v>236</v>
      </c>
      <c r="E2346">
        <v>76</v>
      </c>
      <c r="F2346">
        <v>22</v>
      </c>
      <c r="G2346">
        <v>55</v>
      </c>
      <c r="H2346">
        <v>23</v>
      </c>
    </row>
    <row r="2347" spans="1:8" x14ac:dyDescent="0.25">
      <c r="A2347" t="s">
        <v>3011</v>
      </c>
      <c r="B2347" t="s">
        <v>164</v>
      </c>
      <c r="C2347" t="s">
        <v>103</v>
      </c>
      <c r="D2347" t="s">
        <v>237</v>
      </c>
      <c r="E2347">
        <v>62</v>
      </c>
      <c r="F2347">
        <v>29</v>
      </c>
      <c r="G2347">
        <v>52</v>
      </c>
      <c r="H2347">
        <v>19</v>
      </c>
    </row>
    <row r="2348" spans="1:8" x14ac:dyDescent="0.25">
      <c r="A2348" t="s">
        <v>3012</v>
      </c>
      <c r="B2348" t="s">
        <v>164</v>
      </c>
      <c r="C2348" t="s">
        <v>103</v>
      </c>
      <c r="D2348" t="s">
        <v>238</v>
      </c>
      <c r="E2348">
        <v>66</v>
      </c>
      <c r="F2348">
        <v>18</v>
      </c>
      <c r="G2348">
        <v>56</v>
      </c>
      <c r="H2348">
        <v>26</v>
      </c>
    </row>
    <row r="2349" spans="1:8" x14ac:dyDescent="0.25">
      <c r="A2349" t="s">
        <v>3013</v>
      </c>
      <c r="B2349" t="s">
        <v>164</v>
      </c>
      <c r="C2349" t="s">
        <v>103</v>
      </c>
      <c r="D2349" t="s">
        <v>239</v>
      </c>
      <c r="E2349">
        <v>58</v>
      </c>
      <c r="F2349">
        <v>12</v>
      </c>
      <c r="G2349">
        <v>63</v>
      </c>
      <c r="H2349">
        <v>25</v>
      </c>
    </row>
    <row r="2350" spans="1:8" x14ac:dyDescent="0.25">
      <c r="A2350" t="s">
        <v>3014</v>
      </c>
      <c r="B2350" t="s">
        <v>164</v>
      </c>
      <c r="C2350" t="s">
        <v>103</v>
      </c>
      <c r="D2350" t="s">
        <v>47</v>
      </c>
      <c r="E2350">
        <v>61</v>
      </c>
      <c r="F2350">
        <v>15</v>
      </c>
      <c r="G2350">
        <v>51</v>
      </c>
      <c r="H2350">
        <v>34</v>
      </c>
    </row>
    <row r="2351" spans="1:8" x14ac:dyDescent="0.25">
      <c r="A2351" t="s">
        <v>3015</v>
      </c>
      <c r="B2351" t="s">
        <v>164</v>
      </c>
      <c r="C2351" t="s">
        <v>100</v>
      </c>
      <c r="D2351" t="s">
        <v>232</v>
      </c>
      <c r="E2351">
        <v>75</v>
      </c>
      <c r="F2351">
        <v>23</v>
      </c>
      <c r="G2351">
        <v>53</v>
      </c>
      <c r="H2351">
        <v>24</v>
      </c>
    </row>
    <row r="2352" spans="1:8" x14ac:dyDescent="0.25">
      <c r="A2352" t="s">
        <v>3016</v>
      </c>
      <c r="B2352" t="s">
        <v>164</v>
      </c>
      <c r="C2352" t="s">
        <v>100</v>
      </c>
      <c r="D2352" t="s">
        <v>233</v>
      </c>
      <c r="E2352">
        <v>71</v>
      </c>
      <c r="F2352">
        <v>17</v>
      </c>
      <c r="G2352">
        <v>68</v>
      </c>
      <c r="H2352">
        <v>15</v>
      </c>
    </row>
    <row r="2353" spans="1:8" x14ac:dyDescent="0.25">
      <c r="A2353" t="s">
        <v>3017</v>
      </c>
      <c r="B2353" t="s">
        <v>164</v>
      </c>
      <c r="C2353" t="s">
        <v>100</v>
      </c>
      <c r="D2353" t="s">
        <v>234</v>
      </c>
      <c r="E2353">
        <v>69</v>
      </c>
      <c r="F2353">
        <v>18</v>
      </c>
      <c r="G2353">
        <v>55</v>
      </c>
      <c r="H2353">
        <v>27</v>
      </c>
    </row>
    <row r="2354" spans="1:8" x14ac:dyDescent="0.25">
      <c r="A2354" t="s">
        <v>3018</v>
      </c>
      <c r="B2354" t="s">
        <v>164</v>
      </c>
      <c r="C2354" t="s">
        <v>100</v>
      </c>
      <c r="D2354" t="s">
        <v>235</v>
      </c>
      <c r="E2354">
        <v>65</v>
      </c>
      <c r="F2354">
        <v>15</v>
      </c>
      <c r="G2354">
        <v>44</v>
      </c>
      <c r="H2354">
        <v>41</v>
      </c>
    </row>
    <row r="2355" spans="1:8" x14ac:dyDescent="0.25">
      <c r="A2355" t="s">
        <v>3019</v>
      </c>
      <c r="B2355" t="s">
        <v>164</v>
      </c>
      <c r="C2355" t="s">
        <v>100</v>
      </c>
      <c r="D2355" t="s">
        <v>236</v>
      </c>
      <c r="E2355">
        <v>78</v>
      </c>
      <c r="F2355">
        <v>21</v>
      </c>
      <c r="G2355">
        <v>56</v>
      </c>
      <c r="H2355">
        <v>23</v>
      </c>
    </row>
    <row r="2356" spans="1:8" x14ac:dyDescent="0.25">
      <c r="A2356" t="s">
        <v>3020</v>
      </c>
      <c r="B2356" t="s">
        <v>164</v>
      </c>
      <c r="C2356" t="s">
        <v>100</v>
      </c>
      <c r="D2356" t="s">
        <v>237</v>
      </c>
      <c r="E2356">
        <v>62</v>
      </c>
      <c r="F2356">
        <v>20</v>
      </c>
      <c r="G2356">
        <v>54</v>
      </c>
      <c r="H2356">
        <v>26</v>
      </c>
    </row>
    <row r="2357" spans="1:8" x14ac:dyDescent="0.25">
      <c r="A2357" t="s">
        <v>3021</v>
      </c>
      <c r="B2357" t="s">
        <v>164</v>
      </c>
      <c r="C2357" t="s">
        <v>100</v>
      </c>
      <c r="D2357" t="s">
        <v>238</v>
      </c>
      <c r="E2357">
        <v>66</v>
      </c>
      <c r="F2357">
        <v>18</v>
      </c>
      <c r="G2357">
        <v>46</v>
      </c>
      <c r="H2357">
        <v>36</v>
      </c>
    </row>
    <row r="2358" spans="1:8" x14ac:dyDescent="0.25">
      <c r="A2358" t="s">
        <v>3022</v>
      </c>
      <c r="B2358" t="s">
        <v>164</v>
      </c>
      <c r="C2358" t="s">
        <v>100</v>
      </c>
      <c r="D2358" t="s">
        <v>239</v>
      </c>
      <c r="E2358">
        <v>60</v>
      </c>
      <c r="F2358">
        <v>9</v>
      </c>
      <c r="G2358">
        <v>58</v>
      </c>
      <c r="H2358">
        <v>33</v>
      </c>
    </row>
    <row r="2359" spans="1:8" x14ac:dyDescent="0.25">
      <c r="A2359" t="s">
        <v>3023</v>
      </c>
      <c r="B2359" t="s">
        <v>164</v>
      </c>
      <c r="C2359" t="s">
        <v>100</v>
      </c>
      <c r="D2359" t="s">
        <v>47</v>
      </c>
      <c r="E2359">
        <v>60</v>
      </c>
      <c r="F2359">
        <v>13</v>
      </c>
      <c r="G2359">
        <v>52</v>
      </c>
      <c r="H2359">
        <v>35</v>
      </c>
    </row>
    <row r="2360" spans="1:8" x14ac:dyDescent="0.25">
      <c r="A2360" t="s">
        <v>3024</v>
      </c>
      <c r="B2360" t="s">
        <v>164</v>
      </c>
      <c r="C2360" t="s">
        <v>101</v>
      </c>
      <c r="D2360" t="s">
        <v>232</v>
      </c>
    </row>
    <row r="2361" spans="1:8" x14ac:dyDescent="0.25">
      <c r="A2361" t="s">
        <v>3025</v>
      </c>
      <c r="B2361" t="s">
        <v>164</v>
      </c>
      <c r="C2361" t="s">
        <v>101</v>
      </c>
      <c r="D2361" t="s">
        <v>233</v>
      </c>
    </row>
    <row r="2362" spans="1:8" x14ac:dyDescent="0.25">
      <c r="A2362" t="s">
        <v>3026</v>
      </c>
      <c r="B2362" t="s">
        <v>164</v>
      </c>
      <c r="C2362" t="s">
        <v>101</v>
      </c>
      <c r="D2362" t="s">
        <v>234</v>
      </c>
    </row>
    <row r="2363" spans="1:8" x14ac:dyDescent="0.25">
      <c r="A2363" t="s">
        <v>3027</v>
      </c>
      <c r="B2363" t="s">
        <v>164</v>
      </c>
      <c r="C2363" t="s">
        <v>101</v>
      </c>
      <c r="D2363" t="s">
        <v>235</v>
      </c>
    </row>
    <row r="2364" spans="1:8" x14ac:dyDescent="0.25">
      <c r="A2364" t="s">
        <v>3028</v>
      </c>
      <c r="B2364" t="s">
        <v>164</v>
      </c>
      <c r="C2364" t="s">
        <v>101</v>
      </c>
      <c r="D2364" t="s">
        <v>236</v>
      </c>
    </row>
    <row r="2365" spans="1:8" x14ac:dyDescent="0.25">
      <c r="A2365" t="s">
        <v>3029</v>
      </c>
      <c r="B2365" t="s">
        <v>164</v>
      </c>
      <c r="C2365" t="s">
        <v>101</v>
      </c>
      <c r="D2365" t="s">
        <v>237</v>
      </c>
    </row>
    <row r="2366" spans="1:8" x14ac:dyDescent="0.25">
      <c r="A2366" t="s">
        <v>3030</v>
      </c>
      <c r="B2366" t="s">
        <v>164</v>
      </c>
      <c r="C2366" t="s">
        <v>101</v>
      </c>
      <c r="D2366" t="s">
        <v>238</v>
      </c>
    </row>
    <row r="2367" spans="1:8" x14ac:dyDescent="0.25">
      <c r="A2367" t="s">
        <v>3031</v>
      </c>
      <c r="B2367" t="s">
        <v>164</v>
      </c>
      <c r="C2367" t="s">
        <v>101</v>
      </c>
      <c r="D2367" t="s">
        <v>239</v>
      </c>
    </row>
    <row r="2368" spans="1:8" x14ac:dyDescent="0.25">
      <c r="A2368" t="s">
        <v>3032</v>
      </c>
      <c r="B2368" t="s">
        <v>164</v>
      </c>
      <c r="C2368" t="s">
        <v>101</v>
      </c>
      <c r="D2368" t="s">
        <v>47</v>
      </c>
    </row>
    <row r="2369" spans="1:8" x14ac:dyDescent="0.25">
      <c r="A2369" t="s">
        <v>3033</v>
      </c>
      <c r="B2369" t="s">
        <v>164</v>
      </c>
      <c r="C2369" t="s">
        <v>102</v>
      </c>
      <c r="D2369" t="s">
        <v>232</v>
      </c>
      <c r="E2369">
        <v>65</v>
      </c>
      <c r="F2369">
        <v>29</v>
      </c>
      <c r="G2369">
        <v>54</v>
      </c>
      <c r="H2369">
        <v>17</v>
      </c>
    </row>
    <row r="2370" spans="1:8" x14ac:dyDescent="0.25">
      <c r="A2370" t="s">
        <v>3034</v>
      </c>
      <c r="B2370" t="s">
        <v>164</v>
      </c>
      <c r="C2370" t="s">
        <v>102</v>
      </c>
      <c r="D2370" t="s">
        <v>233</v>
      </c>
      <c r="E2370">
        <v>58</v>
      </c>
      <c r="F2370">
        <v>31</v>
      </c>
      <c r="G2370">
        <v>58</v>
      </c>
      <c r="H2370">
        <v>11</v>
      </c>
    </row>
    <row r="2371" spans="1:8" x14ac:dyDescent="0.25">
      <c r="A2371" t="s">
        <v>3035</v>
      </c>
      <c r="B2371" t="s">
        <v>164</v>
      </c>
      <c r="C2371" t="s">
        <v>102</v>
      </c>
      <c r="D2371" t="s">
        <v>234</v>
      </c>
      <c r="E2371">
        <v>53</v>
      </c>
      <c r="F2371">
        <v>32</v>
      </c>
      <c r="G2371">
        <v>55</v>
      </c>
      <c r="H2371">
        <v>13</v>
      </c>
    </row>
    <row r="2372" spans="1:8" x14ac:dyDescent="0.25">
      <c r="A2372" t="s">
        <v>3036</v>
      </c>
      <c r="B2372" t="s">
        <v>164</v>
      </c>
      <c r="C2372" t="s">
        <v>102</v>
      </c>
      <c r="D2372" t="s">
        <v>235</v>
      </c>
      <c r="E2372">
        <v>54</v>
      </c>
      <c r="F2372">
        <v>18</v>
      </c>
      <c r="G2372">
        <v>60</v>
      </c>
      <c r="H2372">
        <v>22</v>
      </c>
    </row>
    <row r="2373" spans="1:8" x14ac:dyDescent="0.25">
      <c r="A2373" t="s">
        <v>3037</v>
      </c>
      <c r="B2373" t="s">
        <v>164</v>
      </c>
      <c r="C2373" t="s">
        <v>102</v>
      </c>
      <c r="D2373" t="s">
        <v>236</v>
      </c>
      <c r="E2373">
        <v>61</v>
      </c>
      <c r="F2373">
        <v>30</v>
      </c>
      <c r="G2373">
        <v>55</v>
      </c>
      <c r="H2373">
        <v>15</v>
      </c>
    </row>
    <row r="2374" spans="1:8" x14ac:dyDescent="0.25">
      <c r="A2374" t="s">
        <v>3038</v>
      </c>
      <c r="B2374" t="s">
        <v>164</v>
      </c>
      <c r="C2374" t="s">
        <v>102</v>
      </c>
      <c r="D2374" t="s">
        <v>237</v>
      </c>
      <c r="E2374">
        <v>52</v>
      </c>
      <c r="F2374">
        <v>33</v>
      </c>
      <c r="G2374">
        <v>48</v>
      </c>
      <c r="H2374">
        <v>19</v>
      </c>
    </row>
    <row r="2375" spans="1:8" x14ac:dyDescent="0.25">
      <c r="A2375" t="s">
        <v>3039</v>
      </c>
      <c r="B2375" t="s">
        <v>164</v>
      </c>
      <c r="C2375" t="s">
        <v>102</v>
      </c>
      <c r="D2375" t="s">
        <v>238</v>
      </c>
      <c r="E2375">
        <v>54</v>
      </c>
      <c r="F2375">
        <v>29</v>
      </c>
      <c r="G2375">
        <v>43</v>
      </c>
      <c r="H2375">
        <v>28</v>
      </c>
    </row>
    <row r="2376" spans="1:8" x14ac:dyDescent="0.25">
      <c r="A2376" t="s">
        <v>3040</v>
      </c>
      <c r="B2376" t="s">
        <v>164</v>
      </c>
      <c r="C2376" t="s">
        <v>102</v>
      </c>
      <c r="D2376" t="s">
        <v>239</v>
      </c>
      <c r="E2376">
        <v>45</v>
      </c>
      <c r="F2376">
        <v>27</v>
      </c>
      <c r="G2376">
        <v>47</v>
      </c>
      <c r="H2376">
        <v>26</v>
      </c>
    </row>
    <row r="2377" spans="1:8" x14ac:dyDescent="0.25">
      <c r="A2377" t="s">
        <v>3041</v>
      </c>
      <c r="B2377" t="s">
        <v>164</v>
      </c>
      <c r="C2377" t="s">
        <v>102</v>
      </c>
      <c r="D2377" t="s">
        <v>47</v>
      </c>
      <c r="E2377">
        <v>47</v>
      </c>
      <c r="F2377">
        <v>29</v>
      </c>
      <c r="G2377">
        <v>39</v>
      </c>
      <c r="H2377">
        <v>32</v>
      </c>
    </row>
    <row r="2378" spans="1:8" x14ac:dyDescent="0.25">
      <c r="A2378" t="s">
        <v>3042</v>
      </c>
      <c r="B2378" t="s">
        <v>164</v>
      </c>
      <c r="C2378" t="s">
        <v>31</v>
      </c>
      <c r="D2378" t="s">
        <v>232</v>
      </c>
      <c r="E2378">
        <v>76</v>
      </c>
      <c r="F2378">
        <v>31</v>
      </c>
      <c r="G2378">
        <v>57</v>
      </c>
      <c r="H2378">
        <v>12</v>
      </c>
    </row>
    <row r="2379" spans="1:8" x14ac:dyDescent="0.25">
      <c r="A2379" t="s">
        <v>3043</v>
      </c>
      <c r="B2379" t="s">
        <v>164</v>
      </c>
      <c r="C2379" t="s">
        <v>31</v>
      </c>
      <c r="D2379" t="s">
        <v>233</v>
      </c>
      <c r="E2379">
        <v>72</v>
      </c>
      <c r="F2379">
        <v>21</v>
      </c>
      <c r="G2379">
        <v>58</v>
      </c>
      <c r="H2379">
        <v>21</v>
      </c>
    </row>
    <row r="2380" spans="1:8" x14ac:dyDescent="0.25">
      <c r="A2380" t="s">
        <v>3044</v>
      </c>
      <c r="B2380" t="s">
        <v>164</v>
      </c>
      <c r="C2380" t="s">
        <v>31</v>
      </c>
      <c r="D2380" t="s">
        <v>234</v>
      </c>
      <c r="E2380">
        <v>69</v>
      </c>
      <c r="F2380">
        <v>21</v>
      </c>
      <c r="G2380">
        <v>68</v>
      </c>
      <c r="H2380">
        <v>11</v>
      </c>
    </row>
    <row r="2381" spans="1:8" x14ac:dyDescent="0.25">
      <c r="A2381" t="s">
        <v>3045</v>
      </c>
      <c r="B2381" t="s">
        <v>164</v>
      </c>
      <c r="C2381" t="s">
        <v>31</v>
      </c>
      <c r="D2381" t="s">
        <v>235</v>
      </c>
      <c r="E2381">
        <v>66</v>
      </c>
      <c r="F2381">
        <v>13</v>
      </c>
      <c r="G2381">
        <v>73</v>
      </c>
      <c r="H2381">
        <v>14</v>
      </c>
    </row>
    <row r="2382" spans="1:8" x14ac:dyDescent="0.25">
      <c r="A2382" t="s">
        <v>3046</v>
      </c>
      <c r="B2382" t="s">
        <v>164</v>
      </c>
      <c r="C2382" t="s">
        <v>31</v>
      </c>
      <c r="D2382" t="s">
        <v>236</v>
      </c>
      <c r="E2382">
        <v>79</v>
      </c>
      <c r="F2382">
        <v>30</v>
      </c>
      <c r="G2382">
        <v>57</v>
      </c>
      <c r="H2382">
        <v>13</v>
      </c>
    </row>
    <row r="2383" spans="1:8" x14ac:dyDescent="0.25">
      <c r="A2383" t="s">
        <v>3047</v>
      </c>
      <c r="B2383" t="s">
        <v>164</v>
      </c>
      <c r="C2383" t="s">
        <v>31</v>
      </c>
      <c r="D2383" t="s">
        <v>237</v>
      </c>
      <c r="E2383">
        <v>66</v>
      </c>
      <c r="F2383">
        <v>18</v>
      </c>
      <c r="G2383">
        <v>71</v>
      </c>
      <c r="H2383">
        <v>11</v>
      </c>
    </row>
    <row r="2384" spans="1:8" x14ac:dyDescent="0.25">
      <c r="A2384" t="s">
        <v>3048</v>
      </c>
      <c r="B2384" t="s">
        <v>164</v>
      </c>
      <c r="C2384" t="s">
        <v>31</v>
      </c>
      <c r="D2384" t="s">
        <v>238</v>
      </c>
      <c r="E2384">
        <v>68</v>
      </c>
      <c r="F2384">
        <v>13</v>
      </c>
      <c r="G2384">
        <v>71</v>
      </c>
      <c r="H2384">
        <v>16</v>
      </c>
    </row>
    <row r="2385" spans="1:8" x14ac:dyDescent="0.25">
      <c r="A2385" t="s">
        <v>3049</v>
      </c>
      <c r="B2385" t="s">
        <v>164</v>
      </c>
      <c r="C2385" t="s">
        <v>31</v>
      </c>
      <c r="D2385" t="s">
        <v>239</v>
      </c>
      <c r="E2385">
        <v>60</v>
      </c>
      <c r="F2385">
        <v>28</v>
      </c>
      <c r="G2385">
        <v>49</v>
      </c>
      <c r="H2385">
        <v>23</v>
      </c>
    </row>
    <row r="2386" spans="1:8" x14ac:dyDescent="0.25">
      <c r="A2386" t="s">
        <v>3050</v>
      </c>
      <c r="B2386" t="s">
        <v>164</v>
      </c>
      <c r="C2386" t="s">
        <v>31</v>
      </c>
      <c r="D2386" t="s">
        <v>47</v>
      </c>
      <c r="E2386">
        <v>60</v>
      </c>
      <c r="F2386">
        <v>21</v>
      </c>
      <c r="G2386">
        <v>62</v>
      </c>
      <c r="H2386">
        <v>17</v>
      </c>
    </row>
    <row r="2387" spans="1:8" x14ac:dyDescent="0.25">
      <c r="A2387" t="s">
        <v>3051</v>
      </c>
      <c r="B2387" t="s">
        <v>240</v>
      </c>
      <c r="C2387" t="s">
        <v>103</v>
      </c>
      <c r="D2387" t="s">
        <v>232</v>
      </c>
      <c r="E2387">
        <v>70</v>
      </c>
      <c r="F2387">
        <v>39</v>
      </c>
      <c r="G2387">
        <v>45</v>
      </c>
      <c r="H2387">
        <v>16</v>
      </c>
    </row>
    <row r="2388" spans="1:8" x14ac:dyDescent="0.25">
      <c r="A2388" t="s">
        <v>3052</v>
      </c>
      <c r="B2388" t="s">
        <v>240</v>
      </c>
      <c r="C2388" t="s">
        <v>103</v>
      </c>
      <c r="D2388" t="s">
        <v>233</v>
      </c>
      <c r="E2388">
        <v>73</v>
      </c>
      <c r="F2388">
        <v>30</v>
      </c>
      <c r="G2388">
        <v>43</v>
      </c>
      <c r="H2388">
        <v>27</v>
      </c>
    </row>
    <row r="2389" spans="1:8" x14ac:dyDescent="0.25">
      <c r="A2389" t="s">
        <v>3053</v>
      </c>
      <c r="B2389" t="s">
        <v>240</v>
      </c>
      <c r="C2389" t="s">
        <v>103</v>
      </c>
      <c r="D2389" t="s">
        <v>234</v>
      </c>
      <c r="E2389">
        <v>56</v>
      </c>
      <c r="F2389">
        <v>35</v>
      </c>
      <c r="G2389">
        <v>43</v>
      </c>
      <c r="H2389">
        <v>22</v>
      </c>
    </row>
    <row r="2390" spans="1:8" x14ac:dyDescent="0.25">
      <c r="A2390" t="s">
        <v>3054</v>
      </c>
      <c r="B2390" t="s">
        <v>240</v>
      </c>
      <c r="C2390" t="s">
        <v>103</v>
      </c>
      <c r="D2390" t="s">
        <v>235</v>
      </c>
      <c r="E2390">
        <v>57</v>
      </c>
      <c r="F2390">
        <v>28</v>
      </c>
      <c r="G2390">
        <v>45</v>
      </c>
      <c r="H2390">
        <v>27</v>
      </c>
    </row>
    <row r="2391" spans="1:8" x14ac:dyDescent="0.25">
      <c r="A2391" t="s">
        <v>3055</v>
      </c>
      <c r="B2391" t="s">
        <v>240</v>
      </c>
      <c r="C2391" t="s">
        <v>103</v>
      </c>
      <c r="D2391" t="s">
        <v>236</v>
      </c>
      <c r="E2391">
        <v>54</v>
      </c>
      <c r="F2391">
        <v>32</v>
      </c>
      <c r="G2391">
        <v>42</v>
      </c>
      <c r="H2391">
        <v>26</v>
      </c>
    </row>
    <row r="2392" spans="1:8" x14ac:dyDescent="0.25">
      <c r="A2392" t="s">
        <v>3056</v>
      </c>
      <c r="B2392" t="s">
        <v>240</v>
      </c>
      <c r="C2392" t="s">
        <v>103</v>
      </c>
      <c r="D2392" t="s">
        <v>237</v>
      </c>
      <c r="E2392">
        <v>57</v>
      </c>
      <c r="F2392">
        <v>28</v>
      </c>
      <c r="G2392">
        <v>46</v>
      </c>
      <c r="H2392">
        <v>26</v>
      </c>
    </row>
    <row r="2393" spans="1:8" x14ac:dyDescent="0.25">
      <c r="A2393" t="s">
        <v>3057</v>
      </c>
      <c r="B2393" t="s">
        <v>240</v>
      </c>
      <c r="C2393" t="s">
        <v>103</v>
      </c>
      <c r="D2393" t="s">
        <v>238</v>
      </c>
      <c r="E2393">
        <v>55</v>
      </c>
      <c r="F2393">
        <v>46</v>
      </c>
      <c r="G2393">
        <v>42</v>
      </c>
      <c r="H2393">
        <v>12</v>
      </c>
    </row>
    <row r="2394" spans="1:8" x14ac:dyDescent="0.25">
      <c r="A2394" t="s">
        <v>3058</v>
      </c>
      <c r="B2394" t="s">
        <v>240</v>
      </c>
      <c r="C2394" t="s">
        <v>103</v>
      </c>
      <c r="D2394" t="s">
        <v>239</v>
      </c>
      <c r="E2394">
        <v>51</v>
      </c>
      <c r="F2394">
        <v>23</v>
      </c>
      <c r="G2394">
        <v>57</v>
      </c>
      <c r="H2394">
        <v>20</v>
      </c>
    </row>
    <row r="2395" spans="1:8" x14ac:dyDescent="0.25">
      <c r="A2395" t="s">
        <v>3059</v>
      </c>
      <c r="B2395" t="s">
        <v>240</v>
      </c>
      <c r="C2395" t="s">
        <v>103</v>
      </c>
      <c r="D2395" t="s">
        <v>47</v>
      </c>
      <c r="E2395">
        <v>45</v>
      </c>
      <c r="F2395">
        <v>23</v>
      </c>
      <c r="G2395">
        <v>68</v>
      </c>
      <c r="H2395">
        <v>9</v>
      </c>
    </row>
    <row r="2396" spans="1:8" x14ac:dyDescent="0.25">
      <c r="A2396" t="s">
        <v>3060</v>
      </c>
      <c r="B2396" t="s">
        <v>240</v>
      </c>
      <c r="C2396" t="s">
        <v>100</v>
      </c>
      <c r="D2396" t="s">
        <v>232</v>
      </c>
      <c r="E2396">
        <v>69</v>
      </c>
      <c r="F2396">
        <v>38</v>
      </c>
      <c r="G2396">
        <v>43</v>
      </c>
      <c r="H2396">
        <v>19</v>
      </c>
    </row>
    <row r="2397" spans="1:8" x14ac:dyDescent="0.25">
      <c r="A2397" t="s">
        <v>3061</v>
      </c>
      <c r="B2397" t="s">
        <v>240</v>
      </c>
      <c r="C2397" t="s">
        <v>100</v>
      </c>
      <c r="D2397" t="s">
        <v>233</v>
      </c>
      <c r="E2397">
        <v>72</v>
      </c>
      <c r="F2397">
        <v>35</v>
      </c>
      <c r="G2397">
        <v>42</v>
      </c>
      <c r="H2397">
        <v>23</v>
      </c>
    </row>
    <row r="2398" spans="1:8" x14ac:dyDescent="0.25">
      <c r="A2398" t="s">
        <v>3062</v>
      </c>
      <c r="B2398" t="s">
        <v>240</v>
      </c>
      <c r="C2398" t="s">
        <v>100</v>
      </c>
      <c r="D2398" t="s">
        <v>234</v>
      </c>
      <c r="E2398">
        <v>56</v>
      </c>
      <c r="F2398">
        <v>17</v>
      </c>
      <c r="G2398">
        <v>52</v>
      </c>
      <c r="H2398">
        <v>31</v>
      </c>
    </row>
    <row r="2399" spans="1:8" x14ac:dyDescent="0.25">
      <c r="A2399" t="s">
        <v>3063</v>
      </c>
      <c r="B2399" t="s">
        <v>240</v>
      </c>
      <c r="C2399" t="s">
        <v>100</v>
      </c>
      <c r="D2399" t="s">
        <v>235</v>
      </c>
      <c r="E2399">
        <v>56</v>
      </c>
      <c r="F2399">
        <v>29</v>
      </c>
      <c r="G2399">
        <v>56</v>
      </c>
      <c r="H2399">
        <v>15</v>
      </c>
    </row>
    <row r="2400" spans="1:8" x14ac:dyDescent="0.25">
      <c r="A2400" t="s">
        <v>3064</v>
      </c>
      <c r="B2400" t="s">
        <v>240</v>
      </c>
      <c r="C2400" t="s">
        <v>100</v>
      </c>
      <c r="D2400" t="s">
        <v>236</v>
      </c>
      <c r="E2400">
        <v>52</v>
      </c>
      <c r="F2400">
        <v>19</v>
      </c>
      <c r="G2400">
        <v>59</v>
      </c>
      <c r="H2400">
        <v>22</v>
      </c>
    </row>
    <row r="2401" spans="1:8" x14ac:dyDescent="0.25">
      <c r="A2401" t="s">
        <v>3065</v>
      </c>
      <c r="B2401" t="s">
        <v>240</v>
      </c>
      <c r="C2401" t="s">
        <v>100</v>
      </c>
      <c r="D2401" t="s">
        <v>237</v>
      </c>
      <c r="E2401">
        <v>57</v>
      </c>
      <c r="F2401">
        <v>14</v>
      </c>
      <c r="G2401">
        <v>58</v>
      </c>
      <c r="H2401">
        <v>28</v>
      </c>
    </row>
    <row r="2402" spans="1:8" x14ac:dyDescent="0.25">
      <c r="A2402" t="s">
        <v>3066</v>
      </c>
      <c r="B2402" t="s">
        <v>240</v>
      </c>
      <c r="C2402" t="s">
        <v>100</v>
      </c>
      <c r="D2402" t="s">
        <v>238</v>
      </c>
      <c r="E2402">
        <v>57</v>
      </c>
      <c r="F2402">
        <v>24</v>
      </c>
      <c r="G2402">
        <v>62</v>
      </c>
      <c r="H2402">
        <v>14</v>
      </c>
    </row>
    <row r="2403" spans="1:8" x14ac:dyDescent="0.25">
      <c r="A2403" t="s">
        <v>3067</v>
      </c>
      <c r="B2403" t="s">
        <v>240</v>
      </c>
      <c r="C2403" t="s">
        <v>100</v>
      </c>
      <c r="D2403" t="s">
        <v>239</v>
      </c>
      <c r="E2403">
        <v>53</v>
      </c>
      <c r="F2403">
        <v>17</v>
      </c>
      <c r="G2403">
        <v>36</v>
      </c>
      <c r="H2403">
        <v>47</v>
      </c>
    </row>
    <row r="2404" spans="1:8" x14ac:dyDescent="0.25">
      <c r="A2404" t="s">
        <v>3068</v>
      </c>
      <c r="B2404" t="s">
        <v>240</v>
      </c>
      <c r="C2404" t="s">
        <v>100</v>
      </c>
      <c r="D2404" t="s">
        <v>47</v>
      </c>
      <c r="E2404">
        <v>46</v>
      </c>
      <c r="F2404">
        <v>22</v>
      </c>
      <c r="G2404">
        <v>62</v>
      </c>
      <c r="H2404">
        <v>16</v>
      </c>
    </row>
    <row r="2405" spans="1:8" x14ac:dyDescent="0.25">
      <c r="A2405" t="s">
        <v>3069</v>
      </c>
      <c r="B2405" t="s">
        <v>240</v>
      </c>
      <c r="C2405" t="s">
        <v>101</v>
      </c>
      <c r="D2405" t="s">
        <v>232</v>
      </c>
      <c r="E2405">
        <v>58</v>
      </c>
      <c r="F2405">
        <v>43</v>
      </c>
      <c r="G2405">
        <v>36</v>
      </c>
      <c r="H2405">
        <v>21</v>
      </c>
    </row>
    <row r="2406" spans="1:8" x14ac:dyDescent="0.25">
      <c r="A2406" t="s">
        <v>3070</v>
      </c>
      <c r="B2406" t="s">
        <v>240</v>
      </c>
      <c r="C2406" t="s">
        <v>101</v>
      </c>
      <c r="D2406" t="s">
        <v>233</v>
      </c>
      <c r="E2406">
        <v>49</v>
      </c>
      <c r="F2406">
        <v>27</v>
      </c>
      <c r="G2406">
        <v>60</v>
      </c>
      <c r="H2406">
        <v>13</v>
      </c>
    </row>
    <row r="2407" spans="1:8" x14ac:dyDescent="0.25">
      <c r="A2407" t="s">
        <v>3071</v>
      </c>
      <c r="B2407" t="s">
        <v>240</v>
      </c>
      <c r="C2407" t="s">
        <v>101</v>
      </c>
      <c r="D2407" t="s">
        <v>234</v>
      </c>
      <c r="E2407">
        <v>45</v>
      </c>
      <c r="F2407">
        <v>28</v>
      </c>
      <c r="G2407">
        <v>38</v>
      </c>
      <c r="H2407">
        <v>34</v>
      </c>
    </row>
    <row r="2408" spans="1:8" x14ac:dyDescent="0.25">
      <c r="A2408" t="s">
        <v>3072</v>
      </c>
      <c r="B2408" t="s">
        <v>240</v>
      </c>
      <c r="C2408" t="s">
        <v>101</v>
      </c>
      <c r="D2408" t="s">
        <v>235</v>
      </c>
      <c r="E2408">
        <v>42</v>
      </c>
      <c r="F2408">
        <v>26</v>
      </c>
      <c r="G2408">
        <v>55</v>
      </c>
      <c r="H2408">
        <v>19</v>
      </c>
    </row>
    <row r="2409" spans="1:8" x14ac:dyDescent="0.25">
      <c r="A2409" t="s">
        <v>3073</v>
      </c>
      <c r="B2409" t="s">
        <v>240</v>
      </c>
      <c r="C2409" t="s">
        <v>101</v>
      </c>
      <c r="D2409" t="s">
        <v>236</v>
      </c>
      <c r="E2409">
        <v>41</v>
      </c>
      <c r="F2409">
        <v>26</v>
      </c>
      <c r="G2409">
        <v>52</v>
      </c>
      <c r="H2409">
        <v>22</v>
      </c>
    </row>
    <row r="2410" spans="1:8" x14ac:dyDescent="0.25">
      <c r="A2410" t="s">
        <v>3074</v>
      </c>
      <c r="B2410" t="s">
        <v>240</v>
      </c>
      <c r="C2410" t="s">
        <v>101</v>
      </c>
      <c r="D2410" t="s">
        <v>237</v>
      </c>
      <c r="E2410">
        <v>45</v>
      </c>
      <c r="F2410">
        <v>26</v>
      </c>
      <c r="G2410">
        <v>49</v>
      </c>
      <c r="H2410">
        <v>25</v>
      </c>
    </row>
    <row r="2411" spans="1:8" x14ac:dyDescent="0.25">
      <c r="A2411" t="s">
        <v>3075</v>
      </c>
      <c r="B2411" t="s">
        <v>240</v>
      </c>
      <c r="C2411" t="s">
        <v>101</v>
      </c>
      <c r="D2411" t="s">
        <v>238</v>
      </c>
      <c r="E2411">
        <v>38</v>
      </c>
      <c r="F2411">
        <v>38</v>
      </c>
      <c r="G2411">
        <v>53</v>
      </c>
      <c r="H2411">
        <v>9</v>
      </c>
    </row>
    <row r="2412" spans="1:8" x14ac:dyDescent="0.25">
      <c r="A2412" t="s">
        <v>3076</v>
      </c>
      <c r="B2412" t="s">
        <v>240</v>
      </c>
      <c r="C2412" t="s">
        <v>101</v>
      </c>
      <c r="D2412" t="s">
        <v>239</v>
      </c>
      <c r="E2412">
        <v>40</v>
      </c>
      <c r="F2412">
        <v>13</v>
      </c>
      <c r="G2412">
        <v>68</v>
      </c>
      <c r="H2412">
        <v>19</v>
      </c>
    </row>
    <row r="2413" spans="1:8" x14ac:dyDescent="0.25">
      <c r="A2413" t="s">
        <v>3077</v>
      </c>
      <c r="B2413" t="s">
        <v>240</v>
      </c>
      <c r="C2413" t="s">
        <v>101</v>
      </c>
      <c r="D2413" t="s">
        <v>47</v>
      </c>
      <c r="E2413">
        <v>35</v>
      </c>
      <c r="F2413">
        <v>38</v>
      </c>
      <c r="G2413">
        <v>53</v>
      </c>
      <c r="H2413">
        <v>9</v>
      </c>
    </row>
    <row r="2414" spans="1:8" x14ac:dyDescent="0.25">
      <c r="A2414" t="s">
        <v>3078</v>
      </c>
      <c r="B2414" t="s">
        <v>240</v>
      </c>
      <c r="C2414" t="s">
        <v>102</v>
      </c>
      <c r="D2414" t="s">
        <v>232</v>
      </c>
      <c r="E2414">
        <v>63</v>
      </c>
      <c r="F2414">
        <v>35</v>
      </c>
      <c r="G2414">
        <v>38</v>
      </c>
      <c r="H2414">
        <v>27</v>
      </c>
    </row>
    <row r="2415" spans="1:8" x14ac:dyDescent="0.25">
      <c r="A2415" t="s">
        <v>3079</v>
      </c>
      <c r="B2415" t="s">
        <v>240</v>
      </c>
      <c r="C2415" t="s">
        <v>102</v>
      </c>
      <c r="D2415" t="s">
        <v>233</v>
      </c>
      <c r="E2415">
        <v>64</v>
      </c>
      <c r="F2415">
        <v>42</v>
      </c>
      <c r="G2415">
        <v>39</v>
      </c>
      <c r="H2415">
        <v>19</v>
      </c>
    </row>
    <row r="2416" spans="1:8" x14ac:dyDescent="0.25">
      <c r="A2416" t="s">
        <v>3080</v>
      </c>
      <c r="B2416" t="s">
        <v>240</v>
      </c>
      <c r="C2416" t="s">
        <v>102</v>
      </c>
      <c r="D2416" t="s">
        <v>234</v>
      </c>
      <c r="E2416">
        <v>50</v>
      </c>
      <c r="F2416">
        <v>47</v>
      </c>
      <c r="G2416">
        <v>33</v>
      </c>
      <c r="H2416">
        <v>20</v>
      </c>
    </row>
    <row r="2417" spans="1:8" x14ac:dyDescent="0.25">
      <c r="A2417" t="s">
        <v>3081</v>
      </c>
      <c r="B2417" t="s">
        <v>240</v>
      </c>
      <c r="C2417" t="s">
        <v>102</v>
      </c>
      <c r="D2417" t="s">
        <v>235</v>
      </c>
      <c r="E2417">
        <v>50</v>
      </c>
      <c r="F2417">
        <v>24</v>
      </c>
      <c r="G2417">
        <v>60</v>
      </c>
      <c r="H2417">
        <v>16</v>
      </c>
    </row>
    <row r="2418" spans="1:8" x14ac:dyDescent="0.25">
      <c r="A2418" t="s">
        <v>3082</v>
      </c>
      <c r="B2418" t="s">
        <v>240</v>
      </c>
      <c r="C2418" t="s">
        <v>102</v>
      </c>
      <c r="D2418" t="s">
        <v>236</v>
      </c>
      <c r="E2418">
        <v>46</v>
      </c>
      <c r="F2418">
        <v>42</v>
      </c>
      <c r="G2418">
        <v>36</v>
      </c>
      <c r="H2418">
        <v>22</v>
      </c>
    </row>
    <row r="2419" spans="1:8" x14ac:dyDescent="0.25">
      <c r="A2419" t="s">
        <v>3083</v>
      </c>
      <c r="B2419" t="s">
        <v>240</v>
      </c>
      <c r="C2419" t="s">
        <v>102</v>
      </c>
      <c r="D2419" t="s">
        <v>237</v>
      </c>
      <c r="E2419">
        <v>52</v>
      </c>
      <c r="F2419">
        <v>36</v>
      </c>
      <c r="G2419">
        <v>38</v>
      </c>
      <c r="H2419">
        <v>26</v>
      </c>
    </row>
    <row r="2420" spans="1:8" x14ac:dyDescent="0.25">
      <c r="A2420" t="s">
        <v>3084</v>
      </c>
      <c r="B2420" t="s">
        <v>240</v>
      </c>
      <c r="C2420" t="s">
        <v>102</v>
      </c>
      <c r="D2420" t="s">
        <v>238</v>
      </c>
      <c r="E2420">
        <v>48</v>
      </c>
      <c r="F2420">
        <v>48</v>
      </c>
      <c r="G2420">
        <v>36</v>
      </c>
      <c r="H2420">
        <v>16</v>
      </c>
    </row>
    <row r="2421" spans="1:8" x14ac:dyDescent="0.25">
      <c r="A2421" t="s">
        <v>3085</v>
      </c>
      <c r="B2421" t="s">
        <v>240</v>
      </c>
      <c r="C2421" t="s">
        <v>102</v>
      </c>
      <c r="D2421" t="s">
        <v>239</v>
      </c>
      <c r="E2421">
        <v>48</v>
      </c>
      <c r="F2421">
        <v>28</v>
      </c>
      <c r="G2421">
        <v>57</v>
      </c>
      <c r="H2421">
        <v>15</v>
      </c>
    </row>
    <row r="2422" spans="1:8" x14ac:dyDescent="0.25">
      <c r="A2422" t="s">
        <v>3086</v>
      </c>
      <c r="B2422" t="s">
        <v>240</v>
      </c>
      <c r="C2422" t="s">
        <v>102</v>
      </c>
      <c r="D2422" t="s">
        <v>47</v>
      </c>
      <c r="E2422">
        <v>43</v>
      </c>
      <c r="F2422">
        <v>25</v>
      </c>
      <c r="G2422">
        <v>65</v>
      </c>
      <c r="H2422">
        <v>10</v>
      </c>
    </row>
    <row r="2423" spans="1:8" x14ac:dyDescent="0.25">
      <c r="A2423" t="s">
        <v>3087</v>
      </c>
      <c r="B2423" t="s">
        <v>240</v>
      </c>
      <c r="C2423" t="s">
        <v>31</v>
      </c>
      <c r="D2423" t="s">
        <v>232</v>
      </c>
      <c r="E2423">
        <v>68</v>
      </c>
      <c r="F2423">
        <v>45</v>
      </c>
      <c r="G2423">
        <v>31</v>
      </c>
      <c r="H2423">
        <v>24</v>
      </c>
    </row>
    <row r="2424" spans="1:8" x14ac:dyDescent="0.25">
      <c r="A2424" t="s">
        <v>3088</v>
      </c>
      <c r="B2424" t="s">
        <v>240</v>
      </c>
      <c r="C2424" t="s">
        <v>31</v>
      </c>
      <c r="D2424" t="s">
        <v>233</v>
      </c>
      <c r="E2424">
        <v>71</v>
      </c>
      <c r="F2424">
        <v>30</v>
      </c>
      <c r="G2424">
        <v>54</v>
      </c>
      <c r="H2424">
        <v>16</v>
      </c>
    </row>
    <row r="2425" spans="1:8" x14ac:dyDescent="0.25">
      <c r="A2425" t="s">
        <v>3089</v>
      </c>
      <c r="B2425" t="s">
        <v>240</v>
      </c>
      <c r="C2425" t="s">
        <v>31</v>
      </c>
      <c r="D2425" t="s">
        <v>234</v>
      </c>
      <c r="E2425">
        <v>56</v>
      </c>
      <c r="F2425">
        <v>18</v>
      </c>
      <c r="G2425">
        <v>61</v>
      </c>
      <c r="H2425">
        <v>21</v>
      </c>
    </row>
    <row r="2426" spans="1:8" x14ac:dyDescent="0.25">
      <c r="A2426" t="s">
        <v>3090</v>
      </c>
      <c r="B2426" t="s">
        <v>240</v>
      </c>
      <c r="C2426" t="s">
        <v>31</v>
      </c>
      <c r="D2426" t="s">
        <v>235</v>
      </c>
      <c r="E2426">
        <v>56</v>
      </c>
      <c r="F2426">
        <v>24</v>
      </c>
      <c r="G2426">
        <v>51</v>
      </c>
      <c r="H2426">
        <v>25</v>
      </c>
    </row>
    <row r="2427" spans="1:8" x14ac:dyDescent="0.25">
      <c r="A2427" t="s">
        <v>3091</v>
      </c>
      <c r="B2427" t="s">
        <v>240</v>
      </c>
      <c r="C2427" t="s">
        <v>31</v>
      </c>
      <c r="D2427" t="s">
        <v>236</v>
      </c>
      <c r="E2427">
        <v>54</v>
      </c>
      <c r="F2427">
        <v>23</v>
      </c>
      <c r="G2427">
        <v>54</v>
      </c>
      <c r="H2427">
        <v>23</v>
      </c>
    </row>
    <row r="2428" spans="1:8" x14ac:dyDescent="0.25">
      <c r="A2428" t="s">
        <v>3092</v>
      </c>
      <c r="B2428" t="s">
        <v>240</v>
      </c>
      <c r="C2428" t="s">
        <v>31</v>
      </c>
      <c r="D2428" t="s">
        <v>237</v>
      </c>
      <c r="E2428">
        <v>56</v>
      </c>
      <c r="F2428">
        <v>26</v>
      </c>
      <c r="G2428">
        <v>51</v>
      </c>
      <c r="H2428">
        <v>23</v>
      </c>
    </row>
    <row r="2429" spans="1:8" x14ac:dyDescent="0.25">
      <c r="A2429" t="s">
        <v>3093</v>
      </c>
      <c r="B2429" t="s">
        <v>240</v>
      </c>
      <c r="C2429" t="s">
        <v>31</v>
      </c>
      <c r="D2429" t="s">
        <v>238</v>
      </c>
      <c r="E2429">
        <v>55</v>
      </c>
      <c r="F2429">
        <v>28</v>
      </c>
      <c r="G2429">
        <v>48</v>
      </c>
      <c r="H2429">
        <v>24</v>
      </c>
    </row>
    <row r="2430" spans="1:8" x14ac:dyDescent="0.25">
      <c r="A2430" t="s">
        <v>3094</v>
      </c>
      <c r="B2430" t="s">
        <v>240</v>
      </c>
      <c r="C2430" t="s">
        <v>31</v>
      </c>
      <c r="D2430" t="s">
        <v>239</v>
      </c>
      <c r="E2430">
        <v>53</v>
      </c>
      <c r="F2430">
        <v>18</v>
      </c>
      <c r="G2430">
        <v>56</v>
      </c>
      <c r="H2430">
        <v>26</v>
      </c>
    </row>
    <row r="2431" spans="1:8" x14ac:dyDescent="0.25">
      <c r="A2431" t="s">
        <v>3095</v>
      </c>
      <c r="B2431" t="s">
        <v>240</v>
      </c>
      <c r="C2431" t="s">
        <v>31</v>
      </c>
      <c r="D2431" t="s">
        <v>47</v>
      </c>
      <c r="E2431">
        <v>46</v>
      </c>
      <c r="F2431">
        <v>40</v>
      </c>
      <c r="G2431">
        <v>40</v>
      </c>
      <c r="H2431">
        <v>20</v>
      </c>
    </row>
    <row r="2432" spans="1:8" x14ac:dyDescent="0.25">
      <c r="A2432" t="s">
        <v>3096</v>
      </c>
      <c r="B2432" t="s">
        <v>245</v>
      </c>
      <c r="C2432" t="s">
        <v>103</v>
      </c>
      <c r="D2432" t="s">
        <v>232</v>
      </c>
      <c r="E2432">
        <v>236</v>
      </c>
      <c r="F2432">
        <v>16</v>
      </c>
      <c r="G2432">
        <v>70</v>
      </c>
      <c r="H2432">
        <v>14</v>
      </c>
    </row>
    <row r="2433" spans="1:8" x14ac:dyDescent="0.25">
      <c r="A2433" t="s">
        <v>3097</v>
      </c>
      <c r="B2433" t="s">
        <v>245</v>
      </c>
      <c r="C2433" t="s">
        <v>103</v>
      </c>
      <c r="D2433" t="s">
        <v>233</v>
      </c>
      <c r="E2433">
        <v>222</v>
      </c>
      <c r="F2433">
        <v>16</v>
      </c>
      <c r="G2433">
        <v>72</v>
      </c>
      <c r="H2433">
        <v>12</v>
      </c>
    </row>
    <row r="2434" spans="1:8" x14ac:dyDescent="0.25">
      <c r="A2434" t="s">
        <v>3098</v>
      </c>
      <c r="B2434" t="s">
        <v>245</v>
      </c>
      <c r="C2434" t="s">
        <v>103</v>
      </c>
      <c r="D2434" t="s">
        <v>234</v>
      </c>
      <c r="E2434">
        <v>242</v>
      </c>
      <c r="F2434">
        <v>16</v>
      </c>
      <c r="G2434">
        <v>67</v>
      </c>
      <c r="H2434">
        <v>17</v>
      </c>
    </row>
    <row r="2435" spans="1:8" x14ac:dyDescent="0.25">
      <c r="A2435" t="s">
        <v>3099</v>
      </c>
      <c r="B2435" t="s">
        <v>245</v>
      </c>
      <c r="C2435" t="s">
        <v>103</v>
      </c>
      <c r="D2435" t="s">
        <v>235</v>
      </c>
      <c r="E2435">
        <v>230</v>
      </c>
      <c r="F2435">
        <v>17</v>
      </c>
      <c r="G2435">
        <v>60</v>
      </c>
      <c r="H2435">
        <v>23</v>
      </c>
    </row>
    <row r="2436" spans="1:8" x14ac:dyDescent="0.25">
      <c r="A2436" t="s">
        <v>3100</v>
      </c>
      <c r="B2436" t="s">
        <v>245</v>
      </c>
      <c r="C2436" t="s">
        <v>103</v>
      </c>
      <c r="D2436" t="s">
        <v>236</v>
      </c>
      <c r="E2436">
        <v>252</v>
      </c>
      <c r="F2436">
        <v>15</v>
      </c>
      <c r="G2436">
        <v>65</v>
      </c>
      <c r="H2436">
        <v>20</v>
      </c>
    </row>
    <row r="2437" spans="1:8" x14ac:dyDescent="0.25">
      <c r="A2437" t="s">
        <v>3101</v>
      </c>
      <c r="B2437" t="s">
        <v>245</v>
      </c>
      <c r="C2437" t="s">
        <v>103</v>
      </c>
      <c r="D2437" t="s">
        <v>237</v>
      </c>
      <c r="E2437">
        <v>169</v>
      </c>
      <c r="F2437">
        <v>16</v>
      </c>
      <c r="G2437">
        <v>59</v>
      </c>
      <c r="H2437">
        <v>25</v>
      </c>
    </row>
    <row r="2438" spans="1:8" x14ac:dyDescent="0.25">
      <c r="A2438" t="s">
        <v>3102</v>
      </c>
      <c r="B2438" t="s">
        <v>245</v>
      </c>
      <c r="C2438" t="s">
        <v>103</v>
      </c>
      <c r="D2438" t="s">
        <v>238</v>
      </c>
      <c r="E2438">
        <v>198</v>
      </c>
      <c r="F2438">
        <v>15</v>
      </c>
      <c r="G2438">
        <v>65</v>
      </c>
      <c r="H2438">
        <v>20</v>
      </c>
    </row>
    <row r="2439" spans="1:8" x14ac:dyDescent="0.25">
      <c r="A2439" t="s">
        <v>3103</v>
      </c>
      <c r="B2439" t="s">
        <v>245</v>
      </c>
      <c r="C2439" t="s">
        <v>103</v>
      </c>
      <c r="D2439" t="s">
        <v>239</v>
      </c>
      <c r="E2439">
        <v>178</v>
      </c>
      <c r="F2439">
        <v>18</v>
      </c>
      <c r="G2439">
        <v>61</v>
      </c>
      <c r="H2439">
        <v>21</v>
      </c>
    </row>
    <row r="2440" spans="1:8" x14ac:dyDescent="0.25">
      <c r="A2440" t="s">
        <v>3104</v>
      </c>
      <c r="B2440" t="s">
        <v>245</v>
      </c>
      <c r="C2440" t="s">
        <v>103</v>
      </c>
      <c r="D2440" t="s">
        <v>47</v>
      </c>
      <c r="E2440">
        <v>185</v>
      </c>
      <c r="F2440">
        <v>12</v>
      </c>
      <c r="G2440">
        <v>70</v>
      </c>
      <c r="H2440">
        <v>18</v>
      </c>
    </row>
    <row r="2441" spans="1:8" x14ac:dyDescent="0.25">
      <c r="A2441" t="s">
        <v>3105</v>
      </c>
      <c r="B2441" t="s">
        <v>245</v>
      </c>
      <c r="C2441" t="s">
        <v>100</v>
      </c>
      <c r="D2441" t="s">
        <v>232</v>
      </c>
      <c r="E2441">
        <v>239</v>
      </c>
      <c r="F2441">
        <v>17</v>
      </c>
      <c r="G2441">
        <v>59</v>
      </c>
      <c r="H2441">
        <v>24</v>
      </c>
    </row>
    <row r="2442" spans="1:8" x14ac:dyDescent="0.25">
      <c r="A2442" t="s">
        <v>3106</v>
      </c>
      <c r="B2442" t="s">
        <v>245</v>
      </c>
      <c r="C2442" t="s">
        <v>100</v>
      </c>
      <c r="D2442" t="s">
        <v>233</v>
      </c>
      <c r="E2442">
        <v>225</v>
      </c>
      <c r="F2442">
        <v>19</v>
      </c>
      <c r="G2442">
        <v>64</v>
      </c>
      <c r="H2442">
        <v>17</v>
      </c>
    </row>
    <row r="2443" spans="1:8" x14ac:dyDescent="0.25">
      <c r="A2443" t="s">
        <v>3107</v>
      </c>
      <c r="B2443" t="s">
        <v>245</v>
      </c>
      <c r="C2443" t="s">
        <v>100</v>
      </c>
      <c r="D2443" t="s">
        <v>234</v>
      </c>
      <c r="E2443">
        <v>249</v>
      </c>
      <c r="F2443">
        <v>15</v>
      </c>
      <c r="G2443">
        <v>58</v>
      </c>
      <c r="H2443">
        <v>27</v>
      </c>
    </row>
    <row r="2444" spans="1:8" x14ac:dyDescent="0.25">
      <c r="A2444" t="s">
        <v>3108</v>
      </c>
      <c r="B2444" t="s">
        <v>245</v>
      </c>
      <c r="C2444" t="s">
        <v>100</v>
      </c>
      <c r="D2444" t="s">
        <v>235</v>
      </c>
      <c r="E2444">
        <v>236</v>
      </c>
      <c r="F2444">
        <v>17</v>
      </c>
      <c r="G2444">
        <v>59</v>
      </c>
      <c r="H2444">
        <v>24</v>
      </c>
    </row>
    <row r="2445" spans="1:8" x14ac:dyDescent="0.25">
      <c r="A2445" t="s">
        <v>3109</v>
      </c>
      <c r="B2445" t="s">
        <v>245</v>
      </c>
      <c r="C2445" t="s">
        <v>100</v>
      </c>
      <c r="D2445" t="s">
        <v>236</v>
      </c>
      <c r="E2445">
        <v>258</v>
      </c>
      <c r="F2445">
        <v>19</v>
      </c>
      <c r="G2445">
        <v>60</v>
      </c>
      <c r="H2445">
        <v>21</v>
      </c>
    </row>
    <row r="2446" spans="1:8" x14ac:dyDescent="0.25">
      <c r="A2446" t="s">
        <v>3110</v>
      </c>
      <c r="B2446" t="s">
        <v>245</v>
      </c>
      <c r="C2446" t="s">
        <v>100</v>
      </c>
      <c r="D2446" t="s">
        <v>237</v>
      </c>
      <c r="E2446">
        <v>171</v>
      </c>
      <c r="F2446">
        <v>16</v>
      </c>
      <c r="G2446">
        <v>55</v>
      </c>
      <c r="H2446">
        <v>29</v>
      </c>
    </row>
    <row r="2447" spans="1:8" x14ac:dyDescent="0.25">
      <c r="A2447" t="s">
        <v>3111</v>
      </c>
      <c r="B2447" t="s">
        <v>245</v>
      </c>
      <c r="C2447" t="s">
        <v>100</v>
      </c>
      <c r="D2447" t="s">
        <v>238</v>
      </c>
      <c r="E2447">
        <v>208</v>
      </c>
      <c r="F2447">
        <v>21</v>
      </c>
      <c r="G2447">
        <v>56</v>
      </c>
      <c r="H2447">
        <v>23</v>
      </c>
    </row>
    <row r="2448" spans="1:8" x14ac:dyDescent="0.25">
      <c r="A2448" t="s">
        <v>3112</v>
      </c>
      <c r="B2448" t="s">
        <v>245</v>
      </c>
      <c r="C2448" t="s">
        <v>100</v>
      </c>
      <c r="D2448" t="s">
        <v>239</v>
      </c>
      <c r="E2448">
        <v>183</v>
      </c>
      <c r="F2448">
        <v>15</v>
      </c>
      <c r="G2448">
        <v>54</v>
      </c>
      <c r="H2448">
        <v>31</v>
      </c>
    </row>
    <row r="2449" spans="1:8" x14ac:dyDescent="0.25">
      <c r="A2449" t="s">
        <v>3113</v>
      </c>
      <c r="B2449" t="s">
        <v>245</v>
      </c>
      <c r="C2449" t="s">
        <v>100</v>
      </c>
      <c r="D2449" t="s">
        <v>47</v>
      </c>
      <c r="E2449">
        <v>185</v>
      </c>
      <c r="F2449">
        <v>17</v>
      </c>
      <c r="G2449">
        <v>57</v>
      </c>
      <c r="H2449">
        <v>26</v>
      </c>
    </row>
    <row r="2450" spans="1:8" x14ac:dyDescent="0.25">
      <c r="A2450" t="s">
        <v>3114</v>
      </c>
      <c r="B2450" t="s">
        <v>245</v>
      </c>
      <c r="C2450" t="s">
        <v>101</v>
      </c>
      <c r="D2450" t="s">
        <v>232</v>
      </c>
    </row>
    <row r="2451" spans="1:8" x14ac:dyDescent="0.25">
      <c r="A2451" t="s">
        <v>3115</v>
      </c>
      <c r="B2451" t="s">
        <v>245</v>
      </c>
      <c r="C2451" t="s">
        <v>101</v>
      </c>
      <c r="D2451" t="s">
        <v>233</v>
      </c>
    </row>
    <row r="2452" spans="1:8" x14ac:dyDescent="0.25">
      <c r="A2452" t="s">
        <v>3116</v>
      </c>
      <c r="B2452" t="s">
        <v>245</v>
      </c>
      <c r="C2452" t="s">
        <v>101</v>
      </c>
      <c r="D2452" t="s">
        <v>234</v>
      </c>
    </row>
    <row r="2453" spans="1:8" x14ac:dyDescent="0.25">
      <c r="A2453" t="s">
        <v>3117</v>
      </c>
      <c r="B2453" t="s">
        <v>245</v>
      </c>
      <c r="C2453" t="s">
        <v>101</v>
      </c>
      <c r="D2453" t="s">
        <v>235</v>
      </c>
    </row>
    <row r="2454" spans="1:8" x14ac:dyDescent="0.25">
      <c r="A2454" t="s">
        <v>3118</v>
      </c>
      <c r="B2454" t="s">
        <v>245</v>
      </c>
      <c r="C2454" t="s">
        <v>101</v>
      </c>
      <c r="D2454" t="s">
        <v>236</v>
      </c>
    </row>
    <row r="2455" spans="1:8" x14ac:dyDescent="0.25">
      <c r="A2455" t="s">
        <v>3119</v>
      </c>
      <c r="B2455" t="s">
        <v>245</v>
      </c>
      <c r="C2455" t="s">
        <v>101</v>
      </c>
      <c r="D2455" t="s">
        <v>237</v>
      </c>
    </row>
    <row r="2456" spans="1:8" x14ac:dyDescent="0.25">
      <c r="A2456" t="s">
        <v>3120</v>
      </c>
      <c r="B2456" t="s">
        <v>245</v>
      </c>
      <c r="C2456" t="s">
        <v>101</v>
      </c>
      <c r="D2456" t="s">
        <v>238</v>
      </c>
    </row>
    <row r="2457" spans="1:8" x14ac:dyDescent="0.25">
      <c r="A2457" t="s">
        <v>3121</v>
      </c>
      <c r="B2457" t="s">
        <v>245</v>
      </c>
      <c r="C2457" t="s">
        <v>101</v>
      </c>
      <c r="D2457" t="s">
        <v>239</v>
      </c>
    </row>
    <row r="2458" spans="1:8" x14ac:dyDescent="0.25">
      <c r="A2458" t="s">
        <v>3122</v>
      </c>
      <c r="B2458" t="s">
        <v>245</v>
      </c>
      <c r="C2458" t="s">
        <v>101</v>
      </c>
      <c r="D2458" t="s">
        <v>47</v>
      </c>
    </row>
    <row r="2459" spans="1:8" x14ac:dyDescent="0.25">
      <c r="A2459" t="s">
        <v>3123</v>
      </c>
      <c r="B2459" t="s">
        <v>245</v>
      </c>
      <c r="C2459" t="s">
        <v>102</v>
      </c>
      <c r="D2459" t="s">
        <v>232</v>
      </c>
      <c r="E2459">
        <v>203</v>
      </c>
      <c r="F2459">
        <v>23</v>
      </c>
      <c r="G2459">
        <v>46</v>
      </c>
      <c r="H2459">
        <v>31</v>
      </c>
    </row>
    <row r="2460" spans="1:8" x14ac:dyDescent="0.25">
      <c r="A2460" t="s">
        <v>3124</v>
      </c>
      <c r="B2460" t="s">
        <v>245</v>
      </c>
      <c r="C2460" t="s">
        <v>102</v>
      </c>
      <c r="D2460" t="s">
        <v>233</v>
      </c>
      <c r="E2460">
        <v>186</v>
      </c>
      <c r="F2460">
        <v>28</v>
      </c>
      <c r="G2460">
        <v>50</v>
      </c>
      <c r="H2460">
        <v>22</v>
      </c>
    </row>
    <row r="2461" spans="1:8" x14ac:dyDescent="0.25">
      <c r="A2461" t="s">
        <v>3125</v>
      </c>
      <c r="B2461" t="s">
        <v>245</v>
      </c>
      <c r="C2461" t="s">
        <v>102</v>
      </c>
      <c r="D2461" t="s">
        <v>234</v>
      </c>
      <c r="E2461">
        <v>210</v>
      </c>
      <c r="F2461">
        <v>29</v>
      </c>
      <c r="G2461">
        <v>44</v>
      </c>
      <c r="H2461">
        <v>27</v>
      </c>
    </row>
    <row r="2462" spans="1:8" x14ac:dyDescent="0.25">
      <c r="A2462" t="s">
        <v>3126</v>
      </c>
      <c r="B2462" t="s">
        <v>245</v>
      </c>
      <c r="C2462" t="s">
        <v>102</v>
      </c>
      <c r="D2462" t="s">
        <v>235</v>
      </c>
      <c r="E2462">
        <v>202</v>
      </c>
      <c r="F2462">
        <v>25</v>
      </c>
      <c r="G2462">
        <v>54</v>
      </c>
      <c r="H2462">
        <v>21</v>
      </c>
    </row>
    <row r="2463" spans="1:8" x14ac:dyDescent="0.25">
      <c r="A2463" t="s">
        <v>3127</v>
      </c>
      <c r="B2463" t="s">
        <v>245</v>
      </c>
      <c r="C2463" t="s">
        <v>102</v>
      </c>
      <c r="D2463" t="s">
        <v>236</v>
      </c>
      <c r="E2463">
        <v>204</v>
      </c>
      <c r="F2463">
        <v>27</v>
      </c>
      <c r="G2463">
        <v>44</v>
      </c>
      <c r="H2463">
        <v>29</v>
      </c>
    </row>
    <row r="2464" spans="1:8" x14ac:dyDescent="0.25">
      <c r="A2464" t="s">
        <v>3128</v>
      </c>
      <c r="B2464" t="s">
        <v>245</v>
      </c>
      <c r="C2464" t="s">
        <v>102</v>
      </c>
      <c r="D2464" t="s">
        <v>237</v>
      </c>
      <c r="E2464">
        <v>139</v>
      </c>
      <c r="F2464">
        <v>21</v>
      </c>
      <c r="G2464">
        <v>46</v>
      </c>
      <c r="H2464">
        <v>33</v>
      </c>
    </row>
    <row r="2465" spans="1:8" x14ac:dyDescent="0.25">
      <c r="A2465" t="s">
        <v>3129</v>
      </c>
      <c r="B2465" t="s">
        <v>245</v>
      </c>
      <c r="C2465" t="s">
        <v>102</v>
      </c>
      <c r="D2465" t="s">
        <v>238</v>
      </c>
      <c r="E2465">
        <v>155</v>
      </c>
      <c r="F2465">
        <v>23</v>
      </c>
      <c r="G2465">
        <v>48</v>
      </c>
      <c r="H2465">
        <v>29</v>
      </c>
    </row>
    <row r="2466" spans="1:8" x14ac:dyDescent="0.25">
      <c r="A2466" t="s">
        <v>3130</v>
      </c>
      <c r="B2466" t="s">
        <v>245</v>
      </c>
      <c r="C2466" t="s">
        <v>102</v>
      </c>
      <c r="D2466" t="s">
        <v>239</v>
      </c>
      <c r="E2466">
        <v>145</v>
      </c>
      <c r="F2466">
        <v>18</v>
      </c>
      <c r="G2466">
        <v>57</v>
      </c>
      <c r="H2466">
        <v>25</v>
      </c>
    </row>
    <row r="2467" spans="1:8" x14ac:dyDescent="0.25">
      <c r="A2467" t="s">
        <v>3131</v>
      </c>
      <c r="B2467" t="s">
        <v>245</v>
      </c>
      <c r="C2467" t="s">
        <v>102</v>
      </c>
      <c r="D2467" t="s">
        <v>47</v>
      </c>
      <c r="E2467">
        <v>146</v>
      </c>
      <c r="F2467">
        <v>32</v>
      </c>
      <c r="G2467">
        <v>46</v>
      </c>
      <c r="H2467">
        <v>22</v>
      </c>
    </row>
    <row r="2468" spans="1:8" x14ac:dyDescent="0.25">
      <c r="A2468" t="s">
        <v>3132</v>
      </c>
      <c r="B2468" t="s">
        <v>245</v>
      </c>
      <c r="C2468" t="s">
        <v>31</v>
      </c>
      <c r="D2468" t="s">
        <v>232</v>
      </c>
      <c r="E2468">
        <v>239</v>
      </c>
      <c r="F2468">
        <v>30</v>
      </c>
      <c r="G2468">
        <v>53</v>
      </c>
      <c r="H2468">
        <v>17</v>
      </c>
    </row>
    <row r="2469" spans="1:8" x14ac:dyDescent="0.25">
      <c r="A2469" t="s">
        <v>3133</v>
      </c>
      <c r="B2469" t="s">
        <v>245</v>
      </c>
      <c r="C2469" t="s">
        <v>31</v>
      </c>
      <c r="D2469" t="s">
        <v>233</v>
      </c>
      <c r="E2469">
        <v>226</v>
      </c>
      <c r="F2469">
        <v>31</v>
      </c>
      <c r="G2469">
        <v>50</v>
      </c>
      <c r="H2469">
        <v>19</v>
      </c>
    </row>
    <row r="2470" spans="1:8" x14ac:dyDescent="0.25">
      <c r="A2470" t="s">
        <v>3134</v>
      </c>
      <c r="B2470" t="s">
        <v>245</v>
      </c>
      <c r="C2470" t="s">
        <v>31</v>
      </c>
      <c r="D2470" t="s">
        <v>234</v>
      </c>
      <c r="E2470">
        <v>249</v>
      </c>
      <c r="F2470">
        <v>29</v>
      </c>
      <c r="G2470">
        <v>49</v>
      </c>
      <c r="H2470">
        <v>22</v>
      </c>
    </row>
    <row r="2471" spans="1:8" x14ac:dyDescent="0.25">
      <c r="A2471" t="s">
        <v>3135</v>
      </c>
      <c r="B2471" t="s">
        <v>245</v>
      </c>
      <c r="C2471" t="s">
        <v>31</v>
      </c>
      <c r="D2471" t="s">
        <v>235</v>
      </c>
      <c r="E2471">
        <v>241</v>
      </c>
      <c r="F2471">
        <v>35</v>
      </c>
      <c r="G2471">
        <v>46</v>
      </c>
      <c r="H2471">
        <v>19</v>
      </c>
    </row>
    <row r="2472" spans="1:8" x14ac:dyDescent="0.25">
      <c r="A2472" t="s">
        <v>3136</v>
      </c>
      <c r="B2472" t="s">
        <v>245</v>
      </c>
      <c r="C2472" t="s">
        <v>31</v>
      </c>
      <c r="D2472" t="s">
        <v>236</v>
      </c>
      <c r="E2472">
        <v>263</v>
      </c>
      <c r="F2472">
        <v>29</v>
      </c>
      <c r="G2472">
        <v>47</v>
      </c>
      <c r="H2472">
        <v>24</v>
      </c>
    </row>
    <row r="2473" spans="1:8" x14ac:dyDescent="0.25">
      <c r="A2473" t="s">
        <v>3137</v>
      </c>
      <c r="B2473" t="s">
        <v>245</v>
      </c>
      <c r="C2473" t="s">
        <v>31</v>
      </c>
      <c r="D2473" t="s">
        <v>237</v>
      </c>
      <c r="E2473">
        <v>173</v>
      </c>
      <c r="F2473">
        <v>26</v>
      </c>
      <c r="G2473">
        <v>47</v>
      </c>
      <c r="H2473">
        <v>27</v>
      </c>
    </row>
    <row r="2474" spans="1:8" x14ac:dyDescent="0.25">
      <c r="A2474" t="s">
        <v>3138</v>
      </c>
      <c r="B2474" t="s">
        <v>245</v>
      </c>
      <c r="C2474" t="s">
        <v>31</v>
      </c>
      <c r="D2474" t="s">
        <v>238</v>
      </c>
      <c r="E2474">
        <v>205</v>
      </c>
      <c r="F2474">
        <v>28</v>
      </c>
      <c r="G2474">
        <v>46</v>
      </c>
      <c r="H2474">
        <v>26</v>
      </c>
    </row>
    <row r="2475" spans="1:8" x14ac:dyDescent="0.25">
      <c r="A2475" t="s">
        <v>3139</v>
      </c>
      <c r="B2475" t="s">
        <v>245</v>
      </c>
      <c r="C2475" t="s">
        <v>31</v>
      </c>
      <c r="D2475" t="s">
        <v>239</v>
      </c>
      <c r="E2475">
        <v>183</v>
      </c>
      <c r="F2475">
        <v>30</v>
      </c>
      <c r="G2475">
        <v>42</v>
      </c>
      <c r="H2475">
        <v>28</v>
      </c>
    </row>
    <row r="2476" spans="1:8" x14ac:dyDescent="0.25">
      <c r="A2476" t="s">
        <v>3140</v>
      </c>
      <c r="B2476" t="s">
        <v>245</v>
      </c>
      <c r="C2476" t="s">
        <v>31</v>
      </c>
      <c r="D2476" t="s">
        <v>47</v>
      </c>
      <c r="E2476">
        <v>187</v>
      </c>
      <c r="F2476">
        <v>30</v>
      </c>
      <c r="G2476">
        <v>46</v>
      </c>
      <c r="H2476">
        <v>24</v>
      </c>
    </row>
    <row r="2477" spans="1:8" x14ac:dyDescent="0.25">
      <c r="A2477" t="s">
        <v>3141</v>
      </c>
      <c r="B2477" t="s">
        <v>169</v>
      </c>
      <c r="C2477" t="s">
        <v>103</v>
      </c>
      <c r="D2477" t="s">
        <v>232</v>
      </c>
      <c r="E2477">
        <v>182</v>
      </c>
      <c r="F2477">
        <v>14</v>
      </c>
      <c r="G2477">
        <v>72</v>
      </c>
      <c r="H2477">
        <v>14</v>
      </c>
    </row>
    <row r="2478" spans="1:8" x14ac:dyDescent="0.25">
      <c r="A2478" t="s">
        <v>3142</v>
      </c>
      <c r="B2478" t="s">
        <v>169</v>
      </c>
      <c r="C2478" t="s">
        <v>103</v>
      </c>
      <c r="D2478" t="s">
        <v>233</v>
      </c>
      <c r="E2478">
        <v>166</v>
      </c>
      <c r="F2478">
        <v>14</v>
      </c>
      <c r="G2478">
        <v>75</v>
      </c>
      <c r="H2478">
        <v>11</v>
      </c>
    </row>
    <row r="2479" spans="1:8" x14ac:dyDescent="0.25">
      <c r="A2479" t="s">
        <v>3143</v>
      </c>
      <c r="B2479" t="s">
        <v>169</v>
      </c>
      <c r="C2479" t="s">
        <v>103</v>
      </c>
      <c r="D2479" t="s">
        <v>234</v>
      </c>
      <c r="E2479">
        <v>163</v>
      </c>
      <c r="F2479">
        <v>11</v>
      </c>
      <c r="G2479">
        <v>68</v>
      </c>
      <c r="H2479">
        <v>21</v>
      </c>
    </row>
    <row r="2480" spans="1:8" x14ac:dyDescent="0.25">
      <c r="A2480" t="s">
        <v>3144</v>
      </c>
      <c r="B2480" t="s">
        <v>169</v>
      </c>
      <c r="C2480" t="s">
        <v>103</v>
      </c>
      <c r="D2480" t="s">
        <v>235</v>
      </c>
      <c r="E2480">
        <v>170</v>
      </c>
      <c r="F2480">
        <v>12</v>
      </c>
      <c r="G2480">
        <v>69</v>
      </c>
      <c r="H2480">
        <v>19</v>
      </c>
    </row>
    <row r="2481" spans="1:8" x14ac:dyDescent="0.25">
      <c r="A2481" t="s">
        <v>3145</v>
      </c>
      <c r="B2481" t="s">
        <v>169</v>
      </c>
      <c r="C2481" t="s">
        <v>103</v>
      </c>
      <c r="D2481" t="s">
        <v>236</v>
      </c>
      <c r="E2481">
        <v>151</v>
      </c>
      <c r="F2481">
        <v>9</v>
      </c>
      <c r="G2481">
        <v>67</v>
      </c>
      <c r="H2481">
        <v>24</v>
      </c>
    </row>
    <row r="2482" spans="1:8" x14ac:dyDescent="0.25">
      <c r="A2482" t="s">
        <v>3146</v>
      </c>
      <c r="B2482" t="s">
        <v>169</v>
      </c>
      <c r="C2482" t="s">
        <v>103</v>
      </c>
      <c r="D2482" t="s">
        <v>237</v>
      </c>
      <c r="E2482">
        <v>141</v>
      </c>
      <c r="F2482">
        <v>9</v>
      </c>
      <c r="G2482">
        <v>68</v>
      </c>
      <c r="H2482">
        <v>23</v>
      </c>
    </row>
    <row r="2483" spans="1:8" x14ac:dyDescent="0.25">
      <c r="A2483" t="s">
        <v>3147</v>
      </c>
      <c r="B2483" t="s">
        <v>169</v>
      </c>
      <c r="C2483" t="s">
        <v>103</v>
      </c>
      <c r="D2483" t="s">
        <v>238</v>
      </c>
      <c r="E2483">
        <v>199</v>
      </c>
      <c r="F2483">
        <v>8</v>
      </c>
      <c r="G2483">
        <v>73</v>
      </c>
      <c r="H2483">
        <v>19</v>
      </c>
    </row>
    <row r="2484" spans="1:8" x14ac:dyDescent="0.25">
      <c r="A2484" t="s">
        <v>3148</v>
      </c>
      <c r="B2484" t="s">
        <v>169</v>
      </c>
      <c r="C2484" t="s">
        <v>103</v>
      </c>
      <c r="D2484" t="s">
        <v>239</v>
      </c>
      <c r="E2484">
        <v>171</v>
      </c>
      <c r="F2484">
        <v>5</v>
      </c>
      <c r="G2484">
        <v>71</v>
      </c>
      <c r="H2484">
        <v>24</v>
      </c>
    </row>
    <row r="2485" spans="1:8" x14ac:dyDescent="0.25">
      <c r="A2485" t="s">
        <v>3149</v>
      </c>
      <c r="B2485" t="s">
        <v>169</v>
      </c>
      <c r="C2485" t="s">
        <v>103</v>
      </c>
      <c r="D2485" t="s">
        <v>47</v>
      </c>
      <c r="E2485">
        <v>143</v>
      </c>
      <c r="F2485">
        <v>7</v>
      </c>
      <c r="G2485">
        <v>69</v>
      </c>
      <c r="H2485">
        <v>24</v>
      </c>
    </row>
    <row r="2486" spans="1:8" x14ac:dyDescent="0.25">
      <c r="A2486" t="s">
        <v>3150</v>
      </c>
      <c r="B2486" t="s">
        <v>169</v>
      </c>
      <c r="C2486" t="s">
        <v>100</v>
      </c>
      <c r="D2486" t="s">
        <v>232</v>
      </c>
      <c r="E2486">
        <v>184</v>
      </c>
      <c r="F2486">
        <v>15</v>
      </c>
      <c r="G2486">
        <v>59</v>
      </c>
      <c r="H2486">
        <v>26</v>
      </c>
    </row>
    <row r="2487" spans="1:8" x14ac:dyDescent="0.25">
      <c r="A2487" t="s">
        <v>3151</v>
      </c>
      <c r="B2487" t="s">
        <v>169</v>
      </c>
      <c r="C2487" t="s">
        <v>100</v>
      </c>
      <c r="D2487" t="s">
        <v>233</v>
      </c>
      <c r="E2487">
        <v>174</v>
      </c>
      <c r="F2487">
        <v>14</v>
      </c>
      <c r="G2487">
        <v>62</v>
      </c>
      <c r="H2487">
        <v>24</v>
      </c>
    </row>
    <row r="2488" spans="1:8" x14ac:dyDescent="0.25">
      <c r="A2488" t="s">
        <v>3152</v>
      </c>
      <c r="B2488" t="s">
        <v>169</v>
      </c>
      <c r="C2488" t="s">
        <v>100</v>
      </c>
      <c r="D2488" t="s">
        <v>234</v>
      </c>
      <c r="E2488">
        <v>169</v>
      </c>
      <c r="F2488">
        <v>14</v>
      </c>
      <c r="G2488">
        <v>64</v>
      </c>
      <c r="H2488">
        <v>22</v>
      </c>
    </row>
    <row r="2489" spans="1:8" x14ac:dyDescent="0.25">
      <c r="A2489" t="s">
        <v>3153</v>
      </c>
      <c r="B2489" t="s">
        <v>169</v>
      </c>
      <c r="C2489" t="s">
        <v>100</v>
      </c>
      <c r="D2489" t="s">
        <v>235</v>
      </c>
      <c r="E2489">
        <v>175</v>
      </c>
      <c r="F2489">
        <v>20</v>
      </c>
      <c r="G2489">
        <v>52</v>
      </c>
      <c r="H2489">
        <v>28</v>
      </c>
    </row>
    <row r="2490" spans="1:8" x14ac:dyDescent="0.25">
      <c r="A2490" t="s">
        <v>3154</v>
      </c>
      <c r="B2490" t="s">
        <v>169</v>
      </c>
      <c r="C2490" t="s">
        <v>100</v>
      </c>
      <c r="D2490" t="s">
        <v>236</v>
      </c>
      <c r="E2490">
        <v>156</v>
      </c>
      <c r="F2490">
        <v>19</v>
      </c>
      <c r="G2490">
        <v>48</v>
      </c>
      <c r="H2490">
        <v>33</v>
      </c>
    </row>
    <row r="2491" spans="1:8" x14ac:dyDescent="0.25">
      <c r="A2491" t="s">
        <v>3155</v>
      </c>
      <c r="B2491" t="s">
        <v>169</v>
      </c>
      <c r="C2491" t="s">
        <v>100</v>
      </c>
      <c r="D2491" t="s">
        <v>237</v>
      </c>
      <c r="E2491">
        <v>156</v>
      </c>
      <c r="F2491">
        <v>18</v>
      </c>
      <c r="G2491">
        <v>56</v>
      </c>
      <c r="H2491">
        <v>26</v>
      </c>
    </row>
    <row r="2492" spans="1:8" x14ac:dyDescent="0.25">
      <c r="A2492" t="s">
        <v>3156</v>
      </c>
      <c r="B2492" t="s">
        <v>169</v>
      </c>
      <c r="C2492" t="s">
        <v>100</v>
      </c>
      <c r="D2492" t="s">
        <v>238</v>
      </c>
      <c r="E2492">
        <v>215</v>
      </c>
      <c r="F2492">
        <v>23</v>
      </c>
      <c r="G2492">
        <v>52</v>
      </c>
      <c r="H2492">
        <v>25</v>
      </c>
    </row>
    <row r="2493" spans="1:8" x14ac:dyDescent="0.25">
      <c r="A2493" t="s">
        <v>3157</v>
      </c>
      <c r="B2493" t="s">
        <v>169</v>
      </c>
      <c r="C2493" t="s">
        <v>100</v>
      </c>
      <c r="D2493" t="s">
        <v>239</v>
      </c>
      <c r="E2493">
        <v>186</v>
      </c>
      <c r="F2493">
        <v>18</v>
      </c>
      <c r="G2493">
        <v>48</v>
      </c>
      <c r="H2493">
        <v>34</v>
      </c>
    </row>
    <row r="2494" spans="1:8" x14ac:dyDescent="0.25">
      <c r="A2494" t="s">
        <v>3158</v>
      </c>
      <c r="B2494" t="s">
        <v>169</v>
      </c>
      <c r="C2494" t="s">
        <v>100</v>
      </c>
      <c r="D2494" t="s">
        <v>47</v>
      </c>
      <c r="E2494">
        <v>149</v>
      </c>
      <c r="F2494">
        <v>18</v>
      </c>
      <c r="G2494">
        <v>55</v>
      </c>
      <c r="H2494">
        <v>27</v>
      </c>
    </row>
    <row r="2495" spans="1:8" x14ac:dyDescent="0.25">
      <c r="A2495" t="s">
        <v>3159</v>
      </c>
      <c r="B2495" t="s">
        <v>169</v>
      </c>
      <c r="C2495" t="s">
        <v>101</v>
      </c>
      <c r="D2495" t="s">
        <v>232</v>
      </c>
    </row>
    <row r="2496" spans="1:8" x14ac:dyDescent="0.25">
      <c r="A2496" t="s">
        <v>3160</v>
      </c>
      <c r="B2496" t="s">
        <v>169</v>
      </c>
      <c r="C2496" t="s">
        <v>101</v>
      </c>
      <c r="D2496" t="s">
        <v>233</v>
      </c>
    </row>
    <row r="2497" spans="1:8" x14ac:dyDescent="0.25">
      <c r="A2497" t="s">
        <v>3161</v>
      </c>
      <c r="B2497" t="s">
        <v>169</v>
      </c>
      <c r="C2497" t="s">
        <v>101</v>
      </c>
      <c r="D2497" t="s">
        <v>234</v>
      </c>
    </row>
    <row r="2498" spans="1:8" x14ac:dyDescent="0.25">
      <c r="A2498" t="s">
        <v>3162</v>
      </c>
      <c r="B2498" t="s">
        <v>169</v>
      </c>
      <c r="C2498" t="s">
        <v>101</v>
      </c>
      <c r="D2498" t="s">
        <v>235</v>
      </c>
    </row>
    <row r="2499" spans="1:8" x14ac:dyDescent="0.25">
      <c r="A2499" t="s">
        <v>3163</v>
      </c>
      <c r="B2499" t="s">
        <v>169</v>
      </c>
      <c r="C2499" t="s">
        <v>101</v>
      </c>
      <c r="D2499" t="s">
        <v>236</v>
      </c>
    </row>
    <row r="2500" spans="1:8" x14ac:dyDescent="0.25">
      <c r="A2500" t="s">
        <v>3164</v>
      </c>
      <c r="B2500" t="s">
        <v>169</v>
      </c>
      <c r="C2500" t="s">
        <v>101</v>
      </c>
      <c r="D2500" t="s">
        <v>237</v>
      </c>
    </row>
    <row r="2501" spans="1:8" x14ac:dyDescent="0.25">
      <c r="A2501" t="s">
        <v>3165</v>
      </c>
      <c r="B2501" t="s">
        <v>169</v>
      </c>
      <c r="C2501" t="s">
        <v>101</v>
      </c>
      <c r="D2501" t="s">
        <v>238</v>
      </c>
    </row>
    <row r="2502" spans="1:8" x14ac:dyDescent="0.25">
      <c r="A2502" t="s">
        <v>3166</v>
      </c>
      <c r="B2502" t="s">
        <v>169</v>
      </c>
      <c r="C2502" t="s">
        <v>101</v>
      </c>
      <c r="D2502" t="s">
        <v>239</v>
      </c>
    </row>
    <row r="2503" spans="1:8" x14ac:dyDescent="0.25">
      <c r="A2503" t="s">
        <v>3167</v>
      </c>
      <c r="B2503" t="s">
        <v>169</v>
      </c>
      <c r="C2503" t="s">
        <v>101</v>
      </c>
      <c r="D2503" t="s">
        <v>47</v>
      </c>
    </row>
    <row r="2504" spans="1:8" x14ac:dyDescent="0.25">
      <c r="A2504" t="s">
        <v>3168</v>
      </c>
      <c r="B2504" t="s">
        <v>169</v>
      </c>
      <c r="C2504" t="s">
        <v>102</v>
      </c>
      <c r="D2504" t="s">
        <v>232</v>
      </c>
      <c r="E2504">
        <v>154</v>
      </c>
      <c r="F2504">
        <v>33</v>
      </c>
      <c r="G2504">
        <v>39</v>
      </c>
      <c r="H2504">
        <v>28</v>
      </c>
    </row>
    <row r="2505" spans="1:8" x14ac:dyDescent="0.25">
      <c r="A2505" t="s">
        <v>3169</v>
      </c>
      <c r="B2505" t="s">
        <v>169</v>
      </c>
      <c r="C2505" t="s">
        <v>102</v>
      </c>
      <c r="D2505" t="s">
        <v>233</v>
      </c>
      <c r="E2505">
        <v>144</v>
      </c>
      <c r="F2505">
        <v>28</v>
      </c>
      <c r="G2505">
        <v>44</v>
      </c>
      <c r="H2505">
        <v>28</v>
      </c>
    </row>
    <row r="2506" spans="1:8" x14ac:dyDescent="0.25">
      <c r="A2506" t="s">
        <v>3170</v>
      </c>
      <c r="B2506" t="s">
        <v>169</v>
      </c>
      <c r="C2506" t="s">
        <v>102</v>
      </c>
      <c r="D2506" t="s">
        <v>234</v>
      </c>
      <c r="E2506">
        <v>142</v>
      </c>
      <c r="F2506">
        <v>27</v>
      </c>
      <c r="G2506">
        <v>45</v>
      </c>
      <c r="H2506">
        <v>28</v>
      </c>
    </row>
    <row r="2507" spans="1:8" x14ac:dyDescent="0.25">
      <c r="A2507" t="s">
        <v>3171</v>
      </c>
      <c r="B2507" t="s">
        <v>169</v>
      </c>
      <c r="C2507" t="s">
        <v>102</v>
      </c>
      <c r="D2507" t="s">
        <v>235</v>
      </c>
      <c r="E2507">
        <v>151</v>
      </c>
      <c r="F2507">
        <v>26</v>
      </c>
      <c r="G2507">
        <v>41</v>
      </c>
      <c r="H2507">
        <v>33</v>
      </c>
    </row>
    <row r="2508" spans="1:8" x14ac:dyDescent="0.25">
      <c r="A2508" t="s">
        <v>3172</v>
      </c>
      <c r="B2508" t="s">
        <v>169</v>
      </c>
      <c r="C2508" t="s">
        <v>102</v>
      </c>
      <c r="D2508" t="s">
        <v>236</v>
      </c>
      <c r="E2508">
        <v>112</v>
      </c>
      <c r="F2508">
        <v>24</v>
      </c>
      <c r="G2508">
        <v>40</v>
      </c>
      <c r="H2508">
        <v>36</v>
      </c>
    </row>
    <row r="2509" spans="1:8" x14ac:dyDescent="0.25">
      <c r="A2509" t="s">
        <v>3173</v>
      </c>
      <c r="B2509" t="s">
        <v>169</v>
      </c>
      <c r="C2509" t="s">
        <v>102</v>
      </c>
      <c r="D2509" t="s">
        <v>237</v>
      </c>
      <c r="E2509">
        <v>125</v>
      </c>
      <c r="F2509">
        <v>28</v>
      </c>
      <c r="G2509">
        <v>44</v>
      </c>
      <c r="H2509">
        <v>28</v>
      </c>
    </row>
    <row r="2510" spans="1:8" x14ac:dyDescent="0.25">
      <c r="A2510" t="s">
        <v>3174</v>
      </c>
      <c r="B2510" t="s">
        <v>169</v>
      </c>
      <c r="C2510" t="s">
        <v>102</v>
      </c>
      <c r="D2510" t="s">
        <v>238</v>
      </c>
      <c r="E2510">
        <v>166</v>
      </c>
      <c r="F2510">
        <v>30</v>
      </c>
      <c r="G2510">
        <v>42</v>
      </c>
      <c r="H2510">
        <v>28</v>
      </c>
    </row>
    <row r="2511" spans="1:8" x14ac:dyDescent="0.25">
      <c r="A2511" t="s">
        <v>3175</v>
      </c>
      <c r="B2511" t="s">
        <v>169</v>
      </c>
      <c r="C2511" t="s">
        <v>102</v>
      </c>
      <c r="D2511" t="s">
        <v>239</v>
      </c>
      <c r="E2511">
        <v>144</v>
      </c>
      <c r="F2511">
        <v>30</v>
      </c>
      <c r="G2511">
        <v>36</v>
      </c>
      <c r="H2511">
        <v>34</v>
      </c>
    </row>
    <row r="2512" spans="1:8" x14ac:dyDescent="0.25">
      <c r="A2512" t="s">
        <v>3176</v>
      </c>
      <c r="B2512" t="s">
        <v>169</v>
      </c>
      <c r="C2512" t="s">
        <v>102</v>
      </c>
      <c r="D2512" t="s">
        <v>47</v>
      </c>
      <c r="E2512">
        <v>121</v>
      </c>
      <c r="F2512">
        <v>28</v>
      </c>
      <c r="G2512">
        <v>42</v>
      </c>
      <c r="H2512">
        <v>30</v>
      </c>
    </row>
    <row r="2513" spans="1:8" x14ac:dyDescent="0.25">
      <c r="A2513" t="s">
        <v>3177</v>
      </c>
      <c r="B2513" t="s">
        <v>169</v>
      </c>
      <c r="C2513" t="s">
        <v>31</v>
      </c>
      <c r="D2513" t="s">
        <v>232</v>
      </c>
      <c r="E2513">
        <v>186</v>
      </c>
      <c r="F2513">
        <v>36</v>
      </c>
      <c r="G2513">
        <v>47</v>
      </c>
      <c r="H2513">
        <v>17</v>
      </c>
    </row>
    <row r="2514" spans="1:8" x14ac:dyDescent="0.25">
      <c r="A2514" t="s">
        <v>3178</v>
      </c>
      <c r="B2514" t="s">
        <v>169</v>
      </c>
      <c r="C2514" t="s">
        <v>31</v>
      </c>
      <c r="D2514" t="s">
        <v>233</v>
      </c>
      <c r="E2514">
        <v>178</v>
      </c>
      <c r="F2514">
        <v>34</v>
      </c>
      <c r="G2514">
        <v>52</v>
      </c>
      <c r="H2514">
        <v>14</v>
      </c>
    </row>
    <row r="2515" spans="1:8" x14ac:dyDescent="0.25">
      <c r="A2515" t="s">
        <v>3179</v>
      </c>
      <c r="B2515" t="s">
        <v>169</v>
      </c>
      <c r="C2515" t="s">
        <v>31</v>
      </c>
      <c r="D2515" t="s">
        <v>234</v>
      </c>
      <c r="E2515">
        <v>173</v>
      </c>
      <c r="F2515">
        <v>31</v>
      </c>
      <c r="G2515">
        <v>54</v>
      </c>
      <c r="H2515">
        <v>15</v>
      </c>
    </row>
    <row r="2516" spans="1:8" x14ac:dyDescent="0.25">
      <c r="A2516" t="s">
        <v>3180</v>
      </c>
      <c r="B2516" t="s">
        <v>169</v>
      </c>
      <c r="C2516" t="s">
        <v>31</v>
      </c>
      <c r="D2516" t="s">
        <v>235</v>
      </c>
      <c r="E2516">
        <v>182</v>
      </c>
      <c r="F2516">
        <v>36</v>
      </c>
      <c r="G2516">
        <v>45</v>
      </c>
      <c r="H2516">
        <v>19</v>
      </c>
    </row>
    <row r="2517" spans="1:8" x14ac:dyDescent="0.25">
      <c r="A2517" t="s">
        <v>3181</v>
      </c>
      <c r="B2517" t="s">
        <v>169</v>
      </c>
      <c r="C2517" t="s">
        <v>31</v>
      </c>
      <c r="D2517" t="s">
        <v>236</v>
      </c>
      <c r="E2517">
        <v>160</v>
      </c>
      <c r="F2517">
        <v>28</v>
      </c>
      <c r="G2517">
        <v>50</v>
      </c>
      <c r="H2517">
        <v>22</v>
      </c>
    </row>
    <row r="2518" spans="1:8" x14ac:dyDescent="0.25">
      <c r="A2518" t="s">
        <v>3182</v>
      </c>
      <c r="B2518" t="s">
        <v>169</v>
      </c>
      <c r="C2518" t="s">
        <v>31</v>
      </c>
      <c r="D2518" t="s">
        <v>237</v>
      </c>
      <c r="E2518">
        <v>160</v>
      </c>
      <c r="F2518">
        <v>32</v>
      </c>
      <c r="G2518">
        <v>50</v>
      </c>
      <c r="H2518">
        <v>18</v>
      </c>
    </row>
    <row r="2519" spans="1:8" x14ac:dyDescent="0.25">
      <c r="A2519" t="s">
        <v>3183</v>
      </c>
      <c r="B2519" t="s">
        <v>169</v>
      </c>
      <c r="C2519" t="s">
        <v>31</v>
      </c>
      <c r="D2519" t="s">
        <v>238</v>
      </c>
      <c r="E2519">
        <v>216</v>
      </c>
      <c r="F2519">
        <v>34</v>
      </c>
      <c r="G2519">
        <v>47</v>
      </c>
      <c r="H2519">
        <v>19</v>
      </c>
    </row>
    <row r="2520" spans="1:8" x14ac:dyDescent="0.25">
      <c r="A2520" t="s">
        <v>3184</v>
      </c>
      <c r="B2520" t="s">
        <v>169</v>
      </c>
      <c r="C2520" t="s">
        <v>31</v>
      </c>
      <c r="D2520" t="s">
        <v>239</v>
      </c>
      <c r="E2520">
        <v>185</v>
      </c>
      <c r="F2520">
        <v>23</v>
      </c>
      <c r="G2520">
        <v>55</v>
      </c>
      <c r="H2520">
        <v>22</v>
      </c>
    </row>
    <row r="2521" spans="1:8" x14ac:dyDescent="0.25">
      <c r="A2521" t="s">
        <v>3185</v>
      </c>
      <c r="B2521" t="s">
        <v>169</v>
      </c>
      <c r="C2521" t="s">
        <v>31</v>
      </c>
      <c r="D2521" t="s">
        <v>47</v>
      </c>
      <c r="E2521">
        <v>148</v>
      </c>
      <c r="F2521">
        <v>27</v>
      </c>
      <c r="G2521">
        <v>59</v>
      </c>
      <c r="H2521">
        <v>14</v>
      </c>
    </row>
    <row r="2522" spans="1:8" x14ac:dyDescent="0.25">
      <c r="A2522" t="s">
        <v>3186</v>
      </c>
      <c r="B2522" t="s">
        <v>246</v>
      </c>
      <c r="C2522" t="s">
        <v>103</v>
      </c>
      <c r="D2522" t="s">
        <v>232</v>
      </c>
      <c r="E2522">
        <v>413</v>
      </c>
      <c r="F2522">
        <v>19</v>
      </c>
      <c r="G2522">
        <v>67</v>
      </c>
      <c r="H2522">
        <v>14</v>
      </c>
    </row>
    <row r="2523" spans="1:8" x14ac:dyDescent="0.25">
      <c r="A2523" t="s">
        <v>3187</v>
      </c>
      <c r="B2523" t="s">
        <v>246</v>
      </c>
      <c r="C2523" t="s">
        <v>103</v>
      </c>
      <c r="D2523" t="s">
        <v>233</v>
      </c>
      <c r="E2523">
        <v>379</v>
      </c>
      <c r="F2523">
        <v>19</v>
      </c>
      <c r="G2523">
        <v>66</v>
      </c>
      <c r="H2523">
        <v>15</v>
      </c>
    </row>
    <row r="2524" spans="1:8" x14ac:dyDescent="0.25">
      <c r="A2524" t="s">
        <v>3188</v>
      </c>
      <c r="B2524" t="s">
        <v>246</v>
      </c>
      <c r="C2524" t="s">
        <v>103</v>
      </c>
      <c r="D2524" t="s">
        <v>234</v>
      </c>
      <c r="E2524">
        <v>404</v>
      </c>
      <c r="F2524">
        <v>17</v>
      </c>
      <c r="G2524">
        <v>65</v>
      </c>
      <c r="H2524">
        <v>18</v>
      </c>
    </row>
    <row r="2525" spans="1:8" x14ac:dyDescent="0.25">
      <c r="A2525" t="s">
        <v>3189</v>
      </c>
      <c r="B2525" t="s">
        <v>246</v>
      </c>
      <c r="C2525" t="s">
        <v>103</v>
      </c>
      <c r="D2525" t="s">
        <v>235</v>
      </c>
      <c r="E2525">
        <v>376</v>
      </c>
      <c r="F2525">
        <v>11</v>
      </c>
      <c r="G2525">
        <v>75</v>
      </c>
      <c r="H2525">
        <v>14</v>
      </c>
    </row>
    <row r="2526" spans="1:8" x14ac:dyDescent="0.25">
      <c r="A2526" t="s">
        <v>3190</v>
      </c>
      <c r="B2526" t="s">
        <v>246</v>
      </c>
      <c r="C2526" t="s">
        <v>103</v>
      </c>
      <c r="D2526" t="s">
        <v>236</v>
      </c>
      <c r="E2526">
        <v>437</v>
      </c>
      <c r="F2526">
        <v>17</v>
      </c>
      <c r="G2526">
        <v>68</v>
      </c>
      <c r="H2526">
        <v>15</v>
      </c>
    </row>
    <row r="2527" spans="1:8" x14ac:dyDescent="0.25">
      <c r="A2527" t="s">
        <v>3191</v>
      </c>
      <c r="B2527" t="s">
        <v>246</v>
      </c>
      <c r="C2527" t="s">
        <v>103</v>
      </c>
      <c r="D2527" t="s">
        <v>237</v>
      </c>
      <c r="E2527">
        <v>298</v>
      </c>
      <c r="F2527">
        <v>11</v>
      </c>
      <c r="G2527">
        <v>71</v>
      </c>
      <c r="H2527">
        <v>18</v>
      </c>
    </row>
    <row r="2528" spans="1:8" x14ac:dyDescent="0.25">
      <c r="A2528" t="s">
        <v>3192</v>
      </c>
      <c r="B2528" t="s">
        <v>246</v>
      </c>
      <c r="C2528" t="s">
        <v>103</v>
      </c>
      <c r="D2528" t="s">
        <v>238</v>
      </c>
      <c r="E2528">
        <v>347</v>
      </c>
      <c r="F2528">
        <v>15</v>
      </c>
      <c r="G2528">
        <v>62</v>
      </c>
      <c r="H2528">
        <v>23</v>
      </c>
    </row>
    <row r="2529" spans="1:8" x14ac:dyDescent="0.25">
      <c r="A2529" t="s">
        <v>3193</v>
      </c>
      <c r="B2529" t="s">
        <v>246</v>
      </c>
      <c r="C2529" t="s">
        <v>103</v>
      </c>
      <c r="D2529" t="s">
        <v>239</v>
      </c>
      <c r="E2529">
        <v>309</v>
      </c>
      <c r="F2529">
        <v>11</v>
      </c>
      <c r="G2529">
        <v>68</v>
      </c>
      <c r="H2529">
        <v>21</v>
      </c>
    </row>
    <row r="2530" spans="1:8" x14ac:dyDescent="0.25">
      <c r="A2530" t="s">
        <v>3194</v>
      </c>
      <c r="B2530" t="s">
        <v>246</v>
      </c>
      <c r="C2530" t="s">
        <v>103</v>
      </c>
      <c r="D2530" t="s">
        <v>47</v>
      </c>
      <c r="E2530">
        <v>309</v>
      </c>
      <c r="F2530">
        <v>9</v>
      </c>
      <c r="G2530">
        <v>68</v>
      </c>
      <c r="H2530">
        <v>23</v>
      </c>
    </row>
    <row r="2531" spans="1:8" x14ac:dyDescent="0.25">
      <c r="A2531" t="s">
        <v>3195</v>
      </c>
      <c r="B2531" t="s">
        <v>246</v>
      </c>
      <c r="C2531" t="s">
        <v>100</v>
      </c>
      <c r="D2531" t="s">
        <v>232</v>
      </c>
      <c r="E2531">
        <v>439</v>
      </c>
      <c r="F2531">
        <v>19</v>
      </c>
      <c r="G2531">
        <v>58</v>
      </c>
      <c r="H2531">
        <v>23</v>
      </c>
    </row>
    <row r="2532" spans="1:8" x14ac:dyDescent="0.25">
      <c r="A2532" t="s">
        <v>3196</v>
      </c>
      <c r="B2532" t="s">
        <v>246</v>
      </c>
      <c r="C2532" t="s">
        <v>100</v>
      </c>
      <c r="D2532" t="s">
        <v>233</v>
      </c>
      <c r="E2532">
        <v>409</v>
      </c>
      <c r="F2532">
        <v>21</v>
      </c>
      <c r="G2532">
        <v>61</v>
      </c>
      <c r="H2532">
        <v>18</v>
      </c>
    </row>
    <row r="2533" spans="1:8" x14ac:dyDescent="0.25">
      <c r="A2533" t="s">
        <v>3197</v>
      </c>
      <c r="B2533" t="s">
        <v>246</v>
      </c>
      <c r="C2533" t="s">
        <v>100</v>
      </c>
      <c r="D2533" t="s">
        <v>234</v>
      </c>
      <c r="E2533">
        <v>426</v>
      </c>
      <c r="F2533">
        <v>19</v>
      </c>
      <c r="G2533">
        <v>55</v>
      </c>
      <c r="H2533">
        <v>26</v>
      </c>
    </row>
    <row r="2534" spans="1:8" x14ac:dyDescent="0.25">
      <c r="A2534" t="s">
        <v>3198</v>
      </c>
      <c r="B2534" t="s">
        <v>246</v>
      </c>
      <c r="C2534" t="s">
        <v>100</v>
      </c>
      <c r="D2534" t="s">
        <v>235</v>
      </c>
      <c r="E2534">
        <v>397</v>
      </c>
      <c r="F2534">
        <v>19</v>
      </c>
      <c r="G2534">
        <v>54</v>
      </c>
      <c r="H2534">
        <v>27</v>
      </c>
    </row>
    <row r="2535" spans="1:8" x14ac:dyDescent="0.25">
      <c r="A2535" t="s">
        <v>3199</v>
      </c>
      <c r="B2535" t="s">
        <v>246</v>
      </c>
      <c r="C2535" t="s">
        <v>100</v>
      </c>
      <c r="D2535" t="s">
        <v>236</v>
      </c>
      <c r="E2535">
        <v>463</v>
      </c>
      <c r="F2535">
        <v>18</v>
      </c>
      <c r="G2535">
        <v>59</v>
      </c>
      <c r="H2535">
        <v>23</v>
      </c>
    </row>
    <row r="2536" spans="1:8" x14ac:dyDescent="0.25">
      <c r="A2536" t="s">
        <v>3200</v>
      </c>
      <c r="B2536" t="s">
        <v>246</v>
      </c>
      <c r="C2536" t="s">
        <v>100</v>
      </c>
      <c r="D2536" t="s">
        <v>237</v>
      </c>
      <c r="E2536">
        <v>327</v>
      </c>
      <c r="F2536">
        <v>17</v>
      </c>
      <c r="G2536">
        <v>57</v>
      </c>
      <c r="H2536">
        <v>26</v>
      </c>
    </row>
    <row r="2537" spans="1:8" x14ac:dyDescent="0.25">
      <c r="A2537" t="s">
        <v>3201</v>
      </c>
      <c r="B2537" t="s">
        <v>246</v>
      </c>
      <c r="C2537" t="s">
        <v>100</v>
      </c>
      <c r="D2537" t="s">
        <v>238</v>
      </c>
      <c r="E2537">
        <v>380</v>
      </c>
      <c r="F2537">
        <v>17</v>
      </c>
      <c r="G2537">
        <v>58</v>
      </c>
      <c r="H2537">
        <v>25</v>
      </c>
    </row>
    <row r="2538" spans="1:8" x14ac:dyDescent="0.25">
      <c r="A2538" t="s">
        <v>3202</v>
      </c>
      <c r="B2538" t="s">
        <v>246</v>
      </c>
      <c r="C2538" t="s">
        <v>100</v>
      </c>
      <c r="D2538" t="s">
        <v>239</v>
      </c>
      <c r="E2538">
        <v>345</v>
      </c>
      <c r="F2538">
        <v>14</v>
      </c>
      <c r="G2538">
        <v>56</v>
      </c>
      <c r="H2538">
        <v>30</v>
      </c>
    </row>
    <row r="2539" spans="1:8" x14ac:dyDescent="0.25">
      <c r="A2539" t="s">
        <v>3203</v>
      </c>
      <c r="B2539" t="s">
        <v>246</v>
      </c>
      <c r="C2539" t="s">
        <v>100</v>
      </c>
      <c r="D2539" t="s">
        <v>47</v>
      </c>
      <c r="E2539">
        <v>343</v>
      </c>
      <c r="F2539">
        <v>15</v>
      </c>
      <c r="G2539">
        <v>59</v>
      </c>
      <c r="H2539">
        <v>26</v>
      </c>
    </row>
    <row r="2540" spans="1:8" x14ac:dyDescent="0.25">
      <c r="A2540" t="s">
        <v>3204</v>
      </c>
      <c r="B2540" t="s">
        <v>246</v>
      </c>
      <c r="C2540" t="s">
        <v>101</v>
      </c>
      <c r="D2540" t="s">
        <v>232</v>
      </c>
    </row>
    <row r="2541" spans="1:8" x14ac:dyDescent="0.25">
      <c r="A2541" t="s">
        <v>3205</v>
      </c>
      <c r="B2541" t="s">
        <v>246</v>
      </c>
      <c r="C2541" t="s">
        <v>101</v>
      </c>
      <c r="D2541" t="s">
        <v>233</v>
      </c>
    </row>
    <row r="2542" spans="1:8" x14ac:dyDescent="0.25">
      <c r="A2542" t="s">
        <v>3206</v>
      </c>
      <c r="B2542" t="s">
        <v>246</v>
      </c>
      <c r="C2542" t="s">
        <v>101</v>
      </c>
      <c r="D2542" t="s">
        <v>234</v>
      </c>
    </row>
    <row r="2543" spans="1:8" x14ac:dyDescent="0.25">
      <c r="A2543" t="s">
        <v>3207</v>
      </c>
      <c r="B2543" t="s">
        <v>246</v>
      </c>
      <c r="C2543" t="s">
        <v>101</v>
      </c>
      <c r="D2543" t="s">
        <v>235</v>
      </c>
    </row>
    <row r="2544" spans="1:8" x14ac:dyDescent="0.25">
      <c r="A2544" t="s">
        <v>3208</v>
      </c>
      <c r="B2544" t="s">
        <v>246</v>
      </c>
      <c r="C2544" t="s">
        <v>101</v>
      </c>
      <c r="D2544" t="s">
        <v>236</v>
      </c>
    </row>
    <row r="2545" spans="1:8" x14ac:dyDescent="0.25">
      <c r="A2545" t="s">
        <v>3209</v>
      </c>
      <c r="B2545" t="s">
        <v>246</v>
      </c>
      <c r="C2545" t="s">
        <v>101</v>
      </c>
      <c r="D2545" t="s">
        <v>237</v>
      </c>
    </row>
    <row r="2546" spans="1:8" x14ac:dyDescent="0.25">
      <c r="A2546" t="s">
        <v>3210</v>
      </c>
      <c r="B2546" t="s">
        <v>246</v>
      </c>
      <c r="C2546" t="s">
        <v>101</v>
      </c>
      <c r="D2546" t="s">
        <v>238</v>
      </c>
    </row>
    <row r="2547" spans="1:8" x14ac:dyDescent="0.25">
      <c r="A2547" t="s">
        <v>3211</v>
      </c>
      <c r="B2547" t="s">
        <v>246</v>
      </c>
      <c r="C2547" t="s">
        <v>101</v>
      </c>
      <c r="D2547" t="s">
        <v>239</v>
      </c>
    </row>
    <row r="2548" spans="1:8" x14ac:dyDescent="0.25">
      <c r="A2548" t="s">
        <v>3212</v>
      </c>
      <c r="B2548" t="s">
        <v>246</v>
      </c>
      <c r="C2548" t="s">
        <v>101</v>
      </c>
      <c r="D2548" t="s">
        <v>47</v>
      </c>
    </row>
    <row r="2549" spans="1:8" x14ac:dyDescent="0.25">
      <c r="A2549" t="s">
        <v>3213</v>
      </c>
      <c r="B2549" t="s">
        <v>246</v>
      </c>
      <c r="C2549" t="s">
        <v>102</v>
      </c>
      <c r="D2549" t="s">
        <v>232</v>
      </c>
      <c r="E2549">
        <v>325</v>
      </c>
      <c r="F2549">
        <v>25</v>
      </c>
      <c r="G2549">
        <v>49</v>
      </c>
      <c r="H2549">
        <v>26</v>
      </c>
    </row>
    <row r="2550" spans="1:8" x14ac:dyDescent="0.25">
      <c r="A2550" t="s">
        <v>3214</v>
      </c>
      <c r="B2550" t="s">
        <v>246</v>
      </c>
      <c r="C2550" t="s">
        <v>102</v>
      </c>
      <c r="D2550" t="s">
        <v>233</v>
      </c>
      <c r="E2550">
        <v>314</v>
      </c>
      <c r="F2550">
        <v>29</v>
      </c>
      <c r="G2550">
        <v>46</v>
      </c>
      <c r="H2550">
        <v>25</v>
      </c>
    </row>
    <row r="2551" spans="1:8" x14ac:dyDescent="0.25">
      <c r="A2551" t="s">
        <v>3215</v>
      </c>
      <c r="B2551" t="s">
        <v>246</v>
      </c>
      <c r="C2551" t="s">
        <v>102</v>
      </c>
      <c r="D2551" t="s">
        <v>234</v>
      </c>
      <c r="E2551">
        <v>335</v>
      </c>
      <c r="F2551">
        <v>24</v>
      </c>
      <c r="G2551">
        <v>47</v>
      </c>
      <c r="H2551">
        <v>29</v>
      </c>
    </row>
    <row r="2552" spans="1:8" x14ac:dyDescent="0.25">
      <c r="A2552" t="s">
        <v>3216</v>
      </c>
      <c r="B2552" t="s">
        <v>246</v>
      </c>
      <c r="C2552" t="s">
        <v>102</v>
      </c>
      <c r="D2552" t="s">
        <v>235</v>
      </c>
      <c r="E2552">
        <v>313</v>
      </c>
      <c r="F2552">
        <v>24</v>
      </c>
      <c r="G2552">
        <v>48</v>
      </c>
      <c r="H2552">
        <v>28</v>
      </c>
    </row>
    <row r="2553" spans="1:8" x14ac:dyDescent="0.25">
      <c r="A2553" t="s">
        <v>3217</v>
      </c>
      <c r="B2553" t="s">
        <v>246</v>
      </c>
      <c r="C2553" t="s">
        <v>102</v>
      </c>
      <c r="D2553" t="s">
        <v>236</v>
      </c>
      <c r="E2553">
        <v>347</v>
      </c>
      <c r="F2553">
        <v>27</v>
      </c>
      <c r="G2553">
        <v>46</v>
      </c>
      <c r="H2553">
        <v>27</v>
      </c>
    </row>
    <row r="2554" spans="1:8" x14ac:dyDescent="0.25">
      <c r="A2554" t="s">
        <v>3218</v>
      </c>
      <c r="B2554" t="s">
        <v>246</v>
      </c>
      <c r="C2554" t="s">
        <v>102</v>
      </c>
      <c r="D2554" t="s">
        <v>237</v>
      </c>
      <c r="E2554">
        <v>250</v>
      </c>
      <c r="F2554">
        <v>27</v>
      </c>
      <c r="G2554">
        <v>46</v>
      </c>
      <c r="H2554">
        <v>27</v>
      </c>
    </row>
    <row r="2555" spans="1:8" x14ac:dyDescent="0.25">
      <c r="A2555" t="s">
        <v>3219</v>
      </c>
      <c r="B2555" t="s">
        <v>246</v>
      </c>
      <c r="C2555" t="s">
        <v>102</v>
      </c>
      <c r="D2555" t="s">
        <v>238</v>
      </c>
      <c r="E2555">
        <v>290</v>
      </c>
      <c r="F2555">
        <v>24</v>
      </c>
      <c r="G2555">
        <v>48</v>
      </c>
      <c r="H2555">
        <v>28</v>
      </c>
    </row>
    <row r="2556" spans="1:8" x14ac:dyDescent="0.25">
      <c r="A2556" t="s">
        <v>3220</v>
      </c>
      <c r="B2556" t="s">
        <v>246</v>
      </c>
      <c r="C2556" t="s">
        <v>102</v>
      </c>
      <c r="D2556" t="s">
        <v>239</v>
      </c>
      <c r="E2556">
        <v>258</v>
      </c>
      <c r="F2556">
        <v>24</v>
      </c>
      <c r="G2556">
        <v>45</v>
      </c>
      <c r="H2556">
        <v>31</v>
      </c>
    </row>
    <row r="2557" spans="1:8" x14ac:dyDescent="0.25">
      <c r="A2557" t="s">
        <v>3221</v>
      </c>
      <c r="B2557" t="s">
        <v>246</v>
      </c>
      <c r="C2557" t="s">
        <v>102</v>
      </c>
      <c r="D2557" t="s">
        <v>47</v>
      </c>
      <c r="E2557">
        <v>251</v>
      </c>
      <c r="F2557">
        <v>27</v>
      </c>
      <c r="G2557">
        <v>47</v>
      </c>
      <c r="H2557">
        <v>26</v>
      </c>
    </row>
    <row r="2558" spans="1:8" x14ac:dyDescent="0.25">
      <c r="A2558" t="s">
        <v>3222</v>
      </c>
      <c r="B2558" t="s">
        <v>246</v>
      </c>
      <c r="C2558" t="s">
        <v>31</v>
      </c>
      <c r="D2558" t="s">
        <v>232</v>
      </c>
      <c r="E2558">
        <v>444</v>
      </c>
      <c r="F2558">
        <v>37</v>
      </c>
      <c r="G2558">
        <v>46</v>
      </c>
      <c r="H2558">
        <v>17</v>
      </c>
    </row>
    <row r="2559" spans="1:8" x14ac:dyDescent="0.25">
      <c r="A2559" t="s">
        <v>3223</v>
      </c>
      <c r="B2559" t="s">
        <v>246</v>
      </c>
      <c r="C2559" t="s">
        <v>31</v>
      </c>
      <c r="D2559" t="s">
        <v>233</v>
      </c>
      <c r="E2559">
        <v>415</v>
      </c>
      <c r="F2559">
        <v>38</v>
      </c>
      <c r="G2559">
        <v>47</v>
      </c>
      <c r="H2559">
        <v>15</v>
      </c>
    </row>
    <row r="2560" spans="1:8" x14ac:dyDescent="0.25">
      <c r="A2560" t="s">
        <v>3224</v>
      </c>
      <c r="B2560" t="s">
        <v>246</v>
      </c>
      <c r="C2560" t="s">
        <v>31</v>
      </c>
      <c r="D2560" t="s">
        <v>234</v>
      </c>
      <c r="E2560">
        <v>433</v>
      </c>
      <c r="F2560">
        <v>37</v>
      </c>
      <c r="G2560">
        <v>42</v>
      </c>
      <c r="H2560">
        <v>21</v>
      </c>
    </row>
    <row r="2561" spans="1:8" x14ac:dyDescent="0.25">
      <c r="A2561" t="s">
        <v>3225</v>
      </c>
      <c r="B2561" t="s">
        <v>246</v>
      </c>
      <c r="C2561" t="s">
        <v>31</v>
      </c>
      <c r="D2561" t="s">
        <v>235</v>
      </c>
      <c r="E2561">
        <v>406</v>
      </c>
      <c r="F2561">
        <v>38</v>
      </c>
      <c r="G2561">
        <v>45</v>
      </c>
      <c r="H2561">
        <v>17</v>
      </c>
    </row>
    <row r="2562" spans="1:8" x14ac:dyDescent="0.25">
      <c r="A2562" t="s">
        <v>3226</v>
      </c>
      <c r="B2562" t="s">
        <v>246</v>
      </c>
      <c r="C2562" t="s">
        <v>31</v>
      </c>
      <c r="D2562" t="s">
        <v>236</v>
      </c>
      <c r="E2562">
        <v>469</v>
      </c>
      <c r="F2562">
        <v>34</v>
      </c>
      <c r="G2562">
        <v>47</v>
      </c>
      <c r="H2562">
        <v>19</v>
      </c>
    </row>
    <row r="2563" spans="1:8" x14ac:dyDescent="0.25">
      <c r="A2563" t="s">
        <v>3227</v>
      </c>
      <c r="B2563" t="s">
        <v>246</v>
      </c>
      <c r="C2563" t="s">
        <v>31</v>
      </c>
      <c r="D2563" t="s">
        <v>237</v>
      </c>
      <c r="E2563">
        <v>327</v>
      </c>
      <c r="F2563">
        <v>30</v>
      </c>
      <c r="G2563">
        <v>52</v>
      </c>
      <c r="H2563">
        <v>18</v>
      </c>
    </row>
    <row r="2564" spans="1:8" x14ac:dyDescent="0.25">
      <c r="A2564" t="s">
        <v>3228</v>
      </c>
      <c r="B2564" t="s">
        <v>246</v>
      </c>
      <c r="C2564" t="s">
        <v>31</v>
      </c>
      <c r="D2564" t="s">
        <v>238</v>
      </c>
      <c r="E2564">
        <v>388</v>
      </c>
      <c r="F2564">
        <v>30</v>
      </c>
      <c r="G2564">
        <v>48</v>
      </c>
      <c r="H2564">
        <v>22</v>
      </c>
    </row>
    <row r="2565" spans="1:8" x14ac:dyDescent="0.25">
      <c r="A2565" t="s">
        <v>3229</v>
      </c>
      <c r="B2565" t="s">
        <v>246</v>
      </c>
      <c r="C2565" t="s">
        <v>31</v>
      </c>
      <c r="D2565" t="s">
        <v>239</v>
      </c>
      <c r="E2565">
        <v>344</v>
      </c>
      <c r="F2565">
        <v>28</v>
      </c>
      <c r="G2565">
        <v>48</v>
      </c>
      <c r="H2565">
        <v>24</v>
      </c>
    </row>
    <row r="2566" spans="1:8" x14ac:dyDescent="0.25">
      <c r="A2566" t="s">
        <v>3230</v>
      </c>
      <c r="B2566" t="s">
        <v>246</v>
      </c>
      <c r="C2566" t="s">
        <v>31</v>
      </c>
      <c r="D2566" t="s">
        <v>47</v>
      </c>
      <c r="E2566">
        <v>345</v>
      </c>
      <c r="F2566">
        <v>31</v>
      </c>
      <c r="G2566">
        <v>46</v>
      </c>
      <c r="H2566">
        <v>23</v>
      </c>
    </row>
    <row r="2567" spans="1:8" x14ac:dyDescent="0.25">
      <c r="A2567" t="s">
        <v>3231</v>
      </c>
      <c r="B2567" t="s">
        <v>114</v>
      </c>
      <c r="C2567" t="s">
        <v>103</v>
      </c>
      <c r="D2567" t="s">
        <v>232</v>
      </c>
      <c r="E2567">
        <v>242</v>
      </c>
      <c r="F2567">
        <v>3</v>
      </c>
      <c r="G2567">
        <v>65</v>
      </c>
      <c r="H2567">
        <v>32</v>
      </c>
    </row>
    <row r="2568" spans="1:8" x14ac:dyDescent="0.25">
      <c r="A2568" t="s">
        <v>3232</v>
      </c>
      <c r="B2568" t="s">
        <v>114</v>
      </c>
      <c r="C2568" t="s">
        <v>103</v>
      </c>
      <c r="D2568" t="s">
        <v>233</v>
      </c>
      <c r="E2568">
        <v>233</v>
      </c>
      <c r="F2568">
        <v>8</v>
      </c>
      <c r="G2568">
        <v>59</v>
      </c>
      <c r="H2568">
        <v>33</v>
      </c>
    </row>
    <row r="2569" spans="1:8" x14ac:dyDescent="0.25">
      <c r="A2569" t="s">
        <v>3233</v>
      </c>
      <c r="B2569" t="s">
        <v>114</v>
      </c>
      <c r="C2569" t="s">
        <v>103</v>
      </c>
      <c r="D2569" t="s">
        <v>234</v>
      </c>
      <c r="E2569">
        <v>208</v>
      </c>
      <c r="F2569">
        <v>8</v>
      </c>
      <c r="G2569">
        <v>58</v>
      </c>
      <c r="H2569">
        <v>34</v>
      </c>
    </row>
    <row r="2570" spans="1:8" x14ac:dyDescent="0.25">
      <c r="A2570" t="s">
        <v>3234</v>
      </c>
      <c r="B2570" t="s">
        <v>114</v>
      </c>
      <c r="C2570" t="s">
        <v>103</v>
      </c>
      <c r="D2570" t="s">
        <v>235</v>
      </c>
      <c r="E2570">
        <v>218</v>
      </c>
      <c r="F2570">
        <v>8</v>
      </c>
      <c r="G2570">
        <v>58</v>
      </c>
      <c r="H2570">
        <v>34</v>
      </c>
    </row>
    <row r="2571" spans="1:8" x14ac:dyDescent="0.25">
      <c r="A2571" t="s">
        <v>3235</v>
      </c>
      <c r="B2571" t="s">
        <v>114</v>
      </c>
      <c r="C2571" t="s">
        <v>103</v>
      </c>
      <c r="D2571" t="s">
        <v>236</v>
      </c>
      <c r="E2571">
        <v>235</v>
      </c>
      <c r="F2571">
        <v>9</v>
      </c>
      <c r="G2571">
        <v>56</v>
      </c>
      <c r="H2571">
        <v>35</v>
      </c>
    </row>
    <row r="2572" spans="1:8" x14ac:dyDescent="0.25">
      <c r="A2572" t="s">
        <v>3236</v>
      </c>
      <c r="B2572" t="s">
        <v>114</v>
      </c>
      <c r="C2572" t="s">
        <v>103</v>
      </c>
      <c r="D2572" t="s">
        <v>237</v>
      </c>
      <c r="E2572">
        <v>195</v>
      </c>
      <c r="F2572">
        <v>8</v>
      </c>
      <c r="G2572">
        <v>59</v>
      </c>
      <c r="H2572">
        <v>33</v>
      </c>
    </row>
    <row r="2573" spans="1:8" x14ac:dyDescent="0.25">
      <c r="A2573" t="s">
        <v>3237</v>
      </c>
      <c r="B2573" t="s">
        <v>114</v>
      </c>
      <c r="C2573" t="s">
        <v>103</v>
      </c>
      <c r="D2573" t="s">
        <v>238</v>
      </c>
      <c r="E2573">
        <v>220</v>
      </c>
      <c r="F2573">
        <v>6</v>
      </c>
      <c r="G2573">
        <v>60</v>
      </c>
      <c r="H2573">
        <v>34</v>
      </c>
    </row>
    <row r="2574" spans="1:8" x14ac:dyDescent="0.25">
      <c r="A2574" t="s">
        <v>3238</v>
      </c>
      <c r="B2574" t="s">
        <v>114</v>
      </c>
      <c r="C2574" t="s">
        <v>103</v>
      </c>
      <c r="D2574" t="s">
        <v>239</v>
      </c>
      <c r="E2574">
        <v>201</v>
      </c>
      <c r="F2574">
        <v>7</v>
      </c>
      <c r="G2574">
        <v>59</v>
      </c>
      <c r="H2574">
        <v>34</v>
      </c>
    </row>
    <row r="2575" spans="1:8" x14ac:dyDescent="0.25">
      <c r="A2575" t="s">
        <v>3239</v>
      </c>
      <c r="B2575" t="s">
        <v>114</v>
      </c>
      <c r="C2575" t="s">
        <v>103</v>
      </c>
      <c r="D2575" t="s">
        <v>47</v>
      </c>
      <c r="E2575">
        <v>222</v>
      </c>
      <c r="F2575">
        <v>7</v>
      </c>
      <c r="G2575">
        <v>64</v>
      </c>
      <c r="H2575">
        <v>29</v>
      </c>
    </row>
    <row r="2576" spans="1:8" x14ac:dyDescent="0.25">
      <c r="A2576" t="s">
        <v>3240</v>
      </c>
      <c r="B2576" t="s">
        <v>114</v>
      </c>
      <c r="C2576" t="s">
        <v>100</v>
      </c>
      <c r="D2576" t="s">
        <v>232</v>
      </c>
      <c r="E2576">
        <v>238</v>
      </c>
      <c r="F2576">
        <v>13</v>
      </c>
      <c r="G2576">
        <v>51</v>
      </c>
      <c r="H2576">
        <v>36</v>
      </c>
    </row>
    <row r="2577" spans="1:8" x14ac:dyDescent="0.25">
      <c r="A2577" t="s">
        <v>3241</v>
      </c>
      <c r="B2577" t="s">
        <v>114</v>
      </c>
      <c r="C2577" t="s">
        <v>100</v>
      </c>
      <c r="D2577" t="s">
        <v>233</v>
      </c>
      <c r="E2577">
        <v>234</v>
      </c>
      <c r="F2577">
        <v>15</v>
      </c>
      <c r="G2577">
        <v>56</v>
      </c>
      <c r="H2577">
        <v>29</v>
      </c>
    </row>
    <row r="2578" spans="1:8" x14ac:dyDescent="0.25">
      <c r="A2578" t="s">
        <v>3242</v>
      </c>
      <c r="B2578" t="s">
        <v>114</v>
      </c>
      <c r="C2578" t="s">
        <v>100</v>
      </c>
      <c r="D2578" t="s">
        <v>234</v>
      </c>
      <c r="E2578">
        <v>210</v>
      </c>
      <c r="F2578">
        <v>11</v>
      </c>
      <c r="G2578">
        <v>58</v>
      </c>
      <c r="H2578">
        <v>31</v>
      </c>
    </row>
    <row r="2579" spans="1:8" x14ac:dyDescent="0.25">
      <c r="A2579" t="s">
        <v>3243</v>
      </c>
      <c r="B2579" t="s">
        <v>114</v>
      </c>
      <c r="C2579" t="s">
        <v>100</v>
      </c>
      <c r="D2579" t="s">
        <v>235</v>
      </c>
      <c r="E2579">
        <v>217</v>
      </c>
      <c r="F2579">
        <v>15</v>
      </c>
      <c r="G2579">
        <v>58</v>
      </c>
      <c r="H2579">
        <v>27</v>
      </c>
    </row>
    <row r="2580" spans="1:8" x14ac:dyDescent="0.25">
      <c r="A2580" t="s">
        <v>3244</v>
      </c>
      <c r="B2580" t="s">
        <v>114</v>
      </c>
      <c r="C2580" t="s">
        <v>100</v>
      </c>
      <c r="D2580" t="s">
        <v>236</v>
      </c>
      <c r="E2580">
        <v>237</v>
      </c>
      <c r="F2580">
        <v>14</v>
      </c>
      <c r="G2580">
        <v>58</v>
      </c>
      <c r="H2580">
        <v>28</v>
      </c>
    </row>
    <row r="2581" spans="1:8" x14ac:dyDescent="0.25">
      <c r="A2581" t="s">
        <v>3245</v>
      </c>
      <c r="B2581" t="s">
        <v>114</v>
      </c>
      <c r="C2581" t="s">
        <v>100</v>
      </c>
      <c r="D2581" t="s">
        <v>237</v>
      </c>
      <c r="E2581">
        <v>195</v>
      </c>
      <c r="F2581">
        <v>17</v>
      </c>
      <c r="G2581">
        <v>58</v>
      </c>
      <c r="H2581">
        <v>25</v>
      </c>
    </row>
    <row r="2582" spans="1:8" x14ac:dyDescent="0.25">
      <c r="A2582" t="s">
        <v>3246</v>
      </c>
      <c r="B2582" t="s">
        <v>114</v>
      </c>
      <c r="C2582" t="s">
        <v>100</v>
      </c>
      <c r="D2582" t="s">
        <v>238</v>
      </c>
      <c r="E2582">
        <v>222</v>
      </c>
      <c r="F2582">
        <v>17</v>
      </c>
      <c r="G2582">
        <v>57</v>
      </c>
      <c r="H2582">
        <v>26</v>
      </c>
    </row>
    <row r="2583" spans="1:8" x14ac:dyDescent="0.25">
      <c r="A2583" t="s">
        <v>3247</v>
      </c>
      <c r="B2583" t="s">
        <v>114</v>
      </c>
      <c r="C2583" t="s">
        <v>100</v>
      </c>
      <c r="D2583" t="s">
        <v>239</v>
      </c>
      <c r="E2583">
        <v>199</v>
      </c>
      <c r="F2583">
        <v>15</v>
      </c>
      <c r="G2583">
        <v>53</v>
      </c>
      <c r="H2583">
        <v>32</v>
      </c>
    </row>
    <row r="2584" spans="1:8" x14ac:dyDescent="0.25">
      <c r="A2584" t="s">
        <v>3248</v>
      </c>
      <c r="B2584" t="s">
        <v>114</v>
      </c>
      <c r="C2584" t="s">
        <v>100</v>
      </c>
      <c r="D2584" t="s">
        <v>47</v>
      </c>
      <c r="E2584">
        <v>216</v>
      </c>
      <c r="F2584">
        <v>17</v>
      </c>
      <c r="G2584">
        <v>58</v>
      </c>
      <c r="H2584">
        <v>25</v>
      </c>
    </row>
    <row r="2585" spans="1:8" x14ac:dyDescent="0.25">
      <c r="A2585" t="s">
        <v>3249</v>
      </c>
      <c r="B2585" t="s">
        <v>114</v>
      </c>
      <c r="C2585" t="s">
        <v>101</v>
      </c>
      <c r="D2585" t="s">
        <v>232</v>
      </c>
      <c r="E2585">
        <v>198</v>
      </c>
      <c r="F2585">
        <v>16</v>
      </c>
      <c r="G2585">
        <v>49</v>
      </c>
      <c r="H2585">
        <v>35</v>
      </c>
    </row>
    <row r="2586" spans="1:8" x14ac:dyDescent="0.25">
      <c r="A2586" t="s">
        <v>3250</v>
      </c>
      <c r="B2586" t="s">
        <v>114</v>
      </c>
      <c r="C2586" t="s">
        <v>101</v>
      </c>
      <c r="D2586" t="s">
        <v>233</v>
      </c>
      <c r="E2586">
        <v>193</v>
      </c>
      <c r="F2586">
        <v>20</v>
      </c>
      <c r="G2586">
        <v>53</v>
      </c>
      <c r="H2586">
        <v>27</v>
      </c>
    </row>
    <row r="2587" spans="1:8" x14ac:dyDescent="0.25">
      <c r="A2587" t="s">
        <v>3251</v>
      </c>
      <c r="B2587" t="s">
        <v>114</v>
      </c>
      <c r="C2587" t="s">
        <v>101</v>
      </c>
      <c r="D2587" t="s">
        <v>234</v>
      </c>
      <c r="E2587">
        <v>164</v>
      </c>
      <c r="F2587">
        <v>21</v>
      </c>
      <c r="G2587">
        <v>48</v>
      </c>
      <c r="H2587">
        <v>31</v>
      </c>
    </row>
    <row r="2588" spans="1:8" x14ac:dyDescent="0.25">
      <c r="A2588" t="s">
        <v>3252</v>
      </c>
      <c r="B2588" t="s">
        <v>114</v>
      </c>
      <c r="C2588" t="s">
        <v>101</v>
      </c>
      <c r="D2588" t="s">
        <v>235</v>
      </c>
      <c r="E2588">
        <v>181</v>
      </c>
      <c r="F2588">
        <v>19</v>
      </c>
      <c r="G2588">
        <v>55</v>
      </c>
      <c r="H2588">
        <v>26</v>
      </c>
    </row>
    <row r="2589" spans="1:8" x14ac:dyDescent="0.25">
      <c r="A2589" t="s">
        <v>3253</v>
      </c>
      <c r="B2589" t="s">
        <v>114</v>
      </c>
      <c r="C2589" t="s">
        <v>101</v>
      </c>
      <c r="D2589" t="s">
        <v>236</v>
      </c>
      <c r="E2589">
        <v>191</v>
      </c>
      <c r="F2589">
        <v>19</v>
      </c>
      <c r="G2589">
        <v>46</v>
      </c>
      <c r="H2589">
        <v>35</v>
      </c>
    </row>
    <row r="2590" spans="1:8" x14ac:dyDescent="0.25">
      <c r="A2590" t="s">
        <v>3254</v>
      </c>
      <c r="B2590" t="s">
        <v>114</v>
      </c>
      <c r="C2590" t="s">
        <v>101</v>
      </c>
      <c r="D2590" t="s">
        <v>237</v>
      </c>
      <c r="E2590">
        <v>156</v>
      </c>
      <c r="F2590">
        <v>21</v>
      </c>
      <c r="G2590">
        <v>47</v>
      </c>
      <c r="H2590">
        <v>32</v>
      </c>
    </row>
    <row r="2591" spans="1:8" x14ac:dyDescent="0.25">
      <c r="A2591" t="s">
        <v>3255</v>
      </c>
      <c r="B2591" t="s">
        <v>114</v>
      </c>
      <c r="C2591" t="s">
        <v>101</v>
      </c>
      <c r="D2591" t="s">
        <v>238</v>
      </c>
      <c r="E2591">
        <v>175</v>
      </c>
      <c r="F2591">
        <v>22</v>
      </c>
      <c r="G2591">
        <v>51</v>
      </c>
      <c r="H2591">
        <v>27</v>
      </c>
    </row>
    <row r="2592" spans="1:8" x14ac:dyDescent="0.25">
      <c r="A2592" t="s">
        <v>3256</v>
      </c>
      <c r="B2592" t="s">
        <v>114</v>
      </c>
      <c r="C2592" t="s">
        <v>101</v>
      </c>
      <c r="D2592" t="s">
        <v>239</v>
      </c>
      <c r="E2592">
        <v>163</v>
      </c>
      <c r="F2592">
        <v>23</v>
      </c>
      <c r="G2592">
        <v>43</v>
      </c>
      <c r="H2592">
        <v>34</v>
      </c>
    </row>
    <row r="2593" spans="1:8" x14ac:dyDescent="0.25">
      <c r="A2593" t="s">
        <v>3257</v>
      </c>
      <c r="B2593" t="s">
        <v>114</v>
      </c>
      <c r="C2593" t="s">
        <v>101</v>
      </c>
      <c r="D2593" t="s">
        <v>47</v>
      </c>
      <c r="E2593">
        <v>181</v>
      </c>
      <c r="F2593">
        <v>21</v>
      </c>
      <c r="G2593">
        <v>56</v>
      </c>
      <c r="H2593">
        <v>23</v>
      </c>
    </row>
    <row r="2594" spans="1:8" x14ac:dyDescent="0.25">
      <c r="A2594" t="s">
        <v>3258</v>
      </c>
      <c r="B2594" t="s">
        <v>114</v>
      </c>
      <c r="C2594" t="s">
        <v>102</v>
      </c>
      <c r="D2594" t="s">
        <v>232</v>
      </c>
      <c r="E2594">
        <v>187</v>
      </c>
      <c r="F2594">
        <v>20</v>
      </c>
      <c r="G2594">
        <v>40</v>
      </c>
      <c r="H2594">
        <v>40</v>
      </c>
    </row>
    <row r="2595" spans="1:8" x14ac:dyDescent="0.25">
      <c r="A2595" t="s">
        <v>3259</v>
      </c>
      <c r="B2595" t="s">
        <v>114</v>
      </c>
      <c r="C2595" t="s">
        <v>102</v>
      </c>
      <c r="D2595" t="s">
        <v>233</v>
      </c>
      <c r="E2595">
        <v>183</v>
      </c>
      <c r="F2595">
        <v>19</v>
      </c>
      <c r="G2595">
        <v>43</v>
      </c>
      <c r="H2595">
        <v>38</v>
      </c>
    </row>
    <row r="2596" spans="1:8" x14ac:dyDescent="0.25">
      <c r="A2596" t="s">
        <v>3260</v>
      </c>
      <c r="B2596" t="s">
        <v>114</v>
      </c>
      <c r="C2596" t="s">
        <v>102</v>
      </c>
      <c r="D2596" t="s">
        <v>234</v>
      </c>
      <c r="E2596">
        <v>167</v>
      </c>
      <c r="F2596">
        <v>18</v>
      </c>
      <c r="G2596">
        <v>41</v>
      </c>
      <c r="H2596">
        <v>41</v>
      </c>
    </row>
    <row r="2597" spans="1:8" x14ac:dyDescent="0.25">
      <c r="A2597" t="s">
        <v>3261</v>
      </c>
      <c r="B2597" t="s">
        <v>114</v>
      </c>
      <c r="C2597" t="s">
        <v>102</v>
      </c>
      <c r="D2597" t="s">
        <v>235</v>
      </c>
      <c r="E2597">
        <v>174</v>
      </c>
      <c r="F2597">
        <v>14</v>
      </c>
      <c r="G2597">
        <v>49</v>
      </c>
      <c r="H2597">
        <v>37</v>
      </c>
    </row>
    <row r="2598" spans="1:8" x14ac:dyDescent="0.25">
      <c r="A2598" t="s">
        <v>3262</v>
      </c>
      <c r="B2598" t="s">
        <v>114</v>
      </c>
      <c r="C2598" t="s">
        <v>102</v>
      </c>
      <c r="D2598" t="s">
        <v>236</v>
      </c>
      <c r="E2598">
        <v>174</v>
      </c>
      <c r="F2598">
        <v>22</v>
      </c>
      <c r="G2598">
        <v>43</v>
      </c>
      <c r="H2598">
        <v>35</v>
      </c>
    </row>
    <row r="2599" spans="1:8" x14ac:dyDescent="0.25">
      <c r="A2599" t="s">
        <v>3263</v>
      </c>
      <c r="B2599" t="s">
        <v>114</v>
      </c>
      <c r="C2599" t="s">
        <v>102</v>
      </c>
      <c r="D2599" t="s">
        <v>237</v>
      </c>
      <c r="E2599">
        <v>152</v>
      </c>
      <c r="F2599">
        <v>19</v>
      </c>
      <c r="G2599">
        <v>51</v>
      </c>
      <c r="H2599">
        <v>30</v>
      </c>
    </row>
    <row r="2600" spans="1:8" x14ac:dyDescent="0.25">
      <c r="A2600" t="s">
        <v>3264</v>
      </c>
      <c r="B2600" t="s">
        <v>114</v>
      </c>
      <c r="C2600" t="s">
        <v>102</v>
      </c>
      <c r="D2600" t="s">
        <v>238</v>
      </c>
      <c r="E2600">
        <v>170</v>
      </c>
      <c r="F2600">
        <v>17</v>
      </c>
      <c r="G2600">
        <v>48</v>
      </c>
      <c r="H2600">
        <v>35</v>
      </c>
    </row>
    <row r="2601" spans="1:8" x14ac:dyDescent="0.25">
      <c r="A2601" t="s">
        <v>3265</v>
      </c>
      <c r="B2601" t="s">
        <v>114</v>
      </c>
      <c r="C2601" t="s">
        <v>102</v>
      </c>
      <c r="D2601" t="s">
        <v>239</v>
      </c>
      <c r="E2601">
        <v>162</v>
      </c>
      <c r="F2601">
        <v>18</v>
      </c>
      <c r="G2601">
        <v>38</v>
      </c>
      <c r="H2601">
        <v>44</v>
      </c>
    </row>
    <row r="2602" spans="1:8" x14ac:dyDescent="0.25">
      <c r="A2602" t="s">
        <v>3266</v>
      </c>
      <c r="B2602" t="s">
        <v>114</v>
      </c>
      <c r="C2602" t="s">
        <v>102</v>
      </c>
      <c r="D2602" t="s">
        <v>47</v>
      </c>
      <c r="E2602">
        <v>166</v>
      </c>
      <c r="F2602">
        <v>14</v>
      </c>
      <c r="G2602">
        <v>53</v>
      </c>
      <c r="H2602">
        <v>33</v>
      </c>
    </row>
    <row r="2603" spans="1:8" x14ac:dyDescent="0.25">
      <c r="A2603" t="s">
        <v>3267</v>
      </c>
      <c r="B2603" t="s">
        <v>114</v>
      </c>
      <c r="C2603" t="s">
        <v>31</v>
      </c>
      <c r="D2603" t="s">
        <v>232</v>
      </c>
      <c r="E2603">
        <v>247</v>
      </c>
      <c r="F2603">
        <v>19</v>
      </c>
      <c r="G2603">
        <v>52</v>
      </c>
      <c r="H2603">
        <v>29</v>
      </c>
    </row>
    <row r="2604" spans="1:8" x14ac:dyDescent="0.25">
      <c r="A2604" t="s">
        <v>3268</v>
      </c>
      <c r="B2604" t="s">
        <v>114</v>
      </c>
      <c r="C2604" t="s">
        <v>31</v>
      </c>
      <c r="D2604" t="s">
        <v>233</v>
      </c>
      <c r="E2604">
        <v>235</v>
      </c>
      <c r="F2604">
        <v>19</v>
      </c>
      <c r="G2604">
        <v>49</v>
      </c>
      <c r="H2604">
        <v>32</v>
      </c>
    </row>
    <row r="2605" spans="1:8" x14ac:dyDescent="0.25">
      <c r="A2605" t="s">
        <v>3269</v>
      </c>
      <c r="B2605" t="s">
        <v>114</v>
      </c>
      <c r="C2605" t="s">
        <v>31</v>
      </c>
      <c r="D2605" t="s">
        <v>234</v>
      </c>
      <c r="E2605">
        <v>212</v>
      </c>
      <c r="F2605">
        <v>15</v>
      </c>
      <c r="G2605">
        <v>51</v>
      </c>
      <c r="H2605">
        <v>34</v>
      </c>
    </row>
    <row r="2606" spans="1:8" x14ac:dyDescent="0.25">
      <c r="A2606" t="s">
        <v>3270</v>
      </c>
      <c r="B2606" t="s">
        <v>114</v>
      </c>
      <c r="C2606" t="s">
        <v>31</v>
      </c>
      <c r="D2606" t="s">
        <v>235</v>
      </c>
      <c r="E2606">
        <v>221</v>
      </c>
      <c r="F2606">
        <v>14</v>
      </c>
      <c r="G2606">
        <v>54</v>
      </c>
      <c r="H2606">
        <v>32</v>
      </c>
    </row>
    <row r="2607" spans="1:8" x14ac:dyDescent="0.25">
      <c r="A2607" t="s">
        <v>3271</v>
      </c>
      <c r="B2607" t="s">
        <v>114</v>
      </c>
      <c r="C2607" t="s">
        <v>31</v>
      </c>
      <c r="D2607" t="s">
        <v>236</v>
      </c>
      <c r="E2607">
        <v>239</v>
      </c>
      <c r="F2607">
        <v>20</v>
      </c>
      <c r="G2607">
        <v>48</v>
      </c>
      <c r="H2607">
        <v>32</v>
      </c>
    </row>
    <row r="2608" spans="1:8" x14ac:dyDescent="0.25">
      <c r="A2608" t="s">
        <v>3272</v>
      </c>
      <c r="B2608" t="s">
        <v>114</v>
      </c>
      <c r="C2608" t="s">
        <v>31</v>
      </c>
      <c r="D2608" t="s">
        <v>237</v>
      </c>
      <c r="E2608">
        <v>199</v>
      </c>
      <c r="F2608">
        <v>16</v>
      </c>
      <c r="G2608">
        <v>48</v>
      </c>
      <c r="H2608">
        <v>36</v>
      </c>
    </row>
    <row r="2609" spans="1:8" x14ac:dyDescent="0.25">
      <c r="A2609" t="s">
        <v>3273</v>
      </c>
      <c r="B2609" t="s">
        <v>114</v>
      </c>
      <c r="C2609" t="s">
        <v>31</v>
      </c>
      <c r="D2609" t="s">
        <v>238</v>
      </c>
      <c r="E2609">
        <v>228</v>
      </c>
      <c r="F2609">
        <v>15</v>
      </c>
      <c r="G2609">
        <v>47</v>
      </c>
      <c r="H2609">
        <v>38</v>
      </c>
    </row>
    <row r="2610" spans="1:8" x14ac:dyDescent="0.25">
      <c r="A2610" t="s">
        <v>3274</v>
      </c>
      <c r="B2610" t="s">
        <v>114</v>
      </c>
      <c r="C2610" t="s">
        <v>31</v>
      </c>
      <c r="D2610" t="s">
        <v>239</v>
      </c>
      <c r="E2610">
        <v>202</v>
      </c>
      <c r="F2610">
        <v>17</v>
      </c>
      <c r="G2610">
        <v>52</v>
      </c>
      <c r="H2610">
        <v>31</v>
      </c>
    </row>
    <row r="2611" spans="1:8" x14ac:dyDescent="0.25">
      <c r="A2611" t="s">
        <v>3275</v>
      </c>
      <c r="B2611" t="s">
        <v>114</v>
      </c>
      <c r="C2611" t="s">
        <v>31</v>
      </c>
      <c r="D2611" t="s">
        <v>47</v>
      </c>
      <c r="E2611">
        <v>226</v>
      </c>
      <c r="F2611">
        <v>19</v>
      </c>
      <c r="G2611">
        <v>52</v>
      </c>
      <c r="H2611">
        <v>29</v>
      </c>
    </row>
    <row r="2612" spans="1:8" x14ac:dyDescent="0.25">
      <c r="A2612" t="s">
        <v>3276</v>
      </c>
      <c r="B2612" t="s">
        <v>115</v>
      </c>
      <c r="C2612" t="s">
        <v>103</v>
      </c>
      <c r="D2612" t="s">
        <v>232</v>
      </c>
      <c r="E2612">
        <v>151</v>
      </c>
      <c r="F2612">
        <v>3</v>
      </c>
      <c r="G2612">
        <v>65</v>
      </c>
      <c r="H2612">
        <v>32</v>
      </c>
    </row>
    <row r="2613" spans="1:8" x14ac:dyDescent="0.25">
      <c r="A2613" t="s">
        <v>3277</v>
      </c>
      <c r="B2613" t="s">
        <v>115</v>
      </c>
      <c r="C2613" t="s">
        <v>103</v>
      </c>
      <c r="D2613" t="s">
        <v>233</v>
      </c>
      <c r="E2613">
        <v>146</v>
      </c>
      <c r="F2613">
        <v>9</v>
      </c>
      <c r="G2613">
        <v>55</v>
      </c>
      <c r="H2613">
        <v>36</v>
      </c>
    </row>
    <row r="2614" spans="1:8" x14ac:dyDescent="0.25">
      <c r="A2614" t="s">
        <v>3278</v>
      </c>
      <c r="B2614" t="s">
        <v>115</v>
      </c>
      <c r="C2614" t="s">
        <v>103</v>
      </c>
      <c r="D2614" t="s">
        <v>234</v>
      </c>
      <c r="E2614">
        <v>131</v>
      </c>
      <c r="F2614">
        <v>9</v>
      </c>
      <c r="G2614">
        <v>54</v>
      </c>
      <c r="H2614">
        <v>37</v>
      </c>
    </row>
    <row r="2615" spans="1:8" x14ac:dyDescent="0.25">
      <c r="A2615" t="s">
        <v>3279</v>
      </c>
      <c r="B2615" t="s">
        <v>115</v>
      </c>
      <c r="C2615" t="s">
        <v>103</v>
      </c>
      <c r="D2615" t="s">
        <v>235</v>
      </c>
      <c r="E2615">
        <v>131</v>
      </c>
      <c r="F2615">
        <v>10</v>
      </c>
      <c r="G2615">
        <v>57</v>
      </c>
      <c r="H2615">
        <v>33</v>
      </c>
    </row>
    <row r="2616" spans="1:8" x14ac:dyDescent="0.25">
      <c r="A2616" t="s">
        <v>3280</v>
      </c>
      <c r="B2616" t="s">
        <v>115</v>
      </c>
      <c r="C2616" t="s">
        <v>103</v>
      </c>
      <c r="D2616" t="s">
        <v>236</v>
      </c>
      <c r="E2616">
        <v>148</v>
      </c>
      <c r="F2616">
        <v>10</v>
      </c>
      <c r="G2616">
        <v>56</v>
      </c>
      <c r="H2616">
        <v>34</v>
      </c>
    </row>
    <row r="2617" spans="1:8" x14ac:dyDescent="0.25">
      <c r="A2617" t="s">
        <v>3281</v>
      </c>
      <c r="B2617" t="s">
        <v>115</v>
      </c>
      <c r="C2617" t="s">
        <v>103</v>
      </c>
      <c r="D2617" t="s">
        <v>237</v>
      </c>
      <c r="E2617">
        <v>120</v>
      </c>
      <c r="F2617">
        <v>11</v>
      </c>
      <c r="G2617">
        <v>57</v>
      </c>
      <c r="H2617">
        <v>32</v>
      </c>
    </row>
    <row r="2618" spans="1:8" x14ac:dyDescent="0.25">
      <c r="A2618" t="s">
        <v>3282</v>
      </c>
      <c r="B2618" t="s">
        <v>115</v>
      </c>
      <c r="C2618" t="s">
        <v>103</v>
      </c>
      <c r="D2618" t="s">
        <v>238</v>
      </c>
      <c r="E2618">
        <v>141</v>
      </c>
      <c r="F2618">
        <v>9</v>
      </c>
      <c r="G2618">
        <v>58</v>
      </c>
      <c r="H2618">
        <v>33</v>
      </c>
    </row>
    <row r="2619" spans="1:8" x14ac:dyDescent="0.25">
      <c r="A2619" t="s">
        <v>3283</v>
      </c>
      <c r="B2619" t="s">
        <v>115</v>
      </c>
      <c r="C2619" t="s">
        <v>103</v>
      </c>
      <c r="D2619" t="s">
        <v>239</v>
      </c>
      <c r="E2619">
        <v>131</v>
      </c>
      <c r="F2619">
        <v>8</v>
      </c>
      <c r="G2619">
        <v>61</v>
      </c>
      <c r="H2619">
        <v>31</v>
      </c>
    </row>
    <row r="2620" spans="1:8" x14ac:dyDescent="0.25">
      <c r="A2620" t="s">
        <v>3284</v>
      </c>
      <c r="B2620" t="s">
        <v>115</v>
      </c>
      <c r="C2620" t="s">
        <v>103</v>
      </c>
      <c r="D2620" t="s">
        <v>47</v>
      </c>
      <c r="E2620">
        <v>140</v>
      </c>
      <c r="F2620">
        <v>10</v>
      </c>
      <c r="G2620">
        <v>67</v>
      </c>
      <c r="H2620">
        <v>23</v>
      </c>
    </row>
    <row r="2621" spans="1:8" x14ac:dyDescent="0.25">
      <c r="A2621" t="s">
        <v>3285</v>
      </c>
      <c r="B2621" t="s">
        <v>115</v>
      </c>
      <c r="C2621" t="s">
        <v>100</v>
      </c>
      <c r="D2621" t="s">
        <v>232</v>
      </c>
      <c r="E2621">
        <v>149</v>
      </c>
      <c r="F2621">
        <v>15</v>
      </c>
      <c r="G2621">
        <v>49</v>
      </c>
      <c r="H2621">
        <v>36</v>
      </c>
    </row>
    <row r="2622" spans="1:8" x14ac:dyDescent="0.25">
      <c r="A2622" t="s">
        <v>3286</v>
      </c>
      <c r="B2622" t="s">
        <v>115</v>
      </c>
      <c r="C2622" t="s">
        <v>100</v>
      </c>
      <c r="D2622" t="s">
        <v>233</v>
      </c>
      <c r="E2622">
        <v>149</v>
      </c>
      <c r="F2622">
        <v>14</v>
      </c>
      <c r="G2622">
        <v>57</v>
      </c>
      <c r="H2622">
        <v>29</v>
      </c>
    </row>
    <row r="2623" spans="1:8" x14ac:dyDescent="0.25">
      <c r="A2623" t="s">
        <v>3287</v>
      </c>
      <c r="B2623" t="s">
        <v>115</v>
      </c>
      <c r="C2623" t="s">
        <v>100</v>
      </c>
      <c r="D2623" t="s">
        <v>234</v>
      </c>
      <c r="E2623">
        <v>133</v>
      </c>
      <c r="F2623">
        <v>14</v>
      </c>
      <c r="G2623">
        <v>58</v>
      </c>
      <c r="H2623">
        <v>28</v>
      </c>
    </row>
    <row r="2624" spans="1:8" x14ac:dyDescent="0.25">
      <c r="A2624" t="s">
        <v>3288</v>
      </c>
      <c r="B2624" t="s">
        <v>115</v>
      </c>
      <c r="C2624" t="s">
        <v>100</v>
      </c>
      <c r="D2624" t="s">
        <v>235</v>
      </c>
      <c r="E2624">
        <v>131</v>
      </c>
      <c r="F2624">
        <v>18</v>
      </c>
      <c r="G2624">
        <v>59</v>
      </c>
      <c r="H2624">
        <v>23</v>
      </c>
    </row>
    <row r="2625" spans="1:8" x14ac:dyDescent="0.25">
      <c r="A2625" t="s">
        <v>3289</v>
      </c>
      <c r="B2625" t="s">
        <v>115</v>
      </c>
      <c r="C2625" t="s">
        <v>100</v>
      </c>
      <c r="D2625" t="s">
        <v>236</v>
      </c>
      <c r="E2625">
        <v>149</v>
      </c>
      <c r="F2625">
        <v>16</v>
      </c>
      <c r="G2625">
        <v>59</v>
      </c>
      <c r="H2625">
        <v>25</v>
      </c>
    </row>
    <row r="2626" spans="1:8" x14ac:dyDescent="0.25">
      <c r="A2626" t="s">
        <v>3290</v>
      </c>
      <c r="B2626" t="s">
        <v>115</v>
      </c>
      <c r="C2626" t="s">
        <v>100</v>
      </c>
      <c r="D2626" t="s">
        <v>237</v>
      </c>
      <c r="E2626">
        <v>123</v>
      </c>
      <c r="F2626">
        <v>21</v>
      </c>
      <c r="G2626">
        <v>56</v>
      </c>
      <c r="H2626">
        <v>23</v>
      </c>
    </row>
    <row r="2627" spans="1:8" x14ac:dyDescent="0.25">
      <c r="A2627" t="s">
        <v>3291</v>
      </c>
      <c r="B2627" t="s">
        <v>115</v>
      </c>
      <c r="C2627" t="s">
        <v>100</v>
      </c>
      <c r="D2627" t="s">
        <v>238</v>
      </c>
      <c r="E2627">
        <v>146</v>
      </c>
      <c r="F2627">
        <v>18</v>
      </c>
      <c r="G2627">
        <v>59</v>
      </c>
      <c r="H2627">
        <v>23</v>
      </c>
    </row>
    <row r="2628" spans="1:8" x14ac:dyDescent="0.25">
      <c r="A2628" t="s">
        <v>3292</v>
      </c>
      <c r="B2628" t="s">
        <v>115</v>
      </c>
      <c r="C2628" t="s">
        <v>100</v>
      </c>
      <c r="D2628" t="s">
        <v>239</v>
      </c>
      <c r="E2628">
        <v>131</v>
      </c>
      <c r="F2628">
        <v>16</v>
      </c>
      <c r="G2628">
        <v>56</v>
      </c>
      <c r="H2628">
        <v>28</v>
      </c>
    </row>
    <row r="2629" spans="1:8" x14ac:dyDescent="0.25">
      <c r="A2629" t="s">
        <v>3293</v>
      </c>
      <c r="B2629" t="s">
        <v>115</v>
      </c>
      <c r="C2629" t="s">
        <v>100</v>
      </c>
      <c r="D2629" t="s">
        <v>47</v>
      </c>
      <c r="E2629">
        <v>138</v>
      </c>
      <c r="F2629">
        <v>16</v>
      </c>
      <c r="G2629">
        <v>60</v>
      </c>
      <c r="H2629">
        <v>24</v>
      </c>
    </row>
    <row r="2630" spans="1:8" x14ac:dyDescent="0.25">
      <c r="A2630" t="s">
        <v>3294</v>
      </c>
      <c r="B2630" t="s">
        <v>115</v>
      </c>
      <c r="C2630" t="s">
        <v>101</v>
      </c>
      <c r="D2630" t="s">
        <v>232</v>
      </c>
      <c r="E2630">
        <v>126</v>
      </c>
      <c r="F2630">
        <v>12</v>
      </c>
      <c r="G2630">
        <v>52</v>
      </c>
      <c r="H2630">
        <v>36</v>
      </c>
    </row>
    <row r="2631" spans="1:8" x14ac:dyDescent="0.25">
      <c r="A2631" t="s">
        <v>3295</v>
      </c>
      <c r="B2631" t="s">
        <v>115</v>
      </c>
      <c r="C2631" t="s">
        <v>101</v>
      </c>
      <c r="D2631" t="s">
        <v>233</v>
      </c>
      <c r="E2631">
        <v>127</v>
      </c>
      <c r="F2631">
        <v>20</v>
      </c>
      <c r="G2631">
        <v>54</v>
      </c>
      <c r="H2631">
        <v>26</v>
      </c>
    </row>
    <row r="2632" spans="1:8" x14ac:dyDescent="0.25">
      <c r="A2632" t="s">
        <v>3296</v>
      </c>
      <c r="B2632" t="s">
        <v>115</v>
      </c>
      <c r="C2632" t="s">
        <v>101</v>
      </c>
      <c r="D2632" t="s">
        <v>234</v>
      </c>
      <c r="E2632">
        <v>109</v>
      </c>
      <c r="F2632">
        <v>21</v>
      </c>
      <c r="G2632">
        <v>51</v>
      </c>
      <c r="H2632">
        <v>28</v>
      </c>
    </row>
    <row r="2633" spans="1:8" x14ac:dyDescent="0.25">
      <c r="A2633" t="s">
        <v>3297</v>
      </c>
      <c r="B2633" t="s">
        <v>115</v>
      </c>
      <c r="C2633" t="s">
        <v>101</v>
      </c>
      <c r="D2633" t="s">
        <v>235</v>
      </c>
      <c r="E2633">
        <v>116</v>
      </c>
      <c r="F2633">
        <v>22</v>
      </c>
      <c r="G2633">
        <v>55</v>
      </c>
      <c r="H2633">
        <v>23</v>
      </c>
    </row>
    <row r="2634" spans="1:8" x14ac:dyDescent="0.25">
      <c r="A2634" t="s">
        <v>3298</v>
      </c>
      <c r="B2634" t="s">
        <v>115</v>
      </c>
      <c r="C2634" t="s">
        <v>101</v>
      </c>
      <c r="D2634" t="s">
        <v>236</v>
      </c>
      <c r="E2634">
        <v>126</v>
      </c>
      <c r="F2634">
        <v>18</v>
      </c>
      <c r="G2634">
        <v>47</v>
      </c>
      <c r="H2634">
        <v>35</v>
      </c>
    </row>
    <row r="2635" spans="1:8" x14ac:dyDescent="0.25">
      <c r="A2635" t="s">
        <v>3299</v>
      </c>
      <c r="B2635" t="s">
        <v>115</v>
      </c>
      <c r="C2635" t="s">
        <v>101</v>
      </c>
      <c r="D2635" t="s">
        <v>237</v>
      </c>
      <c r="E2635">
        <v>105</v>
      </c>
      <c r="F2635">
        <v>25</v>
      </c>
      <c r="G2635">
        <v>44</v>
      </c>
      <c r="H2635">
        <v>31</v>
      </c>
    </row>
    <row r="2636" spans="1:8" x14ac:dyDescent="0.25">
      <c r="A2636" t="s">
        <v>3300</v>
      </c>
      <c r="B2636" t="s">
        <v>115</v>
      </c>
      <c r="C2636" t="s">
        <v>101</v>
      </c>
      <c r="D2636" t="s">
        <v>238</v>
      </c>
      <c r="E2636">
        <v>116</v>
      </c>
      <c r="F2636">
        <v>20</v>
      </c>
      <c r="G2636">
        <v>55</v>
      </c>
      <c r="H2636">
        <v>25</v>
      </c>
    </row>
    <row r="2637" spans="1:8" x14ac:dyDescent="0.25">
      <c r="A2637" t="s">
        <v>3301</v>
      </c>
      <c r="B2637" t="s">
        <v>115</v>
      </c>
      <c r="C2637" t="s">
        <v>101</v>
      </c>
      <c r="D2637" t="s">
        <v>239</v>
      </c>
      <c r="E2637">
        <v>110</v>
      </c>
      <c r="F2637">
        <v>21</v>
      </c>
      <c r="G2637">
        <v>49</v>
      </c>
      <c r="H2637">
        <v>30</v>
      </c>
    </row>
    <row r="2638" spans="1:8" x14ac:dyDescent="0.25">
      <c r="A2638" t="s">
        <v>3302</v>
      </c>
      <c r="B2638" t="s">
        <v>115</v>
      </c>
      <c r="C2638" t="s">
        <v>101</v>
      </c>
      <c r="D2638" t="s">
        <v>47</v>
      </c>
      <c r="E2638">
        <v>118</v>
      </c>
      <c r="F2638">
        <v>20</v>
      </c>
      <c r="G2638">
        <v>57</v>
      </c>
      <c r="H2638">
        <v>23</v>
      </c>
    </row>
    <row r="2639" spans="1:8" x14ac:dyDescent="0.25">
      <c r="A2639" t="s">
        <v>3303</v>
      </c>
      <c r="B2639" t="s">
        <v>115</v>
      </c>
      <c r="C2639" t="s">
        <v>102</v>
      </c>
      <c r="D2639" t="s">
        <v>232</v>
      </c>
      <c r="E2639">
        <v>116</v>
      </c>
      <c r="F2639">
        <v>19</v>
      </c>
      <c r="G2639">
        <v>39</v>
      </c>
      <c r="H2639">
        <v>42</v>
      </c>
    </row>
    <row r="2640" spans="1:8" x14ac:dyDescent="0.25">
      <c r="A2640" t="s">
        <v>3304</v>
      </c>
      <c r="B2640" t="s">
        <v>115</v>
      </c>
      <c r="C2640" t="s">
        <v>102</v>
      </c>
      <c r="D2640" t="s">
        <v>233</v>
      </c>
      <c r="E2640">
        <v>115</v>
      </c>
      <c r="F2640">
        <v>24</v>
      </c>
      <c r="G2640">
        <v>38</v>
      </c>
      <c r="H2640">
        <v>38</v>
      </c>
    </row>
    <row r="2641" spans="1:8" x14ac:dyDescent="0.25">
      <c r="A2641" t="s">
        <v>3305</v>
      </c>
      <c r="B2641" t="s">
        <v>115</v>
      </c>
      <c r="C2641" t="s">
        <v>102</v>
      </c>
      <c r="D2641" t="s">
        <v>234</v>
      </c>
      <c r="E2641">
        <v>104</v>
      </c>
      <c r="F2641">
        <v>20</v>
      </c>
      <c r="G2641">
        <v>40</v>
      </c>
      <c r="H2641">
        <v>40</v>
      </c>
    </row>
    <row r="2642" spans="1:8" x14ac:dyDescent="0.25">
      <c r="A2642" t="s">
        <v>3306</v>
      </c>
      <c r="B2642" t="s">
        <v>115</v>
      </c>
      <c r="C2642" t="s">
        <v>102</v>
      </c>
      <c r="D2642" t="s">
        <v>235</v>
      </c>
      <c r="E2642">
        <v>108</v>
      </c>
      <c r="F2642">
        <v>20</v>
      </c>
      <c r="G2642">
        <v>48</v>
      </c>
      <c r="H2642">
        <v>32</v>
      </c>
    </row>
    <row r="2643" spans="1:8" x14ac:dyDescent="0.25">
      <c r="A2643" t="s">
        <v>3307</v>
      </c>
      <c r="B2643" t="s">
        <v>115</v>
      </c>
      <c r="C2643" t="s">
        <v>102</v>
      </c>
      <c r="D2643" t="s">
        <v>236</v>
      </c>
      <c r="E2643">
        <v>112</v>
      </c>
      <c r="F2643">
        <v>25</v>
      </c>
      <c r="G2643">
        <v>41</v>
      </c>
      <c r="H2643">
        <v>34</v>
      </c>
    </row>
    <row r="2644" spans="1:8" x14ac:dyDescent="0.25">
      <c r="A2644" t="s">
        <v>3308</v>
      </c>
      <c r="B2644" t="s">
        <v>115</v>
      </c>
      <c r="C2644" t="s">
        <v>102</v>
      </c>
      <c r="D2644" t="s">
        <v>237</v>
      </c>
      <c r="E2644">
        <v>87</v>
      </c>
      <c r="F2644">
        <v>17</v>
      </c>
      <c r="G2644">
        <v>50</v>
      </c>
      <c r="H2644">
        <v>33</v>
      </c>
    </row>
    <row r="2645" spans="1:8" x14ac:dyDescent="0.25">
      <c r="A2645" t="s">
        <v>3309</v>
      </c>
      <c r="B2645" t="s">
        <v>115</v>
      </c>
      <c r="C2645" t="s">
        <v>102</v>
      </c>
      <c r="D2645" t="s">
        <v>238</v>
      </c>
      <c r="E2645">
        <v>109</v>
      </c>
      <c r="F2645">
        <v>15</v>
      </c>
      <c r="G2645">
        <v>46</v>
      </c>
      <c r="H2645">
        <v>39</v>
      </c>
    </row>
    <row r="2646" spans="1:8" x14ac:dyDescent="0.25">
      <c r="A2646" t="s">
        <v>3310</v>
      </c>
      <c r="B2646" t="s">
        <v>115</v>
      </c>
      <c r="C2646" t="s">
        <v>102</v>
      </c>
      <c r="D2646" t="s">
        <v>239</v>
      </c>
      <c r="E2646">
        <v>104</v>
      </c>
      <c r="F2646">
        <v>17</v>
      </c>
      <c r="G2646">
        <v>38</v>
      </c>
      <c r="H2646">
        <v>45</v>
      </c>
    </row>
    <row r="2647" spans="1:8" x14ac:dyDescent="0.25">
      <c r="A2647" t="s">
        <v>3311</v>
      </c>
      <c r="B2647" t="s">
        <v>115</v>
      </c>
      <c r="C2647" t="s">
        <v>102</v>
      </c>
      <c r="D2647" t="s">
        <v>47</v>
      </c>
      <c r="E2647">
        <v>101</v>
      </c>
      <c r="F2647">
        <v>17</v>
      </c>
      <c r="G2647">
        <v>52</v>
      </c>
      <c r="H2647">
        <v>31</v>
      </c>
    </row>
    <row r="2648" spans="1:8" x14ac:dyDescent="0.25">
      <c r="A2648" t="s">
        <v>3312</v>
      </c>
      <c r="B2648" t="s">
        <v>115</v>
      </c>
      <c r="C2648" t="s">
        <v>31</v>
      </c>
      <c r="D2648" t="s">
        <v>232</v>
      </c>
      <c r="E2648">
        <v>151</v>
      </c>
      <c r="F2648">
        <v>18</v>
      </c>
      <c r="G2648">
        <v>56</v>
      </c>
      <c r="H2648">
        <v>26</v>
      </c>
    </row>
    <row r="2649" spans="1:8" x14ac:dyDescent="0.25">
      <c r="A2649" t="s">
        <v>3313</v>
      </c>
      <c r="B2649" t="s">
        <v>115</v>
      </c>
      <c r="C2649" t="s">
        <v>31</v>
      </c>
      <c r="D2649" t="s">
        <v>233</v>
      </c>
      <c r="E2649">
        <v>149</v>
      </c>
      <c r="F2649">
        <v>18</v>
      </c>
      <c r="G2649">
        <v>50</v>
      </c>
      <c r="H2649">
        <v>32</v>
      </c>
    </row>
    <row r="2650" spans="1:8" x14ac:dyDescent="0.25">
      <c r="A2650" t="s">
        <v>3314</v>
      </c>
      <c r="B2650" t="s">
        <v>115</v>
      </c>
      <c r="C2650" t="s">
        <v>31</v>
      </c>
      <c r="D2650" t="s">
        <v>234</v>
      </c>
      <c r="E2650">
        <v>133</v>
      </c>
      <c r="F2650">
        <v>14</v>
      </c>
      <c r="G2650">
        <v>51</v>
      </c>
      <c r="H2650">
        <v>35</v>
      </c>
    </row>
    <row r="2651" spans="1:8" x14ac:dyDescent="0.25">
      <c r="A2651" t="s">
        <v>3315</v>
      </c>
      <c r="B2651" t="s">
        <v>115</v>
      </c>
      <c r="C2651" t="s">
        <v>31</v>
      </c>
      <c r="D2651" t="s">
        <v>235</v>
      </c>
      <c r="E2651">
        <v>131</v>
      </c>
      <c r="F2651">
        <v>13</v>
      </c>
      <c r="G2651">
        <v>59</v>
      </c>
      <c r="H2651">
        <v>28</v>
      </c>
    </row>
    <row r="2652" spans="1:8" x14ac:dyDescent="0.25">
      <c r="A2652" t="s">
        <v>3316</v>
      </c>
      <c r="B2652" t="s">
        <v>115</v>
      </c>
      <c r="C2652" t="s">
        <v>31</v>
      </c>
      <c r="D2652" t="s">
        <v>236</v>
      </c>
      <c r="E2652">
        <v>150</v>
      </c>
      <c r="F2652">
        <v>18</v>
      </c>
      <c r="G2652">
        <v>48</v>
      </c>
      <c r="H2652">
        <v>34</v>
      </c>
    </row>
    <row r="2653" spans="1:8" x14ac:dyDescent="0.25">
      <c r="A2653" t="s">
        <v>3317</v>
      </c>
      <c r="B2653" t="s">
        <v>115</v>
      </c>
      <c r="C2653" t="s">
        <v>31</v>
      </c>
      <c r="D2653" t="s">
        <v>237</v>
      </c>
      <c r="E2653">
        <v>124</v>
      </c>
      <c r="F2653">
        <v>12</v>
      </c>
      <c r="G2653">
        <v>50</v>
      </c>
      <c r="H2653">
        <v>38</v>
      </c>
    </row>
    <row r="2654" spans="1:8" x14ac:dyDescent="0.25">
      <c r="A2654" t="s">
        <v>3318</v>
      </c>
      <c r="B2654" t="s">
        <v>115</v>
      </c>
      <c r="C2654" t="s">
        <v>31</v>
      </c>
      <c r="D2654" t="s">
        <v>238</v>
      </c>
      <c r="E2654">
        <v>146</v>
      </c>
      <c r="F2654">
        <v>14</v>
      </c>
      <c r="G2654">
        <v>52</v>
      </c>
      <c r="H2654">
        <v>34</v>
      </c>
    </row>
    <row r="2655" spans="1:8" x14ac:dyDescent="0.25">
      <c r="A2655" t="s">
        <v>3319</v>
      </c>
      <c r="B2655" t="s">
        <v>115</v>
      </c>
      <c r="C2655" t="s">
        <v>31</v>
      </c>
      <c r="D2655" t="s">
        <v>239</v>
      </c>
      <c r="E2655">
        <v>131</v>
      </c>
      <c r="F2655">
        <v>18</v>
      </c>
      <c r="G2655">
        <v>53</v>
      </c>
      <c r="H2655">
        <v>29</v>
      </c>
    </row>
    <row r="2656" spans="1:8" x14ac:dyDescent="0.25">
      <c r="A2656" t="s">
        <v>3320</v>
      </c>
      <c r="B2656" t="s">
        <v>115</v>
      </c>
      <c r="C2656" t="s">
        <v>31</v>
      </c>
      <c r="D2656" t="s">
        <v>47</v>
      </c>
      <c r="E2656">
        <v>143</v>
      </c>
      <c r="F2656">
        <v>22</v>
      </c>
      <c r="G2656">
        <v>54</v>
      </c>
      <c r="H2656">
        <v>24</v>
      </c>
    </row>
    <row r="2657" spans="1:8" x14ac:dyDescent="0.25">
      <c r="A2657" t="s">
        <v>3321</v>
      </c>
      <c r="B2657" t="s">
        <v>135</v>
      </c>
      <c r="C2657" t="s">
        <v>103</v>
      </c>
      <c r="D2657" t="s">
        <v>232</v>
      </c>
      <c r="E2657">
        <v>258</v>
      </c>
      <c r="F2657">
        <v>16</v>
      </c>
      <c r="G2657">
        <v>67</v>
      </c>
      <c r="H2657">
        <v>17</v>
      </c>
    </row>
    <row r="2658" spans="1:8" x14ac:dyDescent="0.25">
      <c r="A2658" t="s">
        <v>3322</v>
      </c>
      <c r="B2658" t="s">
        <v>135</v>
      </c>
      <c r="C2658" t="s">
        <v>103</v>
      </c>
      <c r="D2658" t="s">
        <v>233</v>
      </c>
      <c r="E2658">
        <v>230</v>
      </c>
      <c r="F2658">
        <v>14</v>
      </c>
      <c r="G2658">
        <v>73</v>
      </c>
      <c r="H2658">
        <v>13</v>
      </c>
    </row>
    <row r="2659" spans="1:8" x14ac:dyDescent="0.25">
      <c r="A2659" t="s">
        <v>3323</v>
      </c>
      <c r="B2659" t="s">
        <v>135</v>
      </c>
      <c r="C2659" t="s">
        <v>103</v>
      </c>
      <c r="D2659" t="s">
        <v>234</v>
      </c>
      <c r="E2659">
        <v>226</v>
      </c>
      <c r="F2659">
        <v>11</v>
      </c>
      <c r="G2659">
        <v>67</v>
      </c>
      <c r="H2659">
        <v>22</v>
      </c>
    </row>
    <row r="2660" spans="1:8" x14ac:dyDescent="0.25">
      <c r="A2660" t="s">
        <v>3324</v>
      </c>
      <c r="B2660" t="s">
        <v>135</v>
      </c>
      <c r="C2660" t="s">
        <v>103</v>
      </c>
      <c r="D2660" t="s">
        <v>235</v>
      </c>
      <c r="E2660">
        <v>189</v>
      </c>
      <c r="F2660">
        <v>15</v>
      </c>
      <c r="G2660">
        <v>63</v>
      </c>
      <c r="H2660">
        <v>22</v>
      </c>
    </row>
    <row r="2661" spans="1:8" x14ac:dyDescent="0.25">
      <c r="A2661" t="s">
        <v>3325</v>
      </c>
      <c r="B2661" t="s">
        <v>135</v>
      </c>
      <c r="C2661" t="s">
        <v>103</v>
      </c>
      <c r="D2661" t="s">
        <v>236</v>
      </c>
      <c r="E2661">
        <v>188</v>
      </c>
      <c r="F2661">
        <v>14</v>
      </c>
      <c r="G2661">
        <v>69</v>
      </c>
      <c r="H2661">
        <v>17</v>
      </c>
    </row>
    <row r="2662" spans="1:8" x14ac:dyDescent="0.25">
      <c r="A2662" t="s">
        <v>3326</v>
      </c>
      <c r="B2662" t="s">
        <v>135</v>
      </c>
      <c r="C2662" t="s">
        <v>103</v>
      </c>
      <c r="D2662" t="s">
        <v>237</v>
      </c>
      <c r="E2662">
        <v>196</v>
      </c>
      <c r="F2662">
        <v>12</v>
      </c>
      <c r="G2662">
        <v>68</v>
      </c>
      <c r="H2662">
        <v>20</v>
      </c>
    </row>
    <row r="2663" spans="1:8" x14ac:dyDescent="0.25">
      <c r="A2663" t="s">
        <v>3327</v>
      </c>
      <c r="B2663" t="s">
        <v>135</v>
      </c>
      <c r="C2663" t="s">
        <v>103</v>
      </c>
      <c r="D2663" t="s">
        <v>238</v>
      </c>
      <c r="E2663">
        <v>206</v>
      </c>
      <c r="F2663">
        <v>14</v>
      </c>
      <c r="G2663">
        <v>67</v>
      </c>
      <c r="H2663">
        <v>19</v>
      </c>
    </row>
    <row r="2664" spans="1:8" x14ac:dyDescent="0.25">
      <c r="A2664" t="s">
        <v>3328</v>
      </c>
      <c r="B2664" t="s">
        <v>135</v>
      </c>
      <c r="C2664" t="s">
        <v>103</v>
      </c>
      <c r="D2664" t="s">
        <v>239</v>
      </c>
      <c r="E2664">
        <v>215</v>
      </c>
      <c r="F2664">
        <v>13</v>
      </c>
      <c r="G2664">
        <v>70</v>
      </c>
      <c r="H2664">
        <v>17</v>
      </c>
    </row>
    <row r="2665" spans="1:8" x14ac:dyDescent="0.25">
      <c r="A2665" t="s">
        <v>3329</v>
      </c>
      <c r="B2665" t="s">
        <v>135</v>
      </c>
      <c r="C2665" t="s">
        <v>103</v>
      </c>
      <c r="D2665" t="s">
        <v>47</v>
      </c>
      <c r="E2665">
        <v>198</v>
      </c>
      <c r="F2665">
        <v>11</v>
      </c>
      <c r="G2665">
        <v>70</v>
      </c>
      <c r="H2665">
        <v>19</v>
      </c>
    </row>
    <row r="2666" spans="1:8" x14ac:dyDescent="0.25">
      <c r="A2666" t="s">
        <v>3330</v>
      </c>
      <c r="B2666" t="s">
        <v>135</v>
      </c>
      <c r="C2666" t="s">
        <v>100</v>
      </c>
      <c r="D2666" t="s">
        <v>232</v>
      </c>
      <c r="E2666">
        <v>256</v>
      </c>
      <c r="F2666">
        <v>10</v>
      </c>
      <c r="G2666">
        <v>53</v>
      </c>
      <c r="H2666">
        <v>37</v>
      </c>
    </row>
    <row r="2667" spans="1:8" x14ac:dyDescent="0.25">
      <c r="A2667" t="s">
        <v>3331</v>
      </c>
      <c r="B2667" t="s">
        <v>135</v>
      </c>
      <c r="C2667" t="s">
        <v>100</v>
      </c>
      <c r="D2667" t="s">
        <v>233</v>
      </c>
      <c r="E2667">
        <v>230</v>
      </c>
      <c r="F2667">
        <v>11</v>
      </c>
      <c r="G2667">
        <v>64</v>
      </c>
      <c r="H2667">
        <v>25</v>
      </c>
    </row>
    <row r="2668" spans="1:8" x14ac:dyDescent="0.25">
      <c r="A2668" t="s">
        <v>3332</v>
      </c>
      <c r="B2668" t="s">
        <v>135</v>
      </c>
      <c r="C2668" t="s">
        <v>100</v>
      </c>
      <c r="D2668" t="s">
        <v>234</v>
      </c>
      <c r="E2668">
        <v>226</v>
      </c>
      <c r="F2668">
        <v>10</v>
      </c>
      <c r="G2668">
        <v>54</v>
      </c>
      <c r="H2668">
        <v>36</v>
      </c>
    </row>
    <row r="2669" spans="1:8" x14ac:dyDescent="0.25">
      <c r="A2669" t="s">
        <v>3333</v>
      </c>
      <c r="B2669" t="s">
        <v>135</v>
      </c>
      <c r="C2669" t="s">
        <v>100</v>
      </c>
      <c r="D2669" t="s">
        <v>235</v>
      </c>
      <c r="E2669">
        <v>188</v>
      </c>
      <c r="F2669">
        <v>8</v>
      </c>
      <c r="G2669">
        <v>58</v>
      </c>
      <c r="H2669">
        <v>34</v>
      </c>
    </row>
    <row r="2670" spans="1:8" x14ac:dyDescent="0.25">
      <c r="A2670" t="s">
        <v>3334</v>
      </c>
      <c r="B2670" t="s">
        <v>135</v>
      </c>
      <c r="C2670" t="s">
        <v>100</v>
      </c>
      <c r="D2670" t="s">
        <v>236</v>
      </c>
      <c r="E2670">
        <v>193</v>
      </c>
      <c r="F2670">
        <v>14</v>
      </c>
      <c r="G2670">
        <v>62</v>
      </c>
      <c r="H2670">
        <v>24</v>
      </c>
    </row>
    <row r="2671" spans="1:8" x14ac:dyDescent="0.25">
      <c r="A2671" t="s">
        <v>3335</v>
      </c>
      <c r="B2671" t="s">
        <v>135</v>
      </c>
      <c r="C2671" t="s">
        <v>100</v>
      </c>
      <c r="D2671" t="s">
        <v>237</v>
      </c>
      <c r="E2671">
        <v>194</v>
      </c>
      <c r="F2671">
        <v>9</v>
      </c>
      <c r="G2671">
        <v>61</v>
      </c>
      <c r="H2671">
        <v>30</v>
      </c>
    </row>
    <row r="2672" spans="1:8" x14ac:dyDescent="0.25">
      <c r="A2672" t="s">
        <v>3336</v>
      </c>
      <c r="B2672" t="s">
        <v>135</v>
      </c>
      <c r="C2672" t="s">
        <v>100</v>
      </c>
      <c r="D2672" t="s">
        <v>238</v>
      </c>
      <c r="E2672">
        <v>210</v>
      </c>
      <c r="F2672">
        <v>12</v>
      </c>
      <c r="G2672">
        <v>60</v>
      </c>
      <c r="H2672">
        <v>28</v>
      </c>
    </row>
    <row r="2673" spans="1:8" x14ac:dyDescent="0.25">
      <c r="A2673" t="s">
        <v>3337</v>
      </c>
      <c r="B2673" t="s">
        <v>135</v>
      </c>
      <c r="C2673" t="s">
        <v>100</v>
      </c>
      <c r="D2673" t="s">
        <v>239</v>
      </c>
      <c r="E2673">
        <v>212</v>
      </c>
      <c r="F2673">
        <v>11</v>
      </c>
      <c r="G2673">
        <v>58</v>
      </c>
      <c r="H2673">
        <v>31</v>
      </c>
    </row>
    <row r="2674" spans="1:8" x14ac:dyDescent="0.25">
      <c r="A2674" t="s">
        <v>3338</v>
      </c>
      <c r="B2674" t="s">
        <v>135</v>
      </c>
      <c r="C2674" t="s">
        <v>100</v>
      </c>
      <c r="D2674" t="s">
        <v>47</v>
      </c>
      <c r="E2674">
        <v>204</v>
      </c>
      <c r="F2674">
        <v>6</v>
      </c>
      <c r="G2674">
        <v>61</v>
      </c>
      <c r="H2674">
        <v>33</v>
      </c>
    </row>
    <row r="2675" spans="1:8" x14ac:dyDescent="0.25">
      <c r="A2675" t="s">
        <v>3339</v>
      </c>
      <c r="B2675" t="s">
        <v>135</v>
      </c>
      <c r="C2675" t="s">
        <v>101</v>
      </c>
      <c r="D2675" t="s">
        <v>232</v>
      </c>
    </row>
    <row r="2676" spans="1:8" x14ac:dyDescent="0.25">
      <c r="A2676" t="s">
        <v>3340</v>
      </c>
      <c r="B2676" t="s">
        <v>135</v>
      </c>
      <c r="C2676" t="s">
        <v>101</v>
      </c>
      <c r="D2676" t="s">
        <v>233</v>
      </c>
    </row>
    <row r="2677" spans="1:8" x14ac:dyDescent="0.25">
      <c r="A2677" t="s">
        <v>3341</v>
      </c>
      <c r="B2677" t="s">
        <v>135</v>
      </c>
      <c r="C2677" t="s">
        <v>101</v>
      </c>
      <c r="D2677" t="s">
        <v>234</v>
      </c>
    </row>
    <row r="2678" spans="1:8" x14ac:dyDescent="0.25">
      <c r="A2678" t="s">
        <v>3342</v>
      </c>
      <c r="B2678" t="s">
        <v>135</v>
      </c>
      <c r="C2678" t="s">
        <v>101</v>
      </c>
      <c r="D2678" t="s">
        <v>235</v>
      </c>
    </row>
    <row r="2679" spans="1:8" x14ac:dyDescent="0.25">
      <c r="A2679" t="s">
        <v>3343</v>
      </c>
      <c r="B2679" t="s">
        <v>135</v>
      </c>
      <c r="C2679" t="s">
        <v>101</v>
      </c>
      <c r="D2679" t="s">
        <v>236</v>
      </c>
    </row>
    <row r="2680" spans="1:8" x14ac:dyDescent="0.25">
      <c r="A2680" t="s">
        <v>3344</v>
      </c>
      <c r="B2680" t="s">
        <v>135</v>
      </c>
      <c r="C2680" t="s">
        <v>101</v>
      </c>
      <c r="D2680" t="s">
        <v>237</v>
      </c>
    </row>
    <row r="2681" spans="1:8" x14ac:dyDescent="0.25">
      <c r="A2681" t="s">
        <v>3345</v>
      </c>
      <c r="B2681" t="s">
        <v>135</v>
      </c>
      <c r="C2681" t="s">
        <v>101</v>
      </c>
      <c r="D2681" t="s">
        <v>238</v>
      </c>
    </row>
    <row r="2682" spans="1:8" x14ac:dyDescent="0.25">
      <c r="A2682" t="s">
        <v>3346</v>
      </c>
      <c r="B2682" t="s">
        <v>135</v>
      </c>
      <c r="C2682" t="s">
        <v>101</v>
      </c>
      <c r="D2682" t="s">
        <v>239</v>
      </c>
    </row>
    <row r="2683" spans="1:8" x14ac:dyDescent="0.25">
      <c r="A2683" t="s">
        <v>3347</v>
      </c>
      <c r="B2683" t="s">
        <v>135</v>
      </c>
      <c r="C2683" t="s">
        <v>101</v>
      </c>
      <c r="D2683" t="s">
        <v>47</v>
      </c>
    </row>
    <row r="2684" spans="1:8" x14ac:dyDescent="0.25">
      <c r="A2684" t="s">
        <v>3348</v>
      </c>
      <c r="B2684" t="s">
        <v>135</v>
      </c>
      <c r="C2684" t="s">
        <v>102</v>
      </c>
      <c r="D2684" t="s">
        <v>232</v>
      </c>
      <c r="E2684">
        <v>215</v>
      </c>
      <c r="F2684">
        <v>16</v>
      </c>
      <c r="G2684">
        <v>50</v>
      </c>
      <c r="H2684">
        <v>34</v>
      </c>
    </row>
    <row r="2685" spans="1:8" x14ac:dyDescent="0.25">
      <c r="A2685" t="s">
        <v>3349</v>
      </c>
      <c r="B2685" t="s">
        <v>135</v>
      </c>
      <c r="C2685" t="s">
        <v>102</v>
      </c>
      <c r="D2685" t="s">
        <v>233</v>
      </c>
      <c r="E2685">
        <v>197</v>
      </c>
      <c r="F2685">
        <v>13</v>
      </c>
      <c r="G2685">
        <v>56</v>
      </c>
      <c r="H2685">
        <v>31</v>
      </c>
    </row>
    <row r="2686" spans="1:8" x14ac:dyDescent="0.25">
      <c r="A2686" t="s">
        <v>3350</v>
      </c>
      <c r="B2686" t="s">
        <v>135</v>
      </c>
      <c r="C2686" t="s">
        <v>102</v>
      </c>
      <c r="D2686" t="s">
        <v>234</v>
      </c>
      <c r="E2686">
        <v>197</v>
      </c>
      <c r="F2686">
        <v>13</v>
      </c>
      <c r="G2686">
        <v>54</v>
      </c>
      <c r="H2686">
        <v>33</v>
      </c>
    </row>
    <row r="2687" spans="1:8" x14ac:dyDescent="0.25">
      <c r="A2687" t="s">
        <v>3351</v>
      </c>
      <c r="B2687" t="s">
        <v>135</v>
      </c>
      <c r="C2687" t="s">
        <v>102</v>
      </c>
      <c r="D2687" t="s">
        <v>235</v>
      </c>
      <c r="E2687">
        <v>165</v>
      </c>
      <c r="F2687">
        <v>19</v>
      </c>
      <c r="G2687">
        <v>49</v>
      </c>
      <c r="H2687">
        <v>32</v>
      </c>
    </row>
    <row r="2688" spans="1:8" x14ac:dyDescent="0.25">
      <c r="A2688" t="s">
        <v>3352</v>
      </c>
      <c r="B2688" t="s">
        <v>135</v>
      </c>
      <c r="C2688" t="s">
        <v>102</v>
      </c>
      <c r="D2688" t="s">
        <v>236</v>
      </c>
      <c r="E2688">
        <v>169</v>
      </c>
      <c r="F2688">
        <v>17</v>
      </c>
      <c r="G2688">
        <v>64</v>
      </c>
      <c r="H2688">
        <v>19</v>
      </c>
    </row>
    <row r="2689" spans="1:8" x14ac:dyDescent="0.25">
      <c r="A2689" t="s">
        <v>3353</v>
      </c>
      <c r="B2689" t="s">
        <v>135</v>
      </c>
      <c r="C2689" t="s">
        <v>102</v>
      </c>
      <c r="D2689" t="s">
        <v>237</v>
      </c>
      <c r="E2689">
        <v>176</v>
      </c>
      <c r="F2689">
        <v>18</v>
      </c>
      <c r="G2689">
        <v>53</v>
      </c>
      <c r="H2689">
        <v>29</v>
      </c>
    </row>
    <row r="2690" spans="1:8" x14ac:dyDescent="0.25">
      <c r="A2690" t="s">
        <v>3354</v>
      </c>
      <c r="B2690" t="s">
        <v>135</v>
      </c>
      <c r="C2690" t="s">
        <v>102</v>
      </c>
      <c r="D2690" t="s">
        <v>238</v>
      </c>
      <c r="E2690">
        <v>187</v>
      </c>
      <c r="F2690">
        <v>16</v>
      </c>
      <c r="G2690">
        <v>59</v>
      </c>
      <c r="H2690">
        <v>25</v>
      </c>
    </row>
    <row r="2691" spans="1:8" x14ac:dyDescent="0.25">
      <c r="A2691" t="s">
        <v>3355</v>
      </c>
      <c r="B2691" t="s">
        <v>135</v>
      </c>
      <c r="C2691" t="s">
        <v>102</v>
      </c>
      <c r="D2691" t="s">
        <v>239</v>
      </c>
      <c r="E2691">
        <v>182</v>
      </c>
      <c r="F2691">
        <v>18</v>
      </c>
      <c r="G2691">
        <v>48</v>
      </c>
      <c r="H2691">
        <v>34</v>
      </c>
    </row>
    <row r="2692" spans="1:8" x14ac:dyDescent="0.25">
      <c r="A2692" t="s">
        <v>3356</v>
      </c>
      <c r="B2692" t="s">
        <v>135</v>
      </c>
      <c r="C2692" t="s">
        <v>102</v>
      </c>
      <c r="D2692" t="s">
        <v>47</v>
      </c>
      <c r="E2692">
        <v>177</v>
      </c>
      <c r="F2692">
        <v>14</v>
      </c>
      <c r="G2692">
        <v>54</v>
      </c>
      <c r="H2692">
        <v>32</v>
      </c>
    </row>
    <row r="2693" spans="1:8" x14ac:dyDescent="0.25">
      <c r="A2693" t="s">
        <v>3357</v>
      </c>
      <c r="B2693" t="s">
        <v>135</v>
      </c>
      <c r="C2693" t="s">
        <v>31</v>
      </c>
      <c r="D2693" t="s">
        <v>232</v>
      </c>
      <c r="E2693">
        <v>262</v>
      </c>
      <c r="F2693">
        <v>33</v>
      </c>
      <c r="G2693">
        <v>53</v>
      </c>
      <c r="H2693">
        <v>14</v>
      </c>
    </row>
    <row r="2694" spans="1:8" x14ac:dyDescent="0.25">
      <c r="A2694" t="s">
        <v>3358</v>
      </c>
      <c r="B2694" t="s">
        <v>135</v>
      </c>
      <c r="C2694" t="s">
        <v>31</v>
      </c>
      <c r="D2694" t="s">
        <v>233</v>
      </c>
      <c r="E2694">
        <v>233</v>
      </c>
      <c r="F2694">
        <v>40</v>
      </c>
      <c r="G2694">
        <v>48</v>
      </c>
      <c r="H2694">
        <v>12</v>
      </c>
    </row>
    <row r="2695" spans="1:8" x14ac:dyDescent="0.25">
      <c r="A2695" t="s">
        <v>3359</v>
      </c>
      <c r="B2695" t="s">
        <v>135</v>
      </c>
      <c r="C2695" t="s">
        <v>31</v>
      </c>
      <c r="D2695" t="s">
        <v>234</v>
      </c>
      <c r="E2695">
        <v>232</v>
      </c>
      <c r="F2695">
        <v>39</v>
      </c>
      <c r="G2695">
        <v>52</v>
      </c>
      <c r="H2695">
        <v>9</v>
      </c>
    </row>
    <row r="2696" spans="1:8" x14ac:dyDescent="0.25">
      <c r="A2696" t="s">
        <v>3360</v>
      </c>
      <c r="B2696" t="s">
        <v>135</v>
      </c>
      <c r="C2696" t="s">
        <v>31</v>
      </c>
      <c r="D2696" t="s">
        <v>235</v>
      </c>
      <c r="E2696">
        <v>193</v>
      </c>
      <c r="F2696">
        <v>35</v>
      </c>
      <c r="G2696">
        <v>54</v>
      </c>
      <c r="H2696">
        <v>11</v>
      </c>
    </row>
    <row r="2697" spans="1:8" x14ac:dyDescent="0.25">
      <c r="A2697" t="s">
        <v>3361</v>
      </c>
      <c r="B2697" t="s">
        <v>135</v>
      </c>
      <c r="C2697" t="s">
        <v>31</v>
      </c>
      <c r="D2697" t="s">
        <v>236</v>
      </c>
      <c r="E2697">
        <v>202</v>
      </c>
      <c r="F2697">
        <v>28</v>
      </c>
      <c r="G2697">
        <v>58</v>
      </c>
      <c r="H2697">
        <v>14</v>
      </c>
    </row>
    <row r="2698" spans="1:8" x14ac:dyDescent="0.25">
      <c r="A2698" t="s">
        <v>3362</v>
      </c>
      <c r="B2698" t="s">
        <v>135</v>
      </c>
      <c r="C2698" t="s">
        <v>31</v>
      </c>
      <c r="D2698" t="s">
        <v>237</v>
      </c>
      <c r="E2698">
        <v>195</v>
      </c>
      <c r="F2698">
        <v>36</v>
      </c>
      <c r="G2698">
        <v>49</v>
      </c>
      <c r="H2698">
        <v>15</v>
      </c>
    </row>
    <row r="2699" spans="1:8" x14ac:dyDescent="0.25">
      <c r="A2699" t="s">
        <v>3363</v>
      </c>
      <c r="B2699" t="s">
        <v>135</v>
      </c>
      <c r="C2699" t="s">
        <v>31</v>
      </c>
      <c r="D2699" t="s">
        <v>238</v>
      </c>
      <c r="E2699">
        <v>213</v>
      </c>
      <c r="F2699">
        <v>30</v>
      </c>
      <c r="G2699">
        <v>55</v>
      </c>
      <c r="H2699">
        <v>15</v>
      </c>
    </row>
    <row r="2700" spans="1:8" x14ac:dyDescent="0.25">
      <c r="A2700" t="s">
        <v>3364</v>
      </c>
      <c r="B2700" t="s">
        <v>135</v>
      </c>
      <c r="C2700" t="s">
        <v>31</v>
      </c>
      <c r="D2700" t="s">
        <v>239</v>
      </c>
      <c r="E2700">
        <v>215</v>
      </c>
      <c r="F2700">
        <v>29</v>
      </c>
      <c r="G2700">
        <v>55</v>
      </c>
      <c r="H2700">
        <v>16</v>
      </c>
    </row>
    <row r="2701" spans="1:8" x14ac:dyDescent="0.25">
      <c r="A2701" t="s">
        <v>3365</v>
      </c>
      <c r="B2701" t="s">
        <v>135</v>
      </c>
      <c r="C2701" t="s">
        <v>31</v>
      </c>
      <c r="D2701" t="s">
        <v>47</v>
      </c>
      <c r="E2701">
        <v>199</v>
      </c>
      <c r="F2701">
        <v>31</v>
      </c>
      <c r="G2701">
        <v>56</v>
      </c>
      <c r="H2701">
        <v>13</v>
      </c>
    </row>
    <row r="2702" spans="1:8" x14ac:dyDescent="0.25">
      <c r="A2702" t="s">
        <v>3366</v>
      </c>
      <c r="B2702" t="s">
        <v>160</v>
      </c>
      <c r="C2702" t="s">
        <v>103</v>
      </c>
      <c r="D2702" t="s">
        <v>232</v>
      </c>
      <c r="E2702">
        <v>772</v>
      </c>
      <c r="F2702">
        <v>21</v>
      </c>
      <c r="G2702">
        <v>63</v>
      </c>
      <c r="H2702">
        <v>16</v>
      </c>
    </row>
    <row r="2703" spans="1:8" x14ac:dyDescent="0.25">
      <c r="A2703" t="s">
        <v>3367</v>
      </c>
      <c r="B2703" t="s">
        <v>160</v>
      </c>
      <c r="C2703" t="s">
        <v>103</v>
      </c>
      <c r="D2703" t="s">
        <v>233</v>
      </c>
      <c r="E2703">
        <v>661</v>
      </c>
      <c r="F2703">
        <v>19</v>
      </c>
      <c r="G2703">
        <v>63</v>
      </c>
      <c r="H2703">
        <v>18</v>
      </c>
    </row>
    <row r="2704" spans="1:8" x14ac:dyDescent="0.25">
      <c r="A2704" t="s">
        <v>3368</v>
      </c>
      <c r="B2704" t="s">
        <v>160</v>
      </c>
      <c r="C2704" t="s">
        <v>103</v>
      </c>
      <c r="D2704" t="s">
        <v>234</v>
      </c>
      <c r="E2704">
        <v>680</v>
      </c>
      <c r="F2704">
        <v>17</v>
      </c>
      <c r="G2704">
        <v>64</v>
      </c>
      <c r="H2704">
        <v>19</v>
      </c>
    </row>
    <row r="2705" spans="1:8" x14ac:dyDescent="0.25">
      <c r="A2705" t="s">
        <v>3369</v>
      </c>
      <c r="B2705" t="s">
        <v>160</v>
      </c>
      <c r="C2705" t="s">
        <v>103</v>
      </c>
      <c r="D2705" t="s">
        <v>235</v>
      </c>
      <c r="E2705">
        <v>623</v>
      </c>
      <c r="F2705">
        <v>15</v>
      </c>
      <c r="G2705">
        <v>65</v>
      </c>
      <c r="H2705">
        <v>20</v>
      </c>
    </row>
    <row r="2706" spans="1:8" x14ac:dyDescent="0.25">
      <c r="A2706" t="s">
        <v>3370</v>
      </c>
      <c r="B2706" t="s">
        <v>160</v>
      </c>
      <c r="C2706" t="s">
        <v>103</v>
      </c>
      <c r="D2706" t="s">
        <v>236</v>
      </c>
      <c r="E2706">
        <v>709</v>
      </c>
      <c r="F2706">
        <v>14</v>
      </c>
      <c r="G2706">
        <v>70</v>
      </c>
      <c r="H2706">
        <v>16</v>
      </c>
    </row>
    <row r="2707" spans="1:8" x14ac:dyDescent="0.25">
      <c r="A2707" t="s">
        <v>3371</v>
      </c>
      <c r="B2707" t="s">
        <v>160</v>
      </c>
      <c r="C2707" t="s">
        <v>103</v>
      </c>
      <c r="D2707" t="s">
        <v>237</v>
      </c>
      <c r="E2707">
        <v>674</v>
      </c>
      <c r="F2707">
        <v>15</v>
      </c>
      <c r="G2707">
        <v>71</v>
      </c>
      <c r="H2707">
        <v>14</v>
      </c>
    </row>
    <row r="2708" spans="1:8" x14ac:dyDescent="0.25">
      <c r="A2708" t="s">
        <v>3372</v>
      </c>
      <c r="B2708" t="s">
        <v>160</v>
      </c>
      <c r="C2708" t="s">
        <v>103</v>
      </c>
      <c r="D2708" t="s">
        <v>238</v>
      </c>
      <c r="E2708">
        <v>846</v>
      </c>
      <c r="F2708">
        <v>13</v>
      </c>
      <c r="G2708">
        <v>73</v>
      </c>
      <c r="H2708">
        <v>14</v>
      </c>
    </row>
    <row r="2709" spans="1:8" x14ac:dyDescent="0.25">
      <c r="A2709" t="s">
        <v>3373</v>
      </c>
      <c r="B2709" t="s">
        <v>160</v>
      </c>
      <c r="C2709" t="s">
        <v>103</v>
      </c>
      <c r="D2709" t="s">
        <v>239</v>
      </c>
      <c r="E2709">
        <v>704</v>
      </c>
      <c r="F2709">
        <v>11</v>
      </c>
      <c r="G2709">
        <v>72</v>
      </c>
      <c r="H2709">
        <v>17</v>
      </c>
    </row>
    <row r="2710" spans="1:8" x14ac:dyDescent="0.25">
      <c r="A2710" t="s">
        <v>3374</v>
      </c>
      <c r="B2710" t="s">
        <v>160</v>
      </c>
      <c r="C2710" t="s">
        <v>103</v>
      </c>
      <c r="D2710" t="s">
        <v>47</v>
      </c>
      <c r="E2710">
        <v>730</v>
      </c>
      <c r="F2710">
        <v>13</v>
      </c>
      <c r="G2710">
        <v>68</v>
      </c>
      <c r="H2710">
        <v>19</v>
      </c>
    </row>
    <row r="2711" spans="1:8" x14ac:dyDescent="0.25">
      <c r="A2711" t="s">
        <v>3375</v>
      </c>
      <c r="B2711" t="s">
        <v>160</v>
      </c>
      <c r="C2711" t="s">
        <v>100</v>
      </c>
      <c r="D2711" t="s">
        <v>232</v>
      </c>
      <c r="E2711">
        <v>779</v>
      </c>
      <c r="F2711">
        <v>24</v>
      </c>
      <c r="G2711">
        <v>52</v>
      </c>
      <c r="H2711">
        <v>24</v>
      </c>
    </row>
    <row r="2712" spans="1:8" x14ac:dyDescent="0.25">
      <c r="A2712" t="s">
        <v>3376</v>
      </c>
      <c r="B2712" t="s">
        <v>160</v>
      </c>
      <c r="C2712" t="s">
        <v>100</v>
      </c>
      <c r="D2712" t="s">
        <v>233</v>
      </c>
      <c r="E2712">
        <v>679</v>
      </c>
      <c r="F2712">
        <v>21</v>
      </c>
      <c r="G2712">
        <v>55</v>
      </c>
      <c r="H2712">
        <v>24</v>
      </c>
    </row>
    <row r="2713" spans="1:8" x14ac:dyDescent="0.25">
      <c r="A2713" t="s">
        <v>3377</v>
      </c>
      <c r="B2713" t="s">
        <v>160</v>
      </c>
      <c r="C2713" t="s">
        <v>100</v>
      </c>
      <c r="D2713" t="s">
        <v>234</v>
      </c>
      <c r="E2713">
        <v>689</v>
      </c>
      <c r="F2713">
        <v>17</v>
      </c>
      <c r="G2713">
        <v>60</v>
      </c>
      <c r="H2713">
        <v>23</v>
      </c>
    </row>
    <row r="2714" spans="1:8" x14ac:dyDescent="0.25">
      <c r="A2714" t="s">
        <v>3378</v>
      </c>
      <c r="B2714" t="s">
        <v>160</v>
      </c>
      <c r="C2714" t="s">
        <v>100</v>
      </c>
      <c r="D2714" t="s">
        <v>235</v>
      </c>
      <c r="E2714">
        <v>630</v>
      </c>
      <c r="F2714">
        <v>18</v>
      </c>
      <c r="G2714">
        <v>56</v>
      </c>
      <c r="H2714">
        <v>26</v>
      </c>
    </row>
    <row r="2715" spans="1:8" x14ac:dyDescent="0.25">
      <c r="A2715" t="s">
        <v>3379</v>
      </c>
      <c r="B2715" t="s">
        <v>160</v>
      </c>
      <c r="C2715" t="s">
        <v>100</v>
      </c>
      <c r="D2715" t="s">
        <v>236</v>
      </c>
      <c r="E2715">
        <v>721</v>
      </c>
      <c r="F2715">
        <v>21</v>
      </c>
      <c r="G2715">
        <v>58</v>
      </c>
      <c r="H2715">
        <v>21</v>
      </c>
    </row>
    <row r="2716" spans="1:8" x14ac:dyDescent="0.25">
      <c r="A2716" t="s">
        <v>3380</v>
      </c>
      <c r="B2716" t="s">
        <v>160</v>
      </c>
      <c r="C2716" t="s">
        <v>100</v>
      </c>
      <c r="D2716" t="s">
        <v>237</v>
      </c>
      <c r="E2716">
        <v>695</v>
      </c>
      <c r="F2716">
        <v>21</v>
      </c>
      <c r="G2716">
        <v>60</v>
      </c>
      <c r="H2716">
        <v>19</v>
      </c>
    </row>
    <row r="2717" spans="1:8" x14ac:dyDescent="0.25">
      <c r="A2717" t="s">
        <v>3381</v>
      </c>
      <c r="B2717" t="s">
        <v>160</v>
      </c>
      <c r="C2717" t="s">
        <v>100</v>
      </c>
      <c r="D2717" t="s">
        <v>238</v>
      </c>
      <c r="E2717">
        <v>863</v>
      </c>
      <c r="F2717">
        <v>23</v>
      </c>
      <c r="G2717">
        <v>56</v>
      </c>
      <c r="H2717">
        <v>21</v>
      </c>
    </row>
    <row r="2718" spans="1:8" x14ac:dyDescent="0.25">
      <c r="A2718" t="s">
        <v>3382</v>
      </c>
      <c r="B2718" t="s">
        <v>160</v>
      </c>
      <c r="C2718" t="s">
        <v>100</v>
      </c>
      <c r="D2718" t="s">
        <v>239</v>
      </c>
      <c r="E2718">
        <v>719</v>
      </c>
      <c r="F2718">
        <v>17</v>
      </c>
      <c r="G2718">
        <v>56</v>
      </c>
      <c r="H2718">
        <v>27</v>
      </c>
    </row>
    <row r="2719" spans="1:8" x14ac:dyDescent="0.25">
      <c r="A2719" t="s">
        <v>3383</v>
      </c>
      <c r="B2719" t="s">
        <v>160</v>
      </c>
      <c r="C2719" t="s">
        <v>100</v>
      </c>
      <c r="D2719" t="s">
        <v>47</v>
      </c>
      <c r="E2719">
        <v>739</v>
      </c>
      <c r="F2719">
        <v>20</v>
      </c>
      <c r="G2719">
        <v>57</v>
      </c>
      <c r="H2719">
        <v>23</v>
      </c>
    </row>
    <row r="2720" spans="1:8" x14ac:dyDescent="0.25">
      <c r="A2720" t="s">
        <v>3384</v>
      </c>
      <c r="B2720" t="s">
        <v>160</v>
      </c>
      <c r="C2720" t="s">
        <v>101</v>
      </c>
      <c r="D2720" t="s">
        <v>232</v>
      </c>
    </row>
    <row r="2721" spans="1:8" x14ac:dyDescent="0.25">
      <c r="A2721" t="s">
        <v>3385</v>
      </c>
      <c r="B2721" t="s">
        <v>160</v>
      </c>
      <c r="C2721" t="s">
        <v>101</v>
      </c>
      <c r="D2721" t="s">
        <v>233</v>
      </c>
    </row>
    <row r="2722" spans="1:8" x14ac:dyDescent="0.25">
      <c r="A2722" t="s">
        <v>3386</v>
      </c>
      <c r="B2722" t="s">
        <v>160</v>
      </c>
      <c r="C2722" t="s">
        <v>101</v>
      </c>
      <c r="D2722" t="s">
        <v>234</v>
      </c>
    </row>
    <row r="2723" spans="1:8" x14ac:dyDescent="0.25">
      <c r="A2723" t="s">
        <v>3387</v>
      </c>
      <c r="B2723" t="s">
        <v>160</v>
      </c>
      <c r="C2723" t="s">
        <v>101</v>
      </c>
      <c r="D2723" t="s">
        <v>235</v>
      </c>
    </row>
    <row r="2724" spans="1:8" x14ac:dyDescent="0.25">
      <c r="A2724" t="s">
        <v>3388</v>
      </c>
      <c r="B2724" t="s">
        <v>160</v>
      </c>
      <c r="C2724" t="s">
        <v>101</v>
      </c>
      <c r="D2724" t="s">
        <v>236</v>
      </c>
    </row>
    <row r="2725" spans="1:8" x14ac:dyDescent="0.25">
      <c r="A2725" t="s">
        <v>3389</v>
      </c>
      <c r="B2725" t="s">
        <v>160</v>
      </c>
      <c r="C2725" t="s">
        <v>101</v>
      </c>
      <c r="D2725" t="s">
        <v>237</v>
      </c>
    </row>
    <row r="2726" spans="1:8" x14ac:dyDescent="0.25">
      <c r="A2726" t="s">
        <v>3390</v>
      </c>
      <c r="B2726" t="s">
        <v>160</v>
      </c>
      <c r="C2726" t="s">
        <v>101</v>
      </c>
      <c r="D2726" t="s">
        <v>238</v>
      </c>
    </row>
    <row r="2727" spans="1:8" x14ac:dyDescent="0.25">
      <c r="A2727" t="s">
        <v>3391</v>
      </c>
      <c r="B2727" t="s">
        <v>160</v>
      </c>
      <c r="C2727" t="s">
        <v>101</v>
      </c>
      <c r="D2727" t="s">
        <v>239</v>
      </c>
    </row>
    <row r="2728" spans="1:8" x14ac:dyDescent="0.25">
      <c r="A2728" t="s">
        <v>3392</v>
      </c>
      <c r="B2728" t="s">
        <v>160</v>
      </c>
      <c r="C2728" t="s">
        <v>101</v>
      </c>
      <c r="D2728" t="s">
        <v>47</v>
      </c>
    </row>
    <row r="2729" spans="1:8" x14ac:dyDescent="0.25">
      <c r="A2729" t="s">
        <v>3393</v>
      </c>
      <c r="B2729" t="s">
        <v>160</v>
      </c>
      <c r="C2729" t="s">
        <v>102</v>
      </c>
      <c r="D2729" t="s">
        <v>232</v>
      </c>
      <c r="E2729">
        <v>673</v>
      </c>
      <c r="F2729">
        <v>22</v>
      </c>
      <c r="G2729">
        <v>50</v>
      </c>
      <c r="H2729">
        <v>28</v>
      </c>
    </row>
    <row r="2730" spans="1:8" x14ac:dyDescent="0.25">
      <c r="A2730" t="s">
        <v>3394</v>
      </c>
      <c r="B2730" t="s">
        <v>160</v>
      </c>
      <c r="C2730" t="s">
        <v>102</v>
      </c>
      <c r="D2730" t="s">
        <v>233</v>
      </c>
      <c r="E2730">
        <v>576</v>
      </c>
      <c r="F2730">
        <v>21</v>
      </c>
      <c r="G2730">
        <v>49</v>
      </c>
      <c r="H2730">
        <v>30</v>
      </c>
    </row>
    <row r="2731" spans="1:8" x14ac:dyDescent="0.25">
      <c r="A2731" t="s">
        <v>3395</v>
      </c>
      <c r="B2731" t="s">
        <v>160</v>
      </c>
      <c r="C2731" t="s">
        <v>102</v>
      </c>
      <c r="D2731" t="s">
        <v>234</v>
      </c>
      <c r="E2731">
        <v>569</v>
      </c>
      <c r="F2731">
        <v>21</v>
      </c>
      <c r="G2731">
        <v>47</v>
      </c>
      <c r="H2731">
        <v>32</v>
      </c>
    </row>
    <row r="2732" spans="1:8" x14ac:dyDescent="0.25">
      <c r="A2732" t="s">
        <v>3396</v>
      </c>
      <c r="B2732" t="s">
        <v>160</v>
      </c>
      <c r="C2732" t="s">
        <v>102</v>
      </c>
      <c r="D2732" t="s">
        <v>235</v>
      </c>
      <c r="E2732">
        <v>550</v>
      </c>
      <c r="F2732">
        <v>23</v>
      </c>
      <c r="G2732">
        <v>48</v>
      </c>
      <c r="H2732">
        <v>29</v>
      </c>
    </row>
    <row r="2733" spans="1:8" x14ac:dyDescent="0.25">
      <c r="A2733" t="s">
        <v>3397</v>
      </c>
      <c r="B2733" t="s">
        <v>160</v>
      </c>
      <c r="C2733" t="s">
        <v>102</v>
      </c>
      <c r="D2733" t="s">
        <v>236</v>
      </c>
      <c r="E2733">
        <v>587</v>
      </c>
      <c r="F2733">
        <v>17</v>
      </c>
      <c r="G2733">
        <v>52</v>
      </c>
      <c r="H2733">
        <v>31</v>
      </c>
    </row>
    <row r="2734" spans="1:8" x14ac:dyDescent="0.25">
      <c r="A2734" t="s">
        <v>3398</v>
      </c>
      <c r="B2734" t="s">
        <v>160</v>
      </c>
      <c r="C2734" t="s">
        <v>102</v>
      </c>
      <c r="D2734" t="s">
        <v>237</v>
      </c>
      <c r="E2734">
        <v>590</v>
      </c>
      <c r="F2734">
        <v>23</v>
      </c>
      <c r="G2734">
        <v>52</v>
      </c>
      <c r="H2734">
        <v>25</v>
      </c>
    </row>
    <row r="2735" spans="1:8" x14ac:dyDescent="0.25">
      <c r="A2735" t="s">
        <v>3399</v>
      </c>
      <c r="B2735" t="s">
        <v>160</v>
      </c>
      <c r="C2735" t="s">
        <v>102</v>
      </c>
      <c r="D2735" t="s">
        <v>238</v>
      </c>
      <c r="E2735">
        <v>706</v>
      </c>
      <c r="F2735">
        <v>23</v>
      </c>
      <c r="G2735">
        <v>50</v>
      </c>
      <c r="H2735">
        <v>27</v>
      </c>
    </row>
    <row r="2736" spans="1:8" x14ac:dyDescent="0.25">
      <c r="A2736" t="s">
        <v>3400</v>
      </c>
      <c r="B2736" t="s">
        <v>160</v>
      </c>
      <c r="C2736" t="s">
        <v>102</v>
      </c>
      <c r="D2736" t="s">
        <v>239</v>
      </c>
      <c r="E2736">
        <v>589</v>
      </c>
      <c r="F2736">
        <v>22</v>
      </c>
      <c r="G2736">
        <v>51</v>
      </c>
      <c r="H2736">
        <v>27</v>
      </c>
    </row>
    <row r="2737" spans="1:8" x14ac:dyDescent="0.25">
      <c r="A2737" t="s">
        <v>3401</v>
      </c>
      <c r="B2737" t="s">
        <v>160</v>
      </c>
      <c r="C2737" t="s">
        <v>102</v>
      </c>
      <c r="D2737" t="s">
        <v>47</v>
      </c>
      <c r="E2737">
        <v>605</v>
      </c>
      <c r="F2737">
        <v>22</v>
      </c>
      <c r="G2737">
        <v>49</v>
      </c>
      <c r="H2737">
        <v>29</v>
      </c>
    </row>
    <row r="2738" spans="1:8" x14ac:dyDescent="0.25">
      <c r="A2738" t="s">
        <v>3402</v>
      </c>
      <c r="B2738" t="s">
        <v>160</v>
      </c>
      <c r="C2738" t="s">
        <v>31</v>
      </c>
      <c r="D2738" t="s">
        <v>232</v>
      </c>
      <c r="E2738">
        <v>792</v>
      </c>
      <c r="F2738">
        <v>35</v>
      </c>
      <c r="G2738">
        <v>47</v>
      </c>
      <c r="H2738">
        <v>18</v>
      </c>
    </row>
    <row r="2739" spans="1:8" x14ac:dyDescent="0.25">
      <c r="A2739" t="s">
        <v>3403</v>
      </c>
      <c r="B2739" t="s">
        <v>160</v>
      </c>
      <c r="C2739" t="s">
        <v>31</v>
      </c>
      <c r="D2739" t="s">
        <v>233</v>
      </c>
      <c r="E2739">
        <v>684</v>
      </c>
      <c r="F2739">
        <v>34</v>
      </c>
      <c r="G2739">
        <v>47</v>
      </c>
      <c r="H2739">
        <v>19</v>
      </c>
    </row>
    <row r="2740" spans="1:8" x14ac:dyDescent="0.25">
      <c r="A2740" t="s">
        <v>3404</v>
      </c>
      <c r="B2740" t="s">
        <v>160</v>
      </c>
      <c r="C2740" t="s">
        <v>31</v>
      </c>
      <c r="D2740" t="s">
        <v>234</v>
      </c>
      <c r="E2740">
        <v>696</v>
      </c>
      <c r="F2740">
        <v>32</v>
      </c>
      <c r="G2740">
        <v>43</v>
      </c>
      <c r="H2740">
        <v>25</v>
      </c>
    </row>
    <row r="2741" spans="1:8" x14ac:dyDescent="0.25">
      <c r="A2741" t="s">
        <v>3405</v>
      </c>
      <c r="B2741" t="s">
        <v>160</v>
      </c>
      <c r="C2741" t="s">
        <v>31</v>
      </c>
      <c r="D2741" t="s">
        <v>235</v>
      </c>
      <c r="E2741">
        <v>644</v>
      </c>
      <c r="F2741">
        <v>35</v>
      </c>
      <c r="G2741">
        <v>45</v>
      </c>
      <c r="H2741">
        <v>20</v>
      </c>
    </row>
    <row r="2742" spans="1:8" x14ac:dyDescent="0.25">
      <c r="A2742" t="s">
        <v>3406</v>
      </c>
      <c r="B2742" t="s">
        <v>160</v>
      </c>
      <c r="C2742" t="s">
        <v>31</v>
      </c>
      <c r="D2742" t="s">
        <v>236</v>
      </c>
      <c r="E2742">
        <v>731</v>
      </c>
      <c r="F2742">
        <v>30</v>
      </c>
      <c r="G2742">
        <v>48</v>
      </c>
      <c r="H2742">
        <v>22</v>
      </c>
    </row>
    <row r="2743" spans="1:8" x14ac:dyDescent="0.25">
      <c r="A2743" t="s">
        <v>3407</v>
      </c>
      <c r="B2743" t="s">
        <v>160</v>
      </c>
      <c r="C2743" t="s">
        <v>31</v>
      </c>
      <c r="D2743" t="s">
        <v>237</v>
      </c>
      <c r="E2743">
        <v>701</v>
      </c>
      <c r="F2743">
        <v>32</v>
      </c>
      <c r="G2743">
        <v>49</v>
      </c>
      <c r="H2743">
        <v>19</v>
      </c>
    </row>
    <row r="2744" spans="1:8" x14ac:dyDescent="0.25">
      <c r="A2744" t="s">
        <v>3408</v>
      </c>
      <c r="B2744" t="s">
        <v>160</v>
      </c>
      <c r="C2744" t="s">
        <v>31</v>
      </c>
      <c r="D2744" t="s">
        <v>238</v>
      </c>
      <c r="E2744">
        <v>872</v>
      </c>
      <c r="F2744">
        <v>33</v>
      </c>
      <c r="G2744">
        <v>46</v>
      </c>
      <c r="H2744">
        <v>21</v>
      </c>
    </row>
    <row r="2745" spans="1:8" x14ac:dyDescent="0.25">
      <c r="A2745" t="s">
        <v>3409</v>
      </c>
      <c r="B2745" t="s">
        <v>160</v>
      </c>
      <c r="C2745" t="s">
        <v>31</v>
      </c>
      <c r="D2745" t="s">
        <v>239</v>
      </c>
      <c r="E2745">
        <v>728</v>
      </c>
      <c r="F2745">
        <v>28</v>
      </c>
      <c r="G2745">
        <v>48</v>
      </c>
      <c r="H2745">
        <v>24</v>
      </c>
    </row>
    <row r="2746" spans="1:8" x14ac:dyDescent="0.25">
      <c r="A2746" t="s">
        <v>3410</v>
      </c>
      <c r="B2746" t="s">
        <v>160</v>
      </c>
      <c r="C2746" t="s">
        <v>31</v>
      </c>
      <c r="D2746" t="s">
        <v>47</v>
      </c>
      <c r="E2746">
        <v>740</v>
      </c>
      <c r="F2746">
        <v>31</v>
      </c>
      <c r="G2746">
        <v>44</v>
      </c>
      <c r="H2746">
        <v>25</v>
      </c>
    </row>
    <row r="2747" spans="1:8" x14ac:dyDescent="0.25">
      <c r="A2747" t="s">
        <v>3411</v>
      </c>
      <c r="B2747" t="s">
        <v>140</v>
      </c>
      <c r="C2747" t="s">
        <v>103</v>
      </c>
      <c r="D2747" t="s">
        <v>232</v>
      </c>
      <c r="E2747">
        <v>1679</v>
      </c>
      <c r="F2747">
        <v>10</v>
      </c>
      <c r="G2747">
        <v>62</v>
      </c>
      <c r="H2747">
        <v>28</v>
      </c>
    </row>
    <row r="2748" spans="1:8" x14ac:dyDescent="0.25">
      <c r="A2748" t="s">
        <v>3412</v>
      </c>
      <c r="B2748" t="s">
        <v>140</v>
      </c>
      <c r="C2748" t="s">
        <v>103</v>
      </c>
      <c r="D2748" t="s">
        <v>233</v>
      </c>
      <c r="E2748">
        <v>1518</v>
      </c>
      <c r="F2748">
        <v>11</v>
      </c>
      <c r="G2748">
        <v>65</v>
      </c>
      <c r="H2748">
        <v>24</v>
      </c>
    </row>
    <row r="2749" spans="1:8" x14ac:dyDescent="0.25">
      <c r="A2749" t="s">
        <v>3413</v>
      </c>
      <c r="B2749" t="s">
        <v>140</v>
      </c>
      <c r="C2749" t="s">
        <v>103</v>
      </c>
      <c r="D2749" t="s">
        <v>234</v>
      </c>
      <c r="E2749">
        <v>1467</v>
      </c>
      <c r="F2749">
        <v>9</v>
      </c>
      <c r="G2749">
        <v>65</v>
      </c>
      <c r="H2749">
        <v>26</v>
      </c>
    </row>
    <row r="2750" spans="1:8" x14ac:dyDescent="0.25">
      <c r="A2750" t="s">
        <v>3414</v>
      </c>
      <c r="B2750" t="s">
        <v>140</v>
      </c>
      <c r="C2750" t="s">
        <v>103</v>
      </c>
      <c r="D2750" t="s">
        <v>235</v>
      </c>
      <c r="E2750">
        <v>1422</v>
      </c>
      <c r="F2750">
        <v>11</v>
      </c>
      <c r="G2750">
        <v>65</v>
      </c>
      <c r="H2750">
        <v>24</v>
      </c>
    </row>
    <row r="2751" spans="1:8" x14ac:dyDescent="0.25">
      <c r="A2751" t="s">
        <v>3415</v>
      </c>
      <c r="B2751" t="s">
        <v>140</v>
      </c>
      <c r="C2751" t="s">
        <v>103</v>
      </c>
      <c r="D2751" t="s">
        <v>236</v>
      </c>
      <c r="E2751">
        <v>1365</v>
      </c>
      <c r="F2751">
        <v>12</v>
      </c>
      <c r="G2751">
        <v>64</v>
      </c>
      <c r="H2751">
        <v>24</v>
      </c>
    </row>
    <row r="2752" spans="1:8" x14ac:dyDescent="0.25">
      <c r="A2752" t="s">
        <v>3416</v>
      </c>
      <c r="B2752" t="s">
        <v>140</v>
      </c>
      <c r="C2752" t="s">
        <v>103</v>
      </c>
      <c r="D2752" t="s">
        <v>237</v>
      </c>
      <c r="E2752">
        <v>1383</v>
      </c>
      <c r="F2752">
        <v>12</v>
      </c>
      <c r="G2752">
        <v>65</v>
      </c>
      <c r="H2752">
        <v>23</v>
      </c>
    </row>
    <row r="2753" spans="1:8" x14ac:dyDescent="0.25">
      <c r="A2753" t="s">
        <v>3417</v>
      </c>
      <c r="B2753" t="s">
        <v>140</v>
      </c>
      <c r="C2753" t="s">
        <v>103</v>
      </c>
      <c r="D2753" t="s">
        <v>238</v>
      </c>
      <c r="E2753">
        <v>1562</v>
      </c>
      <c r="F2753">
        <v>10</v>
      </c>
      <c r="G2753">
        <v>64</v>
      </c>
      <c r="H2753">
        <v>26</v>
      </c>
    </row>
    <row r="2754" spans="1:8" x14ac:dyDescent="0.25">
      <c r="A2754" t="s">
        <v>3418</v>
      </c>
      <c r="B2754" t="s">
        <v>140</v>
      </c>
      <c r="C2754" t="s">
        <v>103</v>
      </c>
      <c r="D2754" t="s">
        <v>239</v>
      </c>
      <c r="E2754">
        <v>1410</v>
      </c>
      <c r="F2754">
        <v>9</v>
      </c>
      <c r="G2754">
        <v>65</v>
      </c>
      <c r="H2754">
        <v>26</v>
      </c>
    </row>
    <row r="2755" spans="1:8" x14ac:dyDescent="0.25">
      <c r="A2755" t="s">
        <v>3419</v>
      </c>
      <c r="B2755" t="s">
        <v>140</v>
      </c>
      <c r="C2755" t="s">
        <v>103</v>
      </c>
      <c r="D2755" t="s">
        <v>47</v>
      </c>
      <c r="E2755">
        <v>1348</v>
      </c>
      <c r="F2755">
        <v>10</v>
      </c>
      <c r="G2755">
        <v>66</v>
      </c>
      <c r="H2755">
        <v>24</v>
      </c>
    </row>
    <row r="2756" spans="1:8" x14ac:dyDescent="0.25">
      <c r="A2756" t="s">
        <v>3420</v>
      </c>
      <c r="B2756" t="s">
        <v>140</v>
      </c>
      <c r="C2756" t="s">
        <v>100</v>
      </c>
      <c r="D2756" t="s">
        <v>232</v>
      </c>
      <c r="E2756">
        <v>1695</v>
      </c>
      <c r="F2756">
        <v>8</v>
      </c>
      <c r="G2756">
        <v>49</v>
      </c>
      <c r="H2756">
        <v>43</v>
      </c>
    </row>
    <row r="2757" spans="1:8" x14ac:dyDescent="0.25">
      <c r="A2757" t="s">
        <v>3421</v>
      </c>
      <c r="B2757" t="s">
        <v>140</v>
      </c>
      <c r="C2757" t="s">
        <v>100</v>
      </c>
      <c r="D2757" t="s">
        <v>233</v>
      </c>
      <c r="E2757">
        <v>1537</v>
      </c>
      <c r="F2757">
        <v>12</v>
      </c>
      <c r="G2757">
        <v>59</v>
      </c>
      <c r="H2757">
        <v>29</v>
      </c>
    </row>
    <row r="2758" spans="1:8" x14ac:dyDescent="0.25">
      <c r="A2758" t="s">
        <v>3422</v>
      </c>
      <c r="B2758" t="s">
        <v>140</v>
      </c>
      <c r="C2758" t="s">
        <v>100</v>
      </c>
      <c r="D2758" t="s">
        <v>234</v>
      </c>
      <c r="E2758">
        <v>1493</v>
      </c>
      <c r="F2758">
        <v>10</v>
      </c>
      <c r="G2758">
        <v>54</v>
      </c>
      <c r="H2758">
        <v>36</v>
      </c>
    </row>
    <row r="2759" spans="1:8" x14ac:dyDescent="0.25">
      <c r="A2759" t="s">
        <v>3423</v>
      </c>
      <c r="B2759" t="s">
        <v>140</v>
      </c>
      <c r="C2759" t="s">
        <v>100</v>
      </c>
      <c r="D2759" t="s">
        <v>235</v>
      </c>
      <c r="E2759">
        <v>1435</v>
      </c>
      <c r="F2759">
        <v>9</v>
      </c>
      <c r="G2759">
        <v>54</v>
      </c>
      <c r="H2759">
        <v>37</v>
      </c>
    </row>
    <row r="2760" spans="1:8" x14ac:dyDescent="0.25">
      <c r="A2760" t="s">
        <v>3424</v>
      </c>
      <c r="B2760" t="s">
        <v>140</v>
      </c>
      <c r="C2760" t="s">
        <v>100</v>
      </c>
      <c r="D2760" t="s">
        <v>236</v>
      </c>
      <c r="E2760">
        <v>1423</v>
      </c>
      <c r="F2760">
        <v>11</v>
      </c>
      <c r="G2760">
        <v>60</v>
      </c>
      <c r="H2760">
        <v>29</v>
      </c>
    </row>
    <row r="2761" spans="1:8" x14ac:dyDescent="0.25">
      <c r="A2761" t="s">
        <v>3425</v>
      </c>
      <c r="B2761" t="s">
        <v>140</v>
      </c>
      <c r="C2761" t="s">
        <v>100</v>
      </c>
      <c r="D2761" t="s">
        <v>237</v>
      </c>
      <c r="E2761">
        <v>1400</v>
      </c>
      <c r="F2761">
        <v>9</v>
      </c>
      <c r="G2761">
        <v>62</v>
      </c>
      <c r="H2761">
        <v>29</v>
      </c>
    </row>
    <row r="2762" spans="1:8" x14ac:dyDescent="0.25">
      <c r="A2762" t="s">
        <v>3426</v>
      </c>
      <c r="B2762" t="s">
        <v>140</v>
      </c>
      <c r="C2762" t="s">
        <v>100</v>
      </c>
      <c r="D2762" t="s">
        <v>238</v>
      </c>
      <c r="E2762">
        <v>1591</v>
      </c>
      <c r="F2762">
        <v>10</v>
      </c>
      <c r="G2762">
        <v>57</v>
      </c>
      <c r="H2762">
        <v>33</v>
      </c>
    </row>
    <row r="2763" spans="1:8" x14ac:dyDescent="0.25">
      <c r="A2763" t="s">
        <v>3427</v>
      </c>
      <c r="B2763" t="s">
        <v>140</v>
      </c>
      <c r="C2763" t="s">
        <v>100</v>
      </c>
      <c r="D2763" t="s">
        <v>239</v>
      </c>
      <c r="E2763">
        <v>1432</v>
      </c>
      <c r="F2763">
        <v>8</v>
      </c>
      <c r="G2763">
        <v>49</v>
      </c>
      <c r="H2763">
        <v>43</v>
      </c>
    </row>
    <row r="2764" spans="1:8" x14ac:dyDescent="0.25">
      <c r="A2764" t="s">
        <v>3428</v>
      </c>
      <c r="B2764" t="s">
        <v>140</v>
      </c>
      <c r="C2764" t="s">
        <v>100</v>
      </c>
      <c r="D2764" t="s">
        <v>47</v>
      </c>
      <c r="E2764">
        <v>1374</v>
      </c>
      <c r="F2764">
        <v>11</v>
      </c>
      <c r="G2764">
        <v>54</v>
      </c>
      <c r="H2764">
        <v>35</v>
      </c>
    </row>
    <row r="2765" spans="1:8" x14ac:dyDescent="0.25">
      <c r="A2765" t="s">
        <v>3429</v>
      </c>
      <c r="B2765" t="s">
        <v>140</v>
      </c>
      <c r="C2765" t="s">
        <v>101</v>
      </c>
      <c r="D2765" t="s">
        <v>232</v>
      </c>
    </row>
    <row r="2766" spans="1:8" x14ac:dyDescent="0.25">
      <c r="A2766" t="s">
        <v>3430</v>
      </c>
      <c r="B2766" t="s">
        <v>140</v>
      </c>
      <c r="C2766" t="s">
        <v>101</v>
      </c>
      <c r="D2766" t="s">
        <v>233</v>
      </c>
    </row>
    <row r="2767" spans="1:8" x14ac:dyDescent="0.25">
      <c r="A2767" t="s">
        <v>3431</v>
      </c>
      <c r="B2767" t="s">
        <v>140</v>
      </c>
      <c r="C2767" t="s">
        <v>101</v>
      </c>
      <c r="D2767" t="s">
        <v>234</v>
      </c>
    </row>
    <row r="2768" spans="1:8" x14ac:dyDescent="0.25">
      <c r="A2768" t="s">
        <v>3432</v>
      </c>
      <c r="B2768" t="s">
        <v>140</v>
      </c>
      <c r="C2768" t="s">
        <v>101</v>
      </c>
      <c r="D2768" t="s">
        <v>235</v>
      </c>
    </row>
    <row r="2769" spans="1:8" x14ac:dyDescent="0.25">
      <c r="A2769" t="s">
        <v>3433</v>
      </c>
      <c r="B2769" t="s">
        <v>140</v>
      </c>
      <c r="C2769" t="s">
        <v>101</v>
      </c>
      <c r="D2769" t="s">
        <v>236</v>
      </c>
    </row>
    <row r="2770" spans="1:8" x14ac:dyDescent="0.25">
      <c r="A2770" t="s">
        <v>3434</v>
      </c>
      <c r="B2770" t="s">
        <v>140</v>
      </c>
      <c r="C2770" t="s">
        <v>101</v>
      </c>
      <c r="D2770" t="s">
        <v>237</v>
      </c>
    </row>
    <row r="2771" spans="1:8" x14ac:dyDescent="0.25">
      <c r="A2771" t="s">
        <v>3435</v>
      </c>
      <c r="B2771" t="s">
        <v>140</v>
      </c>
      <c r="C2771" t="s">
        <v>101</v>
      </c>
      <c r="D2771" t="s">
        <v>238</v>
      </c>
    </row>
    <row r="2772" spans="1:8" x14ac:dyDescent="0.25">
      <c r="A2772" t="s">
        <v>3436</v>
      </c>
      <c r="B2772" t="s">
        <v>140</v>
      </c>
      <c r="C2772" t="s">
        <v>101</v>
      </c>
      <c r="D2772" t="s">
        <v>239</v>
      </c>
    </row>
    <row r="2773" spans="1:8" x14ac:dyDescent="0.25">
      <c r="A2773" t="s">
        <v>3437</v>
      </c>
      <c r="B2773" t="s">
        <v>140</v>
      </c>
      <c r="C2773" t="s">
        <v>101</v>
      </c>
      <c r="D2773" t="s">
        <v>47</v>
      </c>
    </row>
    <row r="2774" spans="1:8" x14ac:dyDescent="0.25">
      <c r="A2774" t="s">
        <v>3438</v>
      </c>
      <c r="B2774" t="s">
        <v>140</v>
      </c>
      <c r="C2774" t="s">
        <v>102</v>
      </c>
      <c r="D2774" t="s">
        <v>232</v>
      </c>
      <c r="E2774">
        <v>1402</v>
      </c>
      <c r="F2774">
        <v>23</v>
      </c>
      <c r="G2774">
        <v>39</v>
      </c>
      <c r="H2774">
        <v>38</v>
      </c>
    </row>
    <row r="2775" spans="1:8" x14ac:dyDescent="0.25">
      <c r="A2775" t="s">
        <v>3439</v>
      </c>
      <c r="B2775" t="s">
        <v>140</v>
      </c>
      <c r="C2775" t="s">
        <v>102</v>
      </c>
      <c r="D2775" t="s">
        <v>233</v>
      </c>
      <c r="E2775">
        <v>1257</v>
      </c>
      <c r="F2775">
        <v>24</v>
      </c>
      <c r="G2775">
        <v>42</v>
      </c>
      <c r="H2775">
        <v>34</v>
      </c>
    </row>
    <row r="2776" spans="1:8" x14ac:dyDescent="0.25">
      <c r="A2776" t="s">
        <v>3440</v>
      </c>
      <c r="B2776" t="s">
        <v>140</v>
      </c>
      <c r="C2776" t="s">
        <v>102</v>
      </c>
      <c r="D2776" t="s">
        <v>234</v>
      </c>
      <c r="E2776">
        <v>1213</v>
      </c>
      <c r="F2776">
        <v>25</v>
      </c>
      <c r="G2776">
        <v>40</v>
      </c>
      <c r="H2776">
        <v>35</v>
      </c>
    </row>
    <row r="2777" spans="1:8" x14ac:dyDescent="0.25">
      <c r="A2777" t="s">
        <v>3441</v>
      </c>
      <c r="B2777" t="s">
        <v>140</v>
      </c>
      <c r="C2777" t="s">
        <v>102</v>
      </c>
      <c r="D2777" t="s">
        <v>235</v>
      </c>
      <c r="E2777">
        <v>1198</v>
      </c>
      <c r="F2777">
        <v>25</v>
      </c>
      <c r="G2777">
        <v>42</v>
      </c>
      <c r="H2777">
        <v>33</v>
      </c>
    </row>
    <row r="2778" spans="1:8" x14ac:dyDescent="0.25">
      <c r="A2778" t="s">
        <v>3442</v>
      </c>
      <c r="B2778" t="s">
        <v>140</v>
      </c>
      <c r="C2778" t="s">
        <v>102</v>
      </c>
      <c r="D2778" t="s">
        <v>236</v>
      </c>
      <c r="E2778">
        <v>1096</v>
      </c>
      <c r="F2778">
        <v>25</v>
      </c>
      <c r="G2778">
        <v>46</v>
      </c>
      <c r="H2778">
        <v>29</v>
      </c>
    </row>
    <row r="2779" spans="1:8" x14ac:dyDescent="0.25">
      <c r="A2779" t="s">
        <v>3443</v>
      </c>
      <c r="B2779" t="s">
        <v>140</v>
      </c>
      <c r="C2779" t="s">
        <v>102</v>
      </c>
      <c r="D2779" t="s">
        <v>237</v>
      </c>
      <c r="E2779">
        <v>1179</v>
      </c>
      <c r="F2779">
        <v>25</v>
      </c>
      <c r="G2779">
        <v>43</v>
      </c>
      <c r="H2779">
        <v>32</v>
      </c>
    </row>
    <row r="2780" spans="1:8" x14ac:dyDescent="0.25">
      <c r="A2780" t="s">
        <v>3444</v>
      </c>
      <c r="B2780" t="s">
        <v>140</v>
      </c>
      <c r="C2780" t="s">
        <v>102</v>
      </c>
      <c r="D2780" t="s">
        <v>238</v>
      </c>
      <c r="E2780">
        <v>1301</v>
      </c>
      <c r="F2780">
        <v>24</v>
      </c>
      <c r="G2780">
        <v>44</v>
      </c>
      <c r="H2780">
        <v>32</v>
      </c>
    </row>
    <row r="2781" spans="1:8" x14ac:dyDescent="0.25">
      <c r="A2781" t="s">
        <v>3445</v>
      </c>
      <c r="B2781" t="s">
        <v>140</v>
      </c>
      <c r="C2781" t="s">
        <v>102</v>
      </c>
      <c r="D2781" t="s">
        <v>239</v>
      </c>
      <c r="E2781">
        <v>1138</v>
      </c>
      <c r="F2781">
        <v>24</v>
      </c>
      <c r="G2781">
        <v>39</v>
      </c>
      <c r="H2781">
        <v>37</v>
      </c>
    </row>
    <row r="2782" spans="1:8" x14ac:dyDescent="0.25">
      <c r="A2782" t="s">
        <v>3446</v>
      </c>
      <c r="B2782" t="s">
        <v>140</v>
      </c>
      <c r="C2782" t="s">
        <v>102</v>
      </c>
      <c r="D2782" t="s">
        <v>47</v>
      </c>
      <c r="E2782">
        <v>1120</v>
      </c>
      <c r="F2782">
        <v>28</v>
      </c>
      <c r="G2782">
        <v>43</v>
      </c>
      <c r="H2782">
        <v>29</v>
      </c>
    </row>
    <row r="2783" spans="1:8" x14ac:dyDescent="0.25">
      <c r="A2783" t="s">
        <v>3447</v>
      </c>
      <c r="B2783" t="s">
        <v>140</v>
      </c>
      <c r="C2783" t="s">
        <v>31</v>
      </c>
      <c r="D2783" t="s">
        <v>232</v>
      </c>
      <c r="E2783">
        <v>1723</v>
      </c>
      <c r="F2783">
        <v>19</v>
      </c>
      <c r="G2783">
        <v>52</v>
      </c>
      <c r="H2783">
        <v>29</v>
      </c>
    </row>
    <row r="2784" spans="1:8" x14ac:dyDescent="0.25">
      <c r="A2784" t="s">
        <v>3448</v>
      </c>
      <c r="B2784" t="s">
        <v>140</v>
      </c>
      <c r="C2784" t="s">
        <v>31</v>
      </c>
      <c r="D2784" t="s">
        <v>233</v>
      </c>
      <c r="E2784">
        <v>1554</v>
      </c>
      <c r="F2784">
        <v>18</v>
      </c>
      <c r="G2784">
        <v>57</v>
      </c>
      <c r="H2784">
        <v>25</v>
      </c>
    </row>
    <row r="2785" spans="1:8" x14ac:dyDescent="0.25">
      <c r="A2785" t="s">
        <v>3449</v>
      </c>
      <c r="B2785" t="s">
        <v>140</v>
      </c>
      <c r="C2785" t="s">
        <v>31</v>
      </c>
      <c r="D2785" t="s">
        <v>234</v>
      </c>
      <c r="E2785">
        <v>1509</v>
      </c>
      <c r="F2785">
        <v>19</v>
      </c>
      <c r="G2785">
        <v>56</v>
      </c>
      <c r="H2785">
        <v>25</v>
      </c>
    </row>
    <row r="2786" spans="1:8" x14ac:dyDescent="0.25">
      <c r="A2786" t="s">
        <v>3450</v>
      </c>
      <c r="B2786" t="s">
        <v>140</v>
      </c>
      <c r="C2786" t="s">
        <v>31</v>
      </c>
      <c r="D2786" t="s">
        <v>235</v>
      </c>
      <c r="E2786">
        <v>1447</v>
      </c>
      <c r="F2786">
        <v>18</v>
      </c>
      <c r="G2786">
        <v>58</v>
      </c>
      <c r="H2786">
        <v>24</v>
      </c>
    </row>
    <row r="2787" spans="1:8" x14ac:dyDescent="0.25">
      <c r="A2787" t="s">
        <v>3451</v>
      </c>
      <c r="B2787" t="s">
        <v>140</v>
      </c>
      <c r="C2787" t="s">
        <v>31</v>
      </c>
      <c r="D2787" t="s">
        <v>236</v>
      </c>
      <c r="E2787">
        <v>1440</v>
      </c>
      <c r="F2787">
        <v>17</v>
      </c>
      <c r="G2787">
        <v>59</v>
      </c>
      <c r="H2787">
        <v>24</v>
      </c>
    </row>
    <row r="2788" spans="1:8" x14ac:dyDescent="0.25">
      <c r="A2788" t="s">
        <v>3452</v>
      </c>
      <c r="B2788" t="s">
        <v>140</v>
      </c>
      <c r="C2788" t="s">
        <v>31</v>
      </c>
      <c r="D2788" t="s">
        <v>237</v>
      </c>
      <c r="E2788">
        <v>1420</v>
      </c>
      <c r="F2788">
        <v>19</v>
      </c>
      <c r="G2788">
        <v>56</v>
      </c>
      <c r="H2788">
        <v>25</v>
      </c>
    </row>
    <row r="2789" spans="1:8" x14ac:dyDescent="0.25">
      <c r="A2789" t="s">
        <v>3453</v>
      </c>
      <c r="B2789" t="s">
        <v>140</v>
      </c>
      <c r="C2789" t="s">
        <v>31</v>
      </c>
      <c r="D2789" t="s">
        <v>238</v>
      </c>
      <c r="E2789">
        <v>1610</v>
      </c>
      <c r="F2789">
        <v>17</v>
      </c>
      <c r="G2789">
        <v>57</v>
      </c>
      <c r="H2789">
        <v>26</v>
      </c>
    </row>
    <row r="2790" spans="1:8" x14ac:dyDescent="0.25">
      <c r="A2790" t="s">
        <v>3454</v>
      </c>
      <c r="B2790" t="s">
        <v>140</v>
      </c>
      <c r="C2790" t="s">
        <v>31</v>
      </c>
      <c r="D2790" t="s">
        <v>239</v>
      </c>
      <c r="E2790">
        <v>1458</v>
      </c>
      <c r="F2790">
        <v>16</v>
      </c>
      <c r="G2790">
        <v>53</v>
      </c>
      <c r="H2790">
        <v>31</v>
      </c>
    </row>
    <row r="2791" spans="1:8" x14ac:dyDescent="0.25">
      <c r="A2791" t="s">
        <v>3455</v>
      </c>
      <c r="B2791" t="s">
        <v>140</v>
      </c>
      <c r="C2791" t="s">
        <v>31</v>
      </c>
      <c r="D2791" t="s">
        <v>47</v>
      </c>
      <c r="E2791">
        <v>1386</v>
      </c>
      <c r="F2791">
        <v>20</v>
      </c>
      <c r="G2791">
        <v>57</v>
      </c>
      <c r="H2791">
        <v>23</v>
      </c>
    </row>
    <row r="2792" spans="1:8" x14ac:dyDescent="0.25">
      <c r="A2792" t="s">
        <v>3456</v>
      </c>
      <c r="B2792" t="s">
        <v>146</v>
      </c>
      <c r="C2792" t="s">
        <v>103</v>
      </c>
      <c r="D2792" t="s">
        <v>232</v>
      </c>
      <c r="E2792">
        <v>120</v>
      </c>
      <c r="F2792">
        <v>8</v>
      </c>
      <c r="G2792">
        <v>64</v>
      </c>
      <c r="H2792">
        <v>28</v>
      </c>
    </row>
    <row r="2793" spans="1:8" x14ac:dyDescent="0.25">
      <c r="A2793" t="s">
        <v>3457</v>
      </c>
      <c r="B2793" t="s">
        <v>146</v>
      </c>
      <c r="C2793" t="s">
        <v>103</v>
      </c>
      <c r="D2793" t="s">
        <v>233</v>
      </c>
      <c r="E2793">
        <v>99</v>
      </c>
      <c r="F2793">
        <v>8</v>
      </c>
      <c r="G2793">
        <v>62</v>
      </c>
      <c r="H2793">
        <v>30</v>
      </c>
    </row>
    <row r="2794" spans="1:8" x14ac:dyDescent="0.25">
      <c r="A2794" t="s">
        <v>3458</v>
      </c>
      <c r="B2794" t="s">
        <v>146</v>
      </c>
      <c r="C2794" t="s">
        <v>103</v>
      </c>
      <c r="D2794" t="s">
        <v>234</v>
      </c>
      <c r="E2794">
        <v>100</v>
      </c>
      <c r="F2794">
        <v>9</v>
      </c>
      <c r="G2794">
        <v>56</v>
      </c>
      <c r="H2794">
        <v>35</v>
      </c>
    </row>
    <row r="2795" spans="1:8" x14ac:dyDescent="0.25">
      <c r="A2795" t="s">
        <v>3459</v>
      </c>
      <c r="B2795" t="s">
        <v>146</v>
      </c>
      <c r="C2795" t="s">
        <v>103</v>
      </c>
      <c r="D2795" t="s">
        <v>235</v>
      </c>
      <c r="E2795">
        <v>94</v>
      </c>
      <c r="F2795">
        <v>7</v>
      </c>
      <c r="G2795">
        <v>59</v>
      </c>
      <c r="H2795">
        <v>34</v>
      </c>
    </row>
    <row r="2796" spans="1:8" x14ac:dyDescent="0.25">
      <c r="A2796" t="s">
        <v>3460</v>
      </c>
      <c r="B2796" t="s">
        <v>146</v>
      </c>
      <c r="C2796" t="s">
        <v>103</v>
      </c>
      <c r="D2796" t="s">
        <v>236</v>
      </c>
      <c r="E2796">
        <v>88</v>
      </c>
      <c r="F2796">
        <v>7</v>
      </c>
      <c r="G2796">
        <v>62</v>
      </c>
      <c r="H2796">
        <v>31</v>
      </c>
    </row>
    <row r="2797" spans="1:8" x14ac:dyDescent="0.25">
      <c r="A2797" t="s">
        <v>3461</v>
      </c>
      <c r="B2797" t="s">
        <v>146</v>
      </c>
      <c r="C2797" t="s">
        <v>103</v>
      </c>
      <c r="D2797" t="s">
        <v>237</v>
      </c>
      <c r="E2797">
        <v>91</v>
      </c>
      <c r="F2797">
        <v>8</v>
      </c>
      <c r="G2797">
        <v>59</v>
      </c>
      <c r="H2797">
        <v>33</v>
      </c>
    </row>
    <row r="2798" spans="1:8" x14ac:dyDescent="0.25">
      <c r="A2798" t="s">
        <v>3462</v>
      </c>
      <c r="B2798" t="s">
        <v>146</v>
      </c>
      <c r="C2798" t="s">
        <v>103</v>
      </c>
      <c r="D2798" t="s">
        <v>238</v>
      </c>
      <c r="E2798">
        <v>115</v>
      </c>
      <c r="F2798">
        <v>5</v>
      </c>
      <c r="G2798">
        <v>54</v>
      </c>
      <c r="H2798">
        <v>41</v>
      </c>
    </row>
    <row r="2799" spans="1:8" x14ac:dyDescent="0.25">
      <c r="A2799" t="s">
        <v>3463</v>
      </c>
      <c r="B2799" t="s">
        <v>146</v>
      </c>
      <c r="C2799" t="s">
        <v>103</v>
      </c>
      <c r="D2799" t="s">
        <v>239</v>
      </c>
      <c r="E2799">
        <v>92</v>
      </c>
      <c r="F2799">
        <v>3</v>
      </c>
      <c r="G2799">
        <v>62</v>
      </c>
      <c r="H2799">
        <v>35</v>
      </c>
    </row>
    <row r="2800" spans="1:8" x14ac:dyDescent="0.25">
      <c r="A2800" t="s">
        <v>3464</v>
      </c>
      <c r="B2800" t="s">
        <v>146</v>
      </c>
      <c r="C2800" t="s">
        <v>103</v>
      </c>
      <c r="D2800" t="s">
        <v>47</v>
      </c>
      <c r="E2800">
        <v>82</v>
      </c>
      <c r="F2800">
        <v>3</v>
      </c>
      <c r="G2800">
        <v>55</v>
      </c>
      <c r="H2800">
        <v>42</v>
      </c>
    </row>
    <row r="2801" spans="1:8" x14ac:dyDescent="0.25">
      <c r="A2801" t="s">
        <v>3465</v>
      </c>
      <c r="B2801" t="s">
        <v>146</v>
      </c>
      <c r="C2801" t="s">
        <v>100</v>
      </c>
      <c r="D2801" t="s">
        <v>232</v>
      </c>
      <c r="E2801">
        <v>121</v>
      </c>
      <c r="F2801">
        <v>11</v>
      </c>
      <c r="G2801">
        <v>57</v>
      </c>
      <c r="H2801">
        <v>32</v>
      </c>
    </row>
    <row r="2802" spans="1:8" x14ac:dyDescent="0.25">
      <c r="A2802" t="s">
        <v>3466</v>
      </c>
      <c r="B2802" t="s">
        <v>146</v>
      </c>
      <c r="C2802" t="s">
        <v>100</v>
      </c>
      <c r="D2802" t="s">
        <v>233</v>
      </c>
      <c r="E2802">
        <v>102</v>
      </c>
      <c r="F2802">
        <v>16</v>
      </c>
      <c r="G2802">
        <v>59</v>
      </c>
      <c r="H2802">
        <v>25</v>
      </c>
    </row>
    <row r="2803" spans="1:8" x14ac:dyDescent="0.25">
      <c r="A2803" t="s">
        <v>3467</v>
      </c>
      <c r="B2803" t="s">
        <v>146</v>
      </c>
      <c r="C2803" t="s">
        <v>100</v>
      </c>
      <c r="D2803" t="s">
        <v>234</v>
      </c>
      <c r="E2803">
        <v>102</v>
      </c>
      <c r="F2803">
        <v>14</v>
      </c>
      <c r="G2803">
        <v>56</v>
      </c>
      <c r="H2803">
        <v>30</v>
      </c>
    </row>
    <row r="2804" spans="1:8" x14ac:dyDescent="0.25">
      <c r="A2804" t="s">
        <v>3468</v>
      </c>
      <c r="B2804" t="s">
        <v>146</v>
      </c>
      <c r="C2804" t="s">
        <v>100</v>
      </c>
      <c r="D2804" t="s">
        <v>235</v>
      </c>
      <c r="E2804">
        <v>96</v>
      </c>
      <c r="F2804">
        <v>9</v>
      </c>
      <c r="G2804">
        <v>63</v>
      </c>
      <c r="H2804">
        <v>28</v>
      </c>
    </row>
    <row r="2805" spans="1:8" x14ac:dyDescent="0.25">
      <c r="A2805" t="s">
        <v>3469</v>
      </c>
      <c r="B2805" t="s">
        <v>146</v>
      </c>
      <c r="C2805" t="s">
        <v>100</v>
      </c>
      <c r="D2805" t="s">
        <v>236</v>
      </c>
      <c r="E2805">
        <v>92</v>
      </c>
      <c r="F2805">
        <v>4</v>
      </c>
      <c r="G2805">
        <v>68</v>
      </c>
      <c r="H2805">
        <v>28</v>
      </c>
    </row>
    <row r="2806" spans="1:8" x14ac:dyDescent="0.25">
      <c r="A2806" t="s">
        <v>3470</v>
      </c>
      <c r="B2806" t="s">
        <v>146</v>
      </c>
      <c r="C2806" t="s">
        <v>100</v>
      </c>
      <c r="D2806" t="s">
        <v>237</v>
      </c>
      <c r="E2806">
        <v>93</v>
      </c>
      <c r="F2806">
        <v>11</v>
      </c>
      <c r="G2806">
        <v>58</v>
      </c>
      <c r="H2806">
        <v>31</v>
      </c>
    </row>
    <row r="2807" spans="1:8" x14ac:dyDescent="0.25">
      <c r="A2807" t="s">
        <v>3471</v>
      </c>
      <c r="B2807" t="s">
        <v>146</v>
      </c>
      <c r="C2807" t="s">
        <v>100</v>
      </c>
      <c r="D2807" t="s">
        <v>238</v>
      </c>
      <c r="E2807">
        <v>116</v>
      </c>
      <c r="F2807">
        <v>13</v>
      </c>
      <c r="G2807">
        <v>56</v>
      </c>
      <c r="H2807">
        <v>31</v>
      </c>
    </row>
    <row r="2808" spans="1:8" x14ac:dyDescent="0.25">
      <c r="A2808" t="s">
        <v>3472</v>
      </c>
      <c r="B2808" t="s">
        <v>146</v>
      </c>
      <c r="C2808" t="s">
        <v>100</v>
      </c>
      <c r="D2808" t="s">
        <v>239</v>
      </c>
      <c r="E2808">
        <v>94</v>
      </c>
      <c r="F2808">
        <v>5</v>
      </c>
      <c r="G2808">
        <v>61</v>
      </c>
      <c r="H2808">
        <v>34</v>
      </c>
    </row>
    <row r="2809" spans="1:8" x14ac:dyDescent="0.25">
      <c r="A2809" t="s">
        <v>3473</v>
      </c>
      <c r="B2809" t="s">
        <v>146</v>
      </c>
      <c r="C2809" t="s">
        <v>100</v>
      </c>
      <c r="D2809" t="s">
        <v>47</v>
      </c>
      <c r="E2809">
        <v>84</v>
      </c>
      <c r="F2809">
        <v>9</v>
      </c>
      <c r="G2809">
        <v>55</v>
      </c>
      <c r="H2809">
        <v>36</v>
      </c>
    </row>
    <row r="2810" spans="1:8" x14ac:dyDescent="0.25">
      <c r="A2810" t="s">
        <v>3474</v>
      </c>
      <c r="B2810" t="s">
        <v>146</v>
      </c>
      <c r="C2810" t="s">
        <v>101</v>
      </c>
      <c r="D2810" t="s">
        <v>232</v>
      </c>
    </row>
    <row r="2811" spans="1:8" x14ac:dyDescent="0.25">
      <c r="A2811" t="s">
        <v>3475</v>
      </c>
      <c r="B2811" t="s">
        <v>146</v>
      </c>
      <c r="C2811" t="s">
        <v>101</v>
      </c>
      <c r="D2811" t="s">
        <v>233</v>
      </c>
    </row>
    <row r="2812" spans="1:8" x14ac:dyDescent="0.25">
      <c r="A2812" t="s">
        <v>3476</v>
      </c>
      <c r="B2812" t="s">
        <v>146</v>
      </c>
      <c r="C2812" t="s">
        <v>101</v>
      </c>
      <c r="D2812" t="s">
        <v>234</v>
      </c>
    </row>
    <row r="2813" spans="1:8" x14ac:dyDescent="0.25">
      <c r="A2813" t="s">
        <v>3477</v>
      </c>
      <c r="B2813" t="s">
        <v>146</v>
      </c>
      <c r="C2813" t="s">
        <v>101</v>
      </c>
      <c r="D2813" t="s">
        <v>235</v>
      </c>
    </row>
    <row r="2814" spans="1:8" x14ac:dyDescent="0.25">
      <c r="A2814" t="s">
        <v>3478</v>
      </c>
      <c r="B2814" t="s">
        <v>146</v>
      </c>
      <c r="C2814" t="s">
        <v>101</v>
      </c>
      <c r="D2814" t="s">
        <v>236</v>
      </c>
    </row>
    <row r="2815" spans="1:8" x14ac:dyDescent="0.25">
      <c r="A2815" t="s">
        <v>3479</v>
      </c>
      <c r="B2815" t="s">
        <v>146</v>
      </c>
      <c r="C2815" t="s">
        <v>101</v>
      </c>
      <c r="D2815" t="s">
        <v>237</v>
      </c>
    </row>
    <row r="2816" spans="1:8" x14ac:dyDescent="0.25">
      <c r="A2816" t="s">
        <v>3480</v>
      </c>
      <c r="B2816" t="s">
        <v>146</v>
      </c>
      <c r="C2816" t="s">
        <v>101</v>
      </c>
      <c r="D2816" t="s">
        <v>238</v>
      </c>
    </row>
    <row r="2817" spans="1:8" x14ac:dyDescent="0.25">
      <c r="A2817" t="s">
        <v>3481</v>
      </c>
      <c r="B2817" t="s">
        <v>146</v>
      </c>
      <c r="C2817" t="s">
        <v>101</v>
      </c>
      <c r="D2817" t="s">
        <v>239</v>
      </c>
    </row>
    <row r="2818" spans="1:8" x14ac:dyDescent="0.25">
      <c r="A2818" t="s">
        <v>3482</v>
      </c>
      <c r="B2818" t="s">
        <v>146</v>
      </c>
      <c r="C2818" t="s">
        <v>101</v>
      </c>
      <c r="D2818" t="s">
        <v>47</v>
      </c>
    </row>
    <row r="2819" spans="1:8" x14ac:dyDescent="0.25">
      <c r="A2819" t="s">
        <v>3483</v>
      </c>
      <c r="B2819" t="s">
        <v>146</v>
      </c>
      <c r="C2819" t="s">
        <v>102</v>
      </c>
      <c r="D2819" t="s">
        <v>232</v>
      </c>
      <c r="E2819">
        <v>108</v>
      </c>
      <c r="F2819">
        <v>21</v>
      </c>
      <c r="G2819">
        <v>53</v>
      </c>
      <c r="H2819">
        <v>26</v>
      </c>
    </row>
    <row r="2820" spans="1:8" x14ac:dyDescent="0.25">
      <c r="A2820" t="s">
        <v>3484</v>
      </c>
      <c r="B2820" t="s">
        <v>146</v>
      </c>
      <c r="C2820" t="s">
        <v>102</v>
      </c>
      <c r="D2820" t="s">
        <v>233</v>
      </c>
      <c r="E2820">
        <v>90</v>
      </c>
      <c r="F2820">
        <v>20</v>
      </c>
      <c r="G2820">
        <v>54</v>
      </c>
      <c r="H2820">
        <v>26</v>
      </c>
    </row>
    <row r="2821" spans="1:8" x14ac:dyDescent="0.25">
      <c r="A2821" t="s">
        <v>3485</v>
      </c>
      <c r="B2821" t="s">
        <v>146</v>
      </c>
      <c r="C2821" t="s">
        <v>102</v>
      </c>
      <c r="D2821" t="s">
        <v>234</v>
      </c>
      <c r="E2821">
        <v>91</v>
      </c>
      <c r="F2821">
        <v>29</v>
      </c>
      <c r="G2821">
        <v>42</v>
      </c>
      <c r="H2821">
        <v>29</v>
      </c>
    </row>
    <row r="2822" spans="1:8" x14ac:dyDescent="0.25">
      <c r="A2822" t="s">
        <v>3486</v>
      </c>
      <c r="B2822" t="s">
        <v>146</v>
      </c>
      <c r="C2822" t="s">
        <v>102</v>
      </c>
      <c r="D2822" t="s">
        <v>235</v>
      </c>
      <c r="E2822">
        <v>87</v>
      </c>
      <c r="F2822">
        <v>26</v>
      </c>
      <c r="G2822">
        <v>47</v>
      </c>
      <c r="H2822">
        <v>27</v>
      </c>
    </row>
    <row r="2823" spans="1:8" x14ac:dyDescent="0.25">
      <c r="A2823" t="s">
        <v>3487</v>
      </c>
      <c r="B2823" t="s">
        <v>146</v>
      </c>
      <c r="C2823" t="s">
        <v>102</v>
      </c>
      <c r="D2823" t="s">
        <v>236</v>
      </c>
      <c r="E2823">
        <v>76</v>
      </c>
      <c r="F2823">
        <v>30</v>
      </c>
      <c r="G2823">
        <v>50</v>
      </c>
      <c r="H2823">
        <v>20</v>
      </c>
    </row>
    <row r="2824" spans="1:8" x14ac:dyDescent="0.25">
      <c r="A2824" t="s">
        <v>3488</v>
      </c>
      <c r="B2824" t="s">
        <v>146</v>
      </c>
      <c r="C2824" t="s">
        <v>102</v>
      </c>
      <c r="D2824" t="s">
        <v>237</v>
      </c>
      <c r="E2824">
        <v>80</v>
      </c>
      <c r="F2824">
        <v>27</v>
      </c>
      <c r="G2824">
        <v>46</v>
      </c>
      <c r="H2824">
        <v>27</v>
      </c>
    </row>
    <row r="2825" spans="1:8" x14ac:dyDescent="0.25">
      <c r="A2825" t="s">
        <v>3489</v>
      </c>
      <c r="B2825" t="s">
        <v>146</v>
      </c>
      <c r="C2825" t="s">
        <v>102</v>
      </c>
      <c r="D2825" t="s">
        <v>238</v>
      </c>
      <c r="E2825">
        <v>99</v>
      </c>
      <c r="F2825">
        <v>18</v>
      </c>
      <c r="G2825">
        <v>47</v>
      </c>
      <c r="H2825">
        <v>35</v>
      </c>
    </row>
    <row r="2826" spans="1:8" x14ac:dyDescent="0.25">
      <c r="A2826" t="s">
        <v>3490</v>
      </c>
      <c r="B2826" t="s">
        <v>146</v>
      </c>
      <c r="C2826" t="s">
        <v>102</v>
      </c>
      <c r="D2826" t="s">
        <v>239</v>
      </c>
      <c r="E2826">
        <v>80</v>
      </c>
      <c r="F2826">
        <v>16</v>
      </c>
      <c r="G2826">
        <v>53</v>
      </c>
      <c r="H2826">
        <v>31</v>
      </c>
    </row>
    <row r="2827" spans="1:8" x14ac:dyDescent="0.25">
      <c r="A2827" t="s">
        <v>3491</v>
      </c>
      <c r="B2827" t="s">
        <v>146</v>
      </c>
      <c r="C2827" t="s">
        <v>102</v>
      </c>
      <c r="D2827" t="s">
        <v>47</v>
      </c>
      <c r="E2827">
        <v>68</v>
      </c>
      <c r="F2827">
        <v>21</v>
      </c>
      <c r="G2827">
        <v>40</v>
      </c>
      <c r="H2827">
        <v>39</v>
      </c>
    </row>
    <row r="2828" spans="1:8" x14ac:dyDescent="0.25">
      <c r="A2828" t="s">
        <v>3492</v>
      </c>
      <c r="B2828" t="s">
        <v>146</v>
      </c>
      <c r="C2828" t="s">
        <v>31</v>
      </c>
      <c r="D2828" t="s">
        <v>232</v>
      </c>
      <c r="E2828">
        <v>123</v>
      </c>
      <c r="F2828">
        <v>20</v>
      </c>
      <c r="G2828">
        <v>57</v>
      </c>
      <c r="H2828">
        <v>23</v>
      </c>
    </row>
    <row r="2829" spans="1:8" x14ac:dyDescent="0.25">
      <c r="A2829" t="s">
        <v>3493</v>
      </c>
      <c r="B2829" t="s">
        <v>146</v>
      </c>
      <c r="C2829" t="s">
        <v>31</v>
      </c>
      <c r="D2829" t="s">
        <v>233</v>
      </c>
      <c r="E2829">
        <v>102</v>
      </c>
      <c r="F2829">
        <v>20</v>
      </c>
      <c r="G2829">
        <v>62</v>
      </c>
      <c r="H2829">
        <v>18</v>
      </c>
    </row>
    <row r="2830" spans="1:8" x14ac:dyDescent="0.25">
      <c r="A2830" t="s">
        <v>3494</v>
      </c>
      <c r="B2830" t="s">
        <v>146</v>
      </c>
      <c r="C2830" t="s">
        <v>31</v>
      </c>
      <c r="D2830" t="s">
        <v>234</v>
      </c>
      <c r="E2830">
        <v>103</v>
      </c>
      <c r="F2830">
        <v>16</v>
      </c>
      <c r="G2830">
        <v>60</v>
      </c>
      <c r="H2830">
        <v>24</v>
      </c>
    </row>
    <row r="2831" spans="1:8" x14ac:dyDescent="0.25">
      <c r="A2831" t="s">
        <v>3495</v>
      </c>
      <c r="B2831" t="s">
        <v>146</v>
      </c>
      <c r="C2831" t="s">
        <v>31</v>
      </c>
      <c r="D2831" t="s">
        <v>235</v>
      </c>
      <c r="E2831">
        <v>97</v>
      </c>
      <c r="F2831">
        <v>18</v>
      </c>
      <c r="G2831">
        <v>66</v>
      </c>
      <c r="H2831">
        <v>16</v>
      </c>
    </row>
    <row r="2832" spans="1:8" x14ac:dyDescent="0.25">
      <c r="A2832" t="s">
        <v>3496</v>
      </c>
      <c r="B2832" t="s">
        <v>146</v>
      </c>
      <c r="C2832" t="s">
        <v>31</v>
      </c>
      <c r="D2832" t="s">
        <v>236</v>
      </c>
      <c r="E2832">
        <v>91</v>
      </c>
      <c r="F2832">
        <v>10</v>
      </c>
      <c r="G2832">
        <v>67</v>
      </c>
      <c r="H2832">
        <v>23</v>
      </c>
    </row>
    <row r="2833" spans="1:8" x14ac:dyDescent="0.25">
      <c r="A2833" t="s">
        <v>3497</v>
      </c>
      <c r="B2833" t="s">
        <v>146</v>
      </c>
      <c r="C2833" t="s">
        <v>31</v>
      </c>
      <c r="D2833" t="s">
        <v>237</v>
      </c>
      <c r="E2833">
        <v>94</v>
      </c>
      <c r="F2833">
        <v>12</v>
      </c>
      <c r="G2833">
        <v>55</v>
      </c>
      <c r="H2833">
        <v>33</v>
      </c>
    </row>
    <row r="2834" spans="1:8" x14ac:dyDescent="0.25">
      <c r="A2834" t="s">
        <v>3498</v>
      </c>
      <c r="B2834" t="s">
        <v>146</v>
      </c>
      <c r="C2834" t="s">
        <v>31</v>
      </c>
      <c r="D2834" t="s">
        <v>238</v>
      </c>
      <c r="E2834">
        <v>113</v>
      </c>
      <c r="F2834">
        <v>9</v>
      </c>
      <c r="G2834">
        <v>58</v>
      </c>
      <c r="H2834">
        <v>33</v>
      </c>
    </row>
    <row r="2835" spans="1:8" x14ac:dyDescent="0.25">
      <c r="A2835" t="s">
        <v>3499</v>
      </c>
      <c r="B2835" t="s">
        <v>146</v>
      </c>
      <c r="C2835" t="s">
        <v>31</v>
      </c>
      <c r="D2835" t="s">
        <v>239</v>
      </c>
      <c r="E2835">
        <v>96</v>
      </c>
      <c r="F2835">
        <v>14</v>
      </c>
      <c r="G2835">
        <v>64</v>
      </c>
      <c r="H2835">
        <v>22</v>
      </c>
    </row>
    <row r="2836" spans="1:8" x14ac:dyDescent="0.25">
      <c r="A2836" t="s">
        <v>3500</v>
      </c>
      <c r="B2836" t="s">
        <v>146</v>
      </c>
      <c r="C2836" t="s">
        <v>31</v>
      </c>
      <c r="D2836" t="s">
        <v>47</v>
      </c>
      <c r="E2836">
        <v>84</v>
      </c>
      <c r="F2836">
        <v>10</v>
      </c>
      <c r="G2836">
        <v>63</v>
      </c>
      <c r="H2836">
        <v>27</v>
      </c>
    </row>
    <row r="2837" spans="1:8" x14ac:dyDescent="0.25">
      <c r="A2837" t="s">
        <v>3501</v>
      </c>
      <c r="B2837" t="s">
        <v>157</v>
      </c>
      <c r="C2837" t="s">
        <v>103</v>
      </c>
      <c r="D2837" t="s">
        <v>232</v>
      </c>
      <c r="E2837">
        <v>154</v>
      </c>
      <c r="F2837">
        <v>21</v>
      </c>
      <c r="G2837">
        <v>53</v>
      </c>
      <c r="H2837">
        <v>26</v>
      </c>
    </row>
    <row r="2838" spans="1:8" x14ac:dyDescent="0.25">
      <c r="A2838" t="s">
        <v>3502</v>
      </c>
      <c r="B2838" t="s">
        <v>157</v>
      </c>
      <c r="C2838" t="s">
        <v>103</v>
      </c>
      <c r="D2838" t="s">
        <v>233</v>
      </c>
      <c r="E2838">
        <v>125</v>
      </c>
      <c r="F2838">
        <v>28</v>
      </c>
      <c r="G2838">
        <v>45</v>
      </c>
      <c r="H2838">
        <v>27</v>
      </c>
    </row>
    <row r="2839" spans="1:8" x14ac:dyDescent="0.25">
      <c r="A2839" t="s">
        <v>3503</v>
      </c>
      <c r="B2839" t="s">
        <v>157</v>
      </c>
      <c r="C2839" t="s">
        <v>103</v>
      </c>
      <c r="D2839" t="s">
        <v>234</v>
      </c>
      <c r="E2839">
        <v>119</v>
      </c>
      <c r="F2839">
        <v>22</v>
      </c>
      <c r="G2839">
        <v>49</v>
      </c>
      <c r="H2839">
        <v>29</v>
      </c>
    </row>
    <row r="2840" spans="1:8" x14ac:dyDescent="0.25">
      <c r="A2840" t="s">
        <v>3504</v>
      </c>
      <c r="B2840" t="s">
        <v>157</v>
      </c>
      <c r="C2840" t="s">
        <v>103</v>
      </c>
      <c r="D2840" t="s">
        <v>235</v>
      </c>
      <c r="E2840">
        <v>111</v>
      </c>
      <c r="F2840">
        <v>24</v>
      </c>
      <c r="G2840">
        <v>55</v>
      </c>
      <c r="H2840">
        <v>21</v>
      </c>
    </row>
    <row r="2841" spans="1:8" x14ac:dyDescent="0.25">
      <c r="A2841" t="s">
        <v>3505</v>
      </c>
      <c r="B2841" t="s">
        <v>157</v>
      </c>
      <c r="C2841" t="s">
        <v>103</v>
      </c>
      <c r="D2841" t="s">
        <v>236</v>
      </c>
      <c r="E2841">
        <v>112</v>
      </c>
      <c r="F2841">
        <v>20</v>
      </c>
      <c r="G2841">
        <v>55</v>
      </c>
      <c r="H2841">
        <v>25</v>
      </c>
    </row>
    <row r="2842" spans="1:8" x14ac:dyDescent="0.25">
      <c r="A2842" t="s">
        <v>3506</v>
      </c>
      <c r="B2842" t="s">
        <v>157</v>
      </c>
      <c r="C2842" t="s">
        <v>103</v>
      </c>
      <c r="D2842" t="s">
        <v>237</v>
      </c>
      <c r="E2842">
        <v>112</v>
      </c>
      <c r="F2842">
        <v>20</v>
      </c>
      <c r="G2842">
        <v>55</v>
      </c>
      <c r="H2842">
        <v>25</v>
      </c>
    </row>
    <row r="2843" spans="1:8" x14ac:dyDescent="0.25">
      <c r="A2843" t="s">
        <v>3507</v>
      </c>
      <c r="B2843" t="s">
        <v>157</v>
      </c>
      <c r="C2843" t="s">
        <v>103</v>
      </c>
      <c r="D2843" t="s">
        <v>238</v>
      </c>
      <c r="E2843">
        <v>123</v>
      </c>
      <c r="F2843">
        <v>22</v>
      </c>
      <c r="G2843">
        <v>52</v>
      </c>
      <c r="H2843">
        <v>26</v>
      </c>
    </row>
    <row r="2844" spans="1:8" x14ac:dyDescent="0.25">
      <c r="A2844" t="s">
        <v>3508</v>
      </c>
      <c r="B2844" t="s">
        <v>157</v>
      </c>
      <c r="C2844" t="s">
        <v>103</v>
      </c>
      <c r="D2844" t="s">
        <v>239</v>
      </c>
      <c r="E2844">
        <v>101</v>
      </c>
      <c r="F2844">
        <v>20</v>
      </c>
      <c r="G2844">
        <v>55</v>
      </c>
      <c r="H2844">
        <v>25</v>
      </c>
    </row>
    <row r="2845" spans="1:8" x14ac:dyDescent="0.25">
      <c r="A2845" t="s">
        <v>3509</v>
      </c>
      <c r="B2845" t="s">
        <v>157</v>
      </c>
      <c r="C2845" t="s">
        <v>103</v>
      </c>
      <c r="D2845" t="s">
        <v>47</v>
      </c>
      <c r="E2845">
        <v>111</v>
      </c>
      <c r="F2845">
        <v>22</v>
      </c>
      <c r="G2845">
        <v>57</v>
      </c>
      <c r="H2845">
        <v>21</v>
      </c>
    </row>
    <row r="2846" spans="1:8" x14ac:dyDescent="0.25">
      <c r="A2846" t="s">
        <v>3510</v>
      </c>
      <c r="B2846" t="s">
        <v>157</v>
      </c>
      <c r="C2846" t="s">
        <v>100</v>
      </c>
      <c r="D2846" t="s">
        <v>232</v>
      </c>
      <c r="E2846">
        <v>161</v>
      </c>
      <c r="F2846">
        <v>18</v>
      </c>
      <c r="G2846">
        <v>53</v>
      </c>
      <c r="H2846">
        <v>29</v>
      </c>
    </row>
    <row r="2847" spans="1:8" x14ac:dyDescent="0.25">
      <c r="A2847" t="s">
        <v>3511</v>
      </c>
      <c r="B2847" t="s">
        <v>157</v>
      </c>
      <c r="C2847" t="s">
        <v>100</v>
      </c>
      <c r="D2847" t="s">
        <v>233</v>
      </c>
      <c r="E2847">
        <v>133</v>
      </c>
      <c r="F2847">
        <v>24</v>
      </c>
      <c r="G2847">
        <v>46</v>
      </c>
      <c r="H2847">
        <v>30</v>
      </c>
    </row>
    <row r="2848" spans="1:8" x14ac:dyDescent="0.25">
      <c r="A2848" t="s">
        <v>3512</v>
      </c>
      <c r="B2848" t="s">
        <v>157</v>
      </c>
      <c r="C2848" t="s">
        <v>100</v>
      </c>
      <c r="D2848" t="s">
        <v>234</v>
      </c>
      <c r="E2848">
        <v>130</v>
      </c>
      <c r="F2848">
        <v>18</v>
      </c>
      <c r="G2848">
        <v>42</v>
      </c>
      <c r="H2848">
        <v>40</v>
      </c>
    </row>
    <row r="2849" spans="1:8" x14ac:dyDescent="0.25">
      <c r="A2849" t="s">
        <v>3513</v>
      </c>
      <c r="B2849" t="s">
        <v>157</v>
      </c>
      <c r="C2849" t="s">
        <v>100</v>
      </c>
      <c r="D2849" t="s">
        <v>235</v>
      </c>
      <c r="E2849">
        <v>122</v>
      </c>
      <c r="F2849">
        <v>25</v>
      </c>
      <c r="G2849">
        <v>47</v>
      </c>
      <c r="H2849">
        <v>28</v>
      </c>
    </row>
    <row r="2850" spans="1:8" x14ac:dyDescent="0.25">
      <c r="A2850" t="s">
        <v>3514</v>
      </c>
      <c r="B2850" t="s">
        <v>157</v>
      </c>
      <c r="C2850" t="s">
        <v>100</v>
      </c>
      <c r="D2850" t="s">
        <v>236</v>
      </c>
      <c r="E2850">
        <v>120</v>
      </c>
      <c r="F2850">
        <v>19</v>
      </c>
      <c r="G2850">
        <v>54</v>
      </c>
      <c r="H2850">
        <v>27</v>
      </c>
    </row>
    <row r="2851" spans="1:8" x14ac:dyDescent="0.25">
      <c r="A2851" t="s">
        <v>3515</v>
      </c>
      <c r="B2851" t="s">
        <v>157</v>
      </c>
      <c r="C2851" t="s">
        <v>100</v>
      </c>
      <c r="D2851" t="s">
        <v>237</v>
      </c>
      <c r="E2851">
        <v>121</v>
      </c>
      <c r="F2851">
        <v>16</v>
      </c>
      <c r="G2851">
        <v>60</v>
      </c>
      <c r="H2851">
        <v>24</v>
      </c>
    </row>
    <row r="2852" spans="1:8" x14ac:dyDescent="0.25">
      <c r="A2852" t="s">
        <v>3516</v>
      </c>
      <c r="B2852" t="s">
        <v>157</v>
      </c>
      <c r="C2852" t="s">
        <v>100</v>
      </c>
      <c r="D2852" t="s">
        <v>238</v>
      </c>
      <c r="E2852">
        <v>132</v>
      </c>
      <c r="F2852">
        <v>21</v>
      </c>
      <c r="G2852">
        <v>55</v>
      </c>
      <c r="H2852">
        <v>24</v>
      </c>
    </row>
    <row r="2853" spans="1:8" x14ac:dyDescent="0.25">
      <c r="A2853" t="s">
        <v>3517</v>
      </c>
      <c r="B2853" t="s">
        <v>157</v>
      </c>
      <c r="C2853" t="s">
        <v>100</v>
      </c>
      <c r="D2853" t="s">
        <v>239</v>
      </c>
      <c r="E2853">
        <v>112</v>
      </c>
      <c r="F2853">
        <v>21</v>
      </c>
      <c r="G2853">
        <v>53</v>
      </c>
      <c r="H2853">
        <v>26</v>
      </c>
    </row>
    <row r="2854" spans="1:8" x14ac:dyDescent="0.25">
      <c r="A2854" t="s">
        <v>3518</v>
      </c>
      <c r="B2854" t="s">
        <v>157</v>
      </c>
      <c r="C2854" t="s">
        <v>100</v>
      </c>
      <c r="D2854" t="s">
        <v>47</v>
      </c>
      <c r="E2854">
        <v>117</v>
      </c>
      <c r="F2854">
        <v>21</v>
      </c>
      <c r="G2854">
        <v>53</v>
      </c>
      <c r="H2854">
        <v>26</v>
      </c>
    </row>
    <row r="2855" spans="1:8" x14ac:dyDescent="0.25">
      <c r="A2855" t="s">
        <v>3519</v>
      </c>
      <c r="B2855" t="s">
        <v>157</v>
      </c>
      <c r="C2855" t="s">
        <v>101</v>
      </c>
      <c r="D2855" t="s">
        <v>232</v>
      </c>
    </row>
    <row r="2856" spans="1:8" x14ac:dyDescent="0.25">
      <c r="A2856" t="s">
        <v>3520</v>
      </c>
      <c r="B2856" t="s">
        <v>157</v>
      </c>
      <c r="C2856" t="s">
        <v>101</v>
      </c>
      <c r="D2856" t="s">
        <v>233</v>
      </c>
    </row>
    <row r="2857" spans="1:8" x14ac:dyDescent="0.25">
      <c r="A2857" t="s">
        <v>3521</v>
      </c>
      <c r="B2857" t="s">
        <v>157</v>
      </c>
      <c r="C2857" t="s">
        <v>101</v>
      </c>
      <c r="D2857" t="s">
        <v>234</v>
      </c>
    </row>
    <row r="2858" spans="1:8" x14ac:dyDescent="0.25">
      <c r="A2858" t="s">
        <v>3522</v>
      </c>
      <c r="B2858" t="s">
        <v>157</v>
      </c>
      <c r="C2858" t="s">
        <v>101</v>
      </c>
      <c r="D2858" t="s">
        <v>235</v>
      </c>
    </row>
    <row r="2859" spans="1:8" x14ac:dyDescent="0.25">
      <c r="A2859" t="s">
        <v>3523</v>
      </c>
      <c r="B2859" t="s">
        <v>157</v>
      </c>
      <c r="C2859" t="s">
        <v>101</v>
      </c>
      <c r="D2859" t="s">
        <v>236</v>
      </c>
    </row>
    <row r="2860" spans="1:8" x14ac:dyDescent="0.25">
      <c r="A2860" t="s">
        <v>3524</v>
      </c>
      <c r="B2860" t="s">
        <v>157</v>
      </c>
      <c r="C2860" t="s">
        <v>101</v>
      </c>
      <c r="D2860" t="s">
        <v>237</v>
      </c>
    </row>
    <row r="2861" spans="1:8" x14ac:dyDescent="0.25">
      <c r="A2861" t="s">
        <v>3525</v>
      </c>
      <c r="B2861" t="s">
        <v>157</v>
      </c>
      <c r="C2861" t="s">
        <v>101</v>
      </c>
      <c r="D2861" t="s">
        <v>238</v>
      </c>
    </row>
    <row r="2862" spans="1:8" x14ac:dyDescent="0.25">
      <c r="A2862" t="s">
        <v>3526</v>
      </c>
      <c r="B2862" t="s">
        <v>157</v>
      </c>
      <c r="C2862" t="s">
        <v>101</v>
      </c>
      <c r="D2862" t="s">
        <v>239</v>
      </c>
    </row>
    <row r="2863" spans="1:8" x14ac:dyDescent="0.25">
      <c r="A2863" t="s">
        <v>3527</v>
      </c>
      <c r="B2863" t="s">
        <v>157</v>
      </c>
      <c r="C2863" t="s">
        <v>101</v>
      </c>
      <c r="D2863" t="s">
        <v>47</v>
      </c>
    </row>
    <row r="2864" spans="1:8" x14ac:dyDescent="0.25">
      <c r="A2864" t="s">
        <v>3528</v>
      </c>
      <c r="B2864" t="s">
        <v>157</v>
      </c>
      <c r="C2864" t="s">
        <v>102</v>
      </c>
      <c r="D2864" t="s">
        <v>232</v>
      </c>
      <c r="E2864">
        <v>129</v>
      </c>
      <c r="F2864">
        <v>20</v>
      </c>
      <c r="G2864">
        <v>41</v>
      </c>
      <c r="H2864">
        <v>39</v>
      </c>
    </row>
    <row r="2865" spans="1:8" x14ac:dyDescent="0.25">
      <c r="A2865" t="s">
        <v>3529</v>
      </c>
      <c r="B2865" t="s">
        <v>157</v>
      </c>
      <c r="C2865" t="s">
        <v>102</v>
      </c>
      <c r="D2865" t="s">
        <v>233</v>
      </c>
      <c r="E2865">
        <v>95</v>
      </c>
      <c r="F2865">
        <v>21</v>
      </c>
      <c r="G2865">
        <v>39</v>
      </c>
      <c r="H2865">
        <v>40</v>
      </c>
    </row>
    <row r="2866" spans="1:8" x14ac:dyDescent="0.25">
      <c r="A2866" t="s">
        <v>3530</v>
      </c>
      <c r="B2866" t="s">
        <v>157</v>
      </c>
      <c r="C2866" t="s">
        <v>102</v>
      </c>
      <c r="D2866" t="s">
        <v>234</v>
      </c>
      <c r="E2866">
        <v>95</v>
      </c>
      <c r="F2866">
        <v>28</v>
      </c>
      <c r="G2866">
        <v>36</v>
      </c>
      <c r="H2866">
        <v>36</v>
      </c>
    </row>
    <row r="2867" spans="1:8" x14ac:dyDescent="0.25">
      <c r="A2867" t="s">
        <v>3531</v>
      </c>
      <c r="B2867" t="s">
        <v>157</v>
      </c>
      <c r="C2867" t="s">
        <v>102</v>
      </c>
      <c r="D2867" t="s">
        <v>235</v>
      </c>
      <c r="E2867">
        <v>93</v>
      </c>
      <c r="F2867">
        <v>24</v>
      </c>
      <c r="G2867">
        <v>40</v>
      </c>
      <c r="H2867">
        <v>36</v>
      </c>
    </row>
    <row r="2868" spans="1:8" x14ac:dyDescent="0.25">
      <c r="A2868" t="s">
        <v>3532</v>
      </c>
      <c r="B2868" t="s">
        <v>157</v>
      </c>
      <c r="C2868" t="s">
        <v>102</v>
      </c>
      <c r="D2868" t="s">
        <v>236</v>
      </c>
      <c r="E2868">
        <v>83</v>
      </c>
      <c r="F2868">
        <v>16</v>
      </c>
      <c r="G2868">
        <v>37</v>
      </c>
      <c r="H2868">
        <v>47</v>
      </c>
    </row>
    <row r="2869" spans="1:8" x14ac:dyDescent="0.25">
      <c r="A2869" t="s">
        <v>3533</v>
      </c>
      <c r="B2869" t="s">
        <v>157</v>
      </c>
      <c r="C2869" t="s">
        <v>102</v>
      </c>
      <c r="D2869" t="s">
        <v>237</v>
      </c>
      <c r="E2869">
        <v>87</v>
      </c>
      <c r="F2869">
        <v>24</v>
      </c>
      <c r="G2869">
        <v>40</v>
      </c>
      <c r="H2869">
        <v>36</v>
      </c>
    </row>
    <row r="2870" spans="1:8" x14ac:dyDescent="0.25">
      <c r="A2870" t="s">
        <v>3534</v>
      </c>
      <c r="B2870" t="s">
        <v>157</v>
      </c>
      <c r="C2870" t="s">
        <v>102</v>
      </c>
      <c r="D2870" t="s">
        <v>238</v>
      </c>
      <c r="E2870">
        <v>95</v>
      </c>
      <c r="F2870">
        <v>20</v>
      </c>
      <c r="G2870">
        <v>45</v>
      </c>
      <c r="H2870">
        <v>35</v>
      </c>
    </row>
    <row r="2871" spans="1:8" x14ac:dyDescent="0.25">
      <c r="A2871" t="s">
        <v>3535</v>
      </c>
      <c r="B2871" t="s">
        <v>157</v>
      </c>
      <c r="C2871" t="s">
        <v>102</v>
      </c>
      <c r="D2871" t="s">
        <v>239</v>
      </c>
      <c r="E2871">
        <v>80</v>
      </c>
      <c r="F2871">
        <v>12</v>
      </c>
      <c r="G2871">
        <v>42</v>
      </c>
      <c r="H2871">
        <v>46</v>
      </c>
    </row>
    <row r="2872" spans="1:8" x14ac:dyDescent="0.25">
      <c r="A2872" t="s">
        <v>3536</v>
      </c>
      <c r="B2872" t="s">
        <v>157</v>
      </c>
      <c r="C2872" t="s">
        <v>102</v>
      </c>
      <c r="D2872" t="s">
        <v>47</v>
      </c>
      <c r="E2872">
        <v>87</v>
      </c>
      <c r="F2872">
        <v>17</v>
      </c>
      <c r="G2872">
        <v>61</v>
      </c>
      <c r="H2872">
        <v>22</v>
      </c>
    </row>
    <row r="2873" spans="1:8" x14ac:dyDescent="0.25">
      <c r="A2873" t="s">
        <v>3537</v>
      </c>
      <c r="B2873" t="s">
        <v>157</v>
      </c>
      <c r="C2873" t="s">
        <v>31</v>
      </c>
      <c r="D2873" t="s">
        <v>232</v>
      </c>
      <c r="E2873">
        <v>169</v>
      </c>
      <c r="F2873">
        <v>19</v>
      </c>
      <c r="G2873">
        <v>42</v>
      </c>
      <c r="H2873">
        <v>39</v>
      </c>
    </row>
    <row r="2874" spans="1:8" x14ac:dyDescent="0.25">
      <c r="A2874" t="s">
        <v>3538</v>
      </c>
      <c r="B2874" t="s">
        <v>157</v>
      </c>
      <c r="C2874" t="s">
        <v>31</v>
      </c>
      <c r="D2874" t="s">
        <v>233</v>
      </c>
      <c r="E2874">
        <v>137</v>
      </c>
      <c r="F2874">
        <v>16</v>
      </c>
      <c r="G2874">
        <v>41</v>
      </c>
      <c r="H2874">
        <v>43</v>
      </c>
    </row>
    <row r="2875" spans="1:8" x14ac:dyDescent="0.25">
      <c r="A2875" t="s">
        <v>3539</v>
      </c>
      <c r="B2875" t="s">
        <v>157</v>
      </c>
      <c r="C2875" t="s">
        <v>31</v>
      </c>
      <c r="D2875" t="s">
        <v>234</v>
      </c>
      <c r="E2875">
        <v>135</v>
      </c>
      <c r="F2875">
        <v>11</v>
      </c>
      <c r="G2875">
        <v>46</v>
      </c>
      <c r="H2875">
        <v>43</v>
      </c>
    </row>
    <row r="2876" spans="1:8" x14ac:dyDescent="0.25">
      <c r="A2876" t="s">
        <v>3540</v>
      </c>
      <c r="B2876" t="s">
        <v>157</v>
      </c>
      <c r="C2876" t="s">
        <v>31</v>
      </c>
      <c r="D2876" t="s">
        <v>235</v>
      </c>
      <c r="E2876">
        <v>125</v>
      </c>
      <c r="F2876">
        <v>11</v>
      </c>
      <c r="G2876">
        <v>45</v>
      </c>
      <c r="H2876">
        <v>44</v>
      </c>
    </row>
    <row r="2877" spans="1:8" x14ac:dyDescent="0.25">
      <c r="A2877" t="s">
        <v>3541</v>
      </c>
      <c r="B2877" t="s">
        <v>157</v>
      </c>
      <c r="C2877" t="s">
        <v>31</v>
      </c>
      <c r="D2877" t="s">
        <v>236</v>
      </c>
      <c r="E2877">
        <v>121</v>
      </c>
      <c r="F2877">
        <v>14</v>
      </c>
      <c r="G2877">
        <v>49</v>
      </c>
      <c r="H2877">
        <v>37</v>
      </c>
    </row>
    <row r="2878" spans="1:8" x14ac:dyDescent="0.25">
      <c r="A2878" t="s">
        <v>3542</v>
      </c>
      <c r="B2878" t="s">
        <v>157</v>
      </c>
      <c r="C2878" t="s">
        <v>31</v>
      </c>
      <c r="D2878" t="s">
        <v>237</v>
      </c>
      <c r="E2878">
        <v>125</v>
      </c>
      <c r="F2878">
        <v>15</v>
      </c>
      <c r="G2878">
        <v>45</v>
      </c>
      <c r="H2878">
        <v>40</v>
      </c>
    </row>
    <row r="2879" spans="1:8" x14ac:dyDescent="0.25">
      <c r="A2879" t="s">
        <v>3543</v>
      </c>
      <c r="B2879" t="s">
        <v>157</v>
      </c>
      <c r="C2879" t="s">
        <v>31</v>
      </c>
      <c r="D2879" t="s">
        <v>238</v>
      </c>
      <c r="E2879">
        <v>132</v>
      </c>
      <c r="F2879">
        <v>17</v>
      </c>
      <c r="G2879">
        <v>43</v>
      </c>
      <c r="H2879">
        <v>40</v>
      </c>
    </row>
    <row r="2880" spans="1:8" x14ac:dyDescent="0.25">
      <c r="A2880" t="s">
        <v>3544</v>
      </c>
      <c r="B2880" t="s">
        <v>157</v>
      </c>
      <c r="C2880" t="s">
        <v>31</v>
      </c>
      <c r="D2880" t="s">
        <v>239</v>
      </c>
      <c r="E2880">
        <v>113</v>
      </c>
      <c r="F2880">
        <v>13</v>
      </c>
      <c r="G2880">
        <v>49</v>
      </c>
      <c r="H2880">
        <v>38</v>
      </c>
    </row>
    <row r="2881" spans="1:8" x14ac:dyDescent="0.25">
      <c r="A2881" t="s">
        <v>3545</v>
      </c>
      <c r="B2881" t="s">
        <v>157</v>
      </c>
      <c r="C2881" t="s">
        <v>31</v>
      </c>
      <c r="D2881" t="s">
        <v>47</v>
      </c>
      <c r="E2881">
        <v>121</v>
      </c>
      <c r="F2881">
        <v>20</v>
      </c>
      <c r="G2881">
        <v>53</v>
      </c>
      <c r="H2881">
        <v>27</v>
      </c>
    </row>
    <row r="2882" spans="1:8" x14ac:dyDescent="0.25">
      <c r="A2882" t="s">
        <v>3546</v>
      </c>
      <c r="B2882" t="s">
        <v>152</v>
      </c>
      <c r="C2882" t="s">
        <v>103</v>
      </c>
      <c r="D2882" t="s">
        <v>232</v>
      </c>
      <c r="E2882">
        <v>85</v>
      </c>
      <c r="F2882">
        <v>23</v>
      </c>
      <c r="G2882">
        <v>67</v>
      </c>
      <c r="H2882">
        <v>10</v>
      </c>
    </row>
    <row r="2883" spans="1:8" x14ac:dyDescent="0.25">
      <c r="A2883" t="s">
        <v>3547</v>
      </c>
      <c r="B2883" t="s">
        <v>152</v>
      </c>
      <c r="C2883" t="s">
        <v>103</v>
      </c>
      <c r="D2883" t="s">
        <v>233</v>
      </c>
      <c r="E2883">
        <v>73</v>
      </c>
      <c r="F2883">
        <v>25</v>
      </c>
      <c r="G2883">
        <v>67</v>
      </c>
      <c r="H2883">
        <v>8</v>
      </c>
    </row>
    <row r="2884" spans="1:8" x14ac:dyDescent="0.25">
      <c r="A2884" t="s">
        <v>3548</v>
      </c>
      <c r="B2884" t="s">
        <v>152</v>
      </c>
      <c r="C2884" t="s">
        <v>103</v>
      </c>
      <c r="D2884" t="s">
        <v>234</v>
      </c>
      <c r="E2884">
        <v>79</v>
      </c>
      <c r="F2884">
        <v>31</v>
      </c>
      <c r="G2884">
        <v>59</v>
      </c>
      <c r="H2884">
        <v>10</v>
      </c>
    </row>
    <row r="2885" spans="1:8" x14ac:dyDescent="0.25">
      <c r="A2885" t="s">
        <v>3549</v>
      </c>
      <c r="B2885" t="s">
        <v>152</v>
      </c>
      <c r="C2885" t="s">
        <v>103</v>
      </c>
      <c r="D2885" t="s">
        <v>235</v>
      </c>
      <c r="E2885">
        <v>68</v>
      </c>
      <c r="F2885">
        <v>39</v>
      </c>
      <c r="G2885">
        <v>56</v>
      </c>
      <c r="H2885">
        <v>5</v>
      </c>
    </row>
    <row r="2886" spans="1:8" x14ac:dyDescent="0.25">
      <c r="A2886" t="s">
        <v>3550</v>
      </c>
      <c r="B2886" t="s">
        <v>152</v>
      </c>
      <c r="C2886" t="s">
        <v>103</v>
      </c>
      <c r="D2886" t="s">
        <v>236</v>
      </c>
      <c r="E2886">
        <v>65</v>
      </c>
      <c r="F2886">
        <v>25</v>
      </c>
      <c r="G2886">
        <v>64</v>
      </c>
      <c r="H2886">
        <v>11</v>
      </c>
    </row>
    <row r="2887" spans="1:8" x14ac:dyDescent="0.25">
      <c r="A2887" t="s">
        <v>3551</v>
      </c>
      <c r="B2887" t="s">
        <v>152</v>
      </c>
      <c r="C2887" t="s">
        <v>103</v>
      </c>
      <c r="D2887" t="s">
        <v>237</v>
      </c>
      <c r="E2887">
        <v>66</v>
      </c>
      <c r="F2887">
        <v>24</v>
      </c>
      <c r="G2887">
        <v>73</v>
      </c>
      <c r="H2887">
        <v>3</v>
      </c>
    </row>
    <row r="2888" spans="1:8" x14ac:dyDescent="0.25">
      <c r="A2888" t="s">
        <v>3552</v>
      </c>
      <c r="B2888" t="s">
        <v>152</v>
      </c>
      <c r="C2888" t="s">
        <v>103</v>
      </c>
      <c r="D2888" t="s">
        <v>238</v>
      </c>
      <c r="E2888">
        <v>62</v>
      </c>
      <c r="F2888">
        <v>18</v>
      </c>
      <c r="G2888">
        <v>69</v>
      </c>
      <c r="H2888">
        <v>13</v>
      </c>
    </row>
    <row r="2889" spans="1:8" x14ac:dyDescent="0.25">
      <c r="A2889" t="s">
        <v>3553</v>
      </c>
      <c r="B2889" t="s">
        <v>152</v>
      </c>
      <c r="C2889" t="s">
        <v>103</v>
      </c>
      <c r="D2889" t="s">
        <v>239</v>
      </c>
      <c r="E2889">
        <v>59</v>
      </c>
      <c r="F2889">
        <v>16</v>
      </c>
      <c r="G2889">
        <v>74</v>
      </c>
      <c r="H2889">
        <v>10</v>
      </c>
    </row>
    <row r="2890" spans="1:8" x14ac:dyDescent="0.25">
      <c r="A2890" t="s">
        <v>3554</v>
      </c>
      <c r="B2890" t="s">
        <v>152</v>
      </c>
      <c r="C2890" t="s">
        <v>103</v>
      </c>
      <c r="D2890" t="s">
        <v>47</v>
      </c>
      <c r="E2890">
        <v>57</v>
      </c>
      <c r="F2890">
        <v>19</v>
      </c>
      <c r="G2890">
        <v>71</v>
      </c>
      <c r="H2890">
        <v>10</v>
      </c>
    </row>
    <row r="2891" spans="1:8" x14ac:dyDescent="0.25">
      <c r="A2891" t="s">
        <v>3555</v>
      </c>
      <c r="B2891" t="s">
        <v>152</v>
      </c>
      <c r="C2891" t="s">
        <v>100</v>
      </c>
      <c r="D2891" t="s">
        <v>232</v>
      </c>
      <c r="E2891">
        <v>90</v>
      </c>
      <c r="F2891">
        <v>24</v>
      </c>
      <c r="G2891">
        <v>69</v>
      </c>
      <c r="H2891">
        <v>7</v>
      </c>
    </row>
    <row r="2892" spans="1:8" x14ac:dyDescent="0.25">
      <c r="A2892" t="s">
        <v>3556</v>
      </c>
      <c r="B2892" t="s">
        <v>152</v>
      </c>
      <c r="C2892" t="s">
        <v>100</v>
      </c>
      <c r="D2892" t="s">
        <v>233</v>
      </c>
      <c r="E2892">
        <v>76</v>
      </c>
      <c r="F2892">
        <v>16</v>
      </c>
      <c r="G2892">
        <v>77</v>
      </c>
      <c r="H2892">
        <v>7</v>
      </c>
    </row>
    <row r="2893" spans="1:8" x14ac:dyDescent="0.25">
      <c r="A2893" t="s">
        <v>3557</v>
      </c>
      <c r="B2893" t="s">
        <v>152</v>
      </c>
      <c r="C2893" t="s">
        <v>100</v>
      </c>
      <c r="D2893" t="s">
        <v>234</v>
      </c>
      <c r="E2893">
        <v>82</v>
      </c>
      <c r="F2893">
        <v>28</v>
      </c>
      <c r="G2893">
        <v>63</v>
      </c>
      <c r="H2893">
        <v>9</v>
      </c>
    </row>
    <row r="2894" spans="1:8" x14ac:dyDescent="0.25">
      <c r="A2894" t="s">
        <v>3558</v>
      </c>
      <c r="B2894" t="s">
        <v>152</v>
      </c>
      <c r="C2894" t="s">
        <v>100</v>
      </c>
      <c r="D2894" t="s">
        <v>235</v>
      </c>
      <c r="E2894">
        <v>74</v>
      </c>
      <c r="F2894">
        <v>25</v>
      </c>
      <c r="G2894">
        <v>70</v>
      </c>
      <c r="H2894">
        <v>5</v>
      </c>
    </row>
    <row r="2895" spans="1:8" x14ac:dyDescent="0.25">
      <c r="A2895" t="s">
        <v>3559</v>
      </c>
      <c r="B2895" t="s">
        <v>152</v>
      </c>
      <c r="C2895" t="s">
        <v>100</v>
      </c>
      <c r="D2895" t="s">
        <v>236</v>
      </c>
      <c r="E2895">
        <v>68</v>
      </c>
      <c r="F2895">
        <v>25</v>
      </c>
      <c r="G2895">
        <v>70</v>
      </c>
      <c r="H2895">
        <v>5</v>
      </c>
    </row>
    <row r="2896" spans="1:8" x14ac:dyDescent="0.25">
      <c r="A2896" t="s">
        <v>3560</v>
      </c>
      <c r="B2896" t="s">
        <v>152</v>
      </c>
      <c r="C2896" t="s">
        <v>100</v>
      </c>
      <c r="D2896" t="s">
        <v>237</v>
      </c>
      <c r="E2896">
        <v>70</v>
      </c>
      <c r="F2896">
        <v>24</v>
      </c>
      <c r="G2896">
        <v>68</v>
      </c>
      <c r="H2896">
        <v>8</v>
      </c>
    </row>
    <row r="2897" spans="1:8" x14ac:dyDescent="0.25">
      <c r="A2897" t="s">
        <v>3561</v>
      </c>
      <c r="B2897" t="s">
        <v>152</v>
      </c>
      <c r="C2897" t="s">
        <v>100</v>
      </c>
      <c r="D2897" t="s">
        <v>238</v>
      </c>
      <c r="E2897">
        <v>66</v>
      </c>
      <c r="F2897">
        <v>14</v>
      </c>
      <c r="G2897">
        <v>79</v>
      </c>
      <c r="H2897">
        <v>7</v>
      </c>
    </row>
    <row r="2898" spans="1:8" x14ac:dyDescent="0.25">
      <c r="A2898" t="s">
        <v>3562</v>
      </c>
      <c r="B2898" t="s">
        <v>152</v>
      </c>
      <c r="C2898" t="s">
        <v>100</v>
      </c>
      <c r="D2898" t="s">
        <v>239</v>
      </c>
      <c r="E2898">
        <v>64</v>
      </c>
      <c r="F2898">
        <v>20</v>
      </c>
      <c r="G2898">
        <v>67</v>
      </c>
      <c r="H2898">
        <v>13</v>
      </c>
    </row>
    <row r="2899" spans="1:8" x14ac:dyDescent="0.25">
      <c r="A2899" t="s">
        <v>3563</v>
      </c>
      <c r="B2899" t="s">
        <v>152</v>
      </c>
      <c r="C2899" t="s">
        <v>100</v>
      </c>
      <c r="D2899" t="s">
        <v>47</v>
      </c>
      <c r="E2899">
        <v>60</v>
      </c>
      <c r="F2899">
        <v>22</v>
      </c>
      <c r="G2899">
        <v>69</v>
      </c>
      <c r="H2899">
        <v>9</v>
      </c>
    </row>
    <row r="2900" spans="1:8" x14ac:dyDescent="0.25">
      <c r="A2900" t="s">
        <v>3564</v>
      </c>
      <c r="B2900" t="s">
        <v>152</v>
      </c>
      <c r="C2900" t="s">
        <v>101</v>
      </c>
      <c r="D2900" t="s">
        <v>232</v>
      </c>
    </row>
    <row r="2901" spans="1:8" x14ac:dyDescent="0.25">
      <c r="A2901" t="s">
        <v>3565</v>
      </c>
      <c r="B2901" t="s">
        <v>152</v>
      </c>
      <c r="C2901" t="s">
        <v>101</v>
      </c>
      <c r="D2901" t="s">
        <v>233</v>
      </c>
    </row>
    <row r="2902" spans="1:8" x14ac:dyDescent="0.25">
      <c r="A2902" t="s">
        <v>3566</v>
      </c>
      <c r="B2902" t="s">
        <v>152</v>
      </c>
      <c r="C2902" t="s">
        <v>101</v>
      </c>
      <c r="D2902" t="s">
        <v>234</v>
      </c>
    </row>
    <row r="2903" spans="1:8" x14ac:dyDescent="0.25">
      <c r="A2903" t="s">
        <v>3567</v>
      </c>
      <c r="B2903" t="s">
        <v>152</v>
      </c>
      <c r="C2903" t="s">
        <v>101</v>
      </c>
      <c r="D2903" t="s">
        <v>235</v>
      </c>
    </row>
    <row r="2904" spans="1:8" x14ac:dyDescent="0.25">
      <c r="A2904" t="s">
        <v>3568</v>
      </c>
      <c r="B2904" t="s">
        <v>152</v>
      </c>
      <c r="C2904" t="s">
        <v>101</v>
      </c>
      <c r="D2904" t="s">
        <v>236</v>
      </c>
    </row>
    <row r="2905" spans="1:8" x14ac:dyDescent="0.25">
      <c r="A2905" t="s">
        <v>3569</v>
      </c>
      <c r="B2905" t="s">
        <v>152</v>
      </c>
      <c r="C2905" t="s">
        <v>101</v>
      </c>
      <c r="D2905" t="s">
        <v>237</v>
      </c>
    </row>
    <row r="2906" spans="1:8" x14ac:dyDescent="0.25">
      <c r="A2906" t="s">
        <v>3570</v>
      </c>
      <c r="B2906" t="s">
        <v>152</v>
      </c>
      <c r="C2906" t="s">
        <v>101</v>
      </c>
      <c r="D2906" t="s">
        <v>238</v>
      </c>
    </row>
    <row r="2907" spans="1:8" x14ac:dyDescent="0.25">
      <c r="A2907" t="s">
        <v>3571</v>
      </c>
      <c r="B2907" t="s">
        <v>152</v>
      </c>
      <c r="C2907" t="s">
        <v>101</v>
      </c>
      <c r="D2907" t="s">
        <v>239</v>
      </c>
    </row>
    <row r="2908" spans="1:8" x14ac:dyDescent="0.25">
      <c r="A2908" t="s">
        <v>3572</v>
      </c>
      <c r="B2908" t="s">
        <v>152</v>
      </c>
      <c r="C2908" t="s">
        <v>101</v>
      </c>
      <c r="D2908" t="s">
        <v>47</v>
      </c>
    </row>
    <row r="2909" spans="1:8" x14ac:dyDescent="0.25">
      <c r="A2909" t="s">
        <v>3573</v>
      </c>
      <c r="B2909" t="s">
        <v>152</v>
      </c>
      <c r="C2909" t="s">
        <v>102</v>
      </c>
      <c r="D2909" t="s">
        <v>232</v>
      </c>
      <c r="E2909">
        <v>80</v>
      </c>
      <c r="F2909">
        <v>37</v>
      </c>
      <c r="G2909">
        <v>56</v>
      </c>
      <c r="H2909">
        <v>7</v>
      </c>
    </row>
    <row r="2910" spans="1:8" x14ac:dyDescent="0.25">
      <c r="A2910" t="s">
        <v>3574</v>
      </c>
      <c r="B2910" t="s">
        <v>152</v>
      </c>
      <c r="C2910" t="s">
        <v>102</v>
      </c>
      <c r="D2910" t="s">
        <v>233</v>
      </c>
      <c r="E2910">
        <v>65</v>
      </c>
      <c r="F2910">
        <v>42</v>
      </c>
      <c r="G2910">
        <v>55</v>
      </c>
      <c r="H2910">
        <v>3</v>
      </c>
    </row>
    <row r="2911" spans="1:8" x14ac:dyDescent="0.25">
      <c r="A2911" t="s">
        <v>3575</v>
      </c>
      <c r="B2911" t="s">
        <v>152</v>
      </c>
      <c r="C2911" t="s">
        <v>102</v>
      </c>
      <c r="D2911" t="s">
        <v>234</v>
      </c>
      <c r="E2911">
        <v>76</v>
      </c>
      <c r="F2911">
        <v>40</v>
      </c>
      <c r="G2911">
        <v>50</v>
      </c>
      <c r="H2911">
        <v>10</v>
      </c>
    </row>
    <row r="2912" spans="1:8" x14ac:dyDescent="0.25">
      <c r="A2912" t="s">
        <v>3576</v>
      </c>
      <c r="B2912" t="s">
        <v>152</v>
      </c>
      <c r="C2912" t="s">
        <v>102</v>
      </c>
      <c r="D2912" t="s">
        <v>235</v>
      </c>
      <c r="E2912">
        <v>67</v>
      </c>
      <c r="F2912">
        <v>41</v>
      </c>
      <c r="G2912">
        <v>54</v>
      </c>
      <c r="H2912">
        <v>5</v>
      </c>
    </row>
    <row r="2913" spans="1:8" x14ac:dyDescent="0.25">
      <c r="A2913" t="s">
        <v>3577</v>
      </c>
      <c r="B2913" t="s">
        <v>152</v>
      </c>
      <c r="C2913" t="s">
        <v>102</v>
      </c>
      <c r="D2913" t="s">
        <v>236</v>
      </c>
      <c r="E2913">
        <v>59</v>
      </c>
      <c r="F2913">
        <v>37</v>
      </c>
      <c r="G2913">
        <v>60</v>
      </c>
      <c r="H2913">
        <v>3</v>
      </c>
    </row>
    <row r="2914" spans="1:8" x14ac:dyDescent="0.25">
      <c r="A2914" t="s">
        <v>3578</v>
      </c>
      <c r="B2914" t="s">
        <v>152</v>
      </c>
      <c r="C2914" t="s">
        <v>102</v>
      </c>
      <c r="D2914" t="s">
        <v>237</v>
      </c>
      <c r="E2914">
        <v>63</v>
      </c>
      <c r="F2914">
        <v>42</v>
      </c>
      <c r="G2914">
        <v>55</v>
      </c>
      <c r="H2914">
        <v>3</v>
      </c>
    </row>
    <row r="2915" spans="1:8" x14ac:dyDescent="0.25">
      <c r="A2915" t="s">
        <v>3579</v>
      </c>
      <c r="B2915" t="s">
        <v>152</v>
      </c>
      <c r="C2915" t="s">
        <v>102</v>
      </c>
      <c r="D2915" t="s">
        <v>238</v>
      </c>
      <c r="E2915">
        <v>59</v>
      </c>
      <c r="F2915">
        <v>47</v>
      </c>
      <c r="G2915">
        <v>49</v>
      </c>
      <c r="H2915">
        <v>4</v>
      </c>
    </row>
    <row r="2916" spans="1:8" x14ac:dyDescent="0.25">
      <c r="A2916" t="s">
        <v>3580</v>
      </c>
      <c r="B2916" t="s">
        <v>152</v>
      </c>
      <c r="C2916" t="s">
        <v>102</v>
      </c>
      <c r="D2916" t="s">
        <v>239</v>
      </c>
      <c r="E2916">
        <v>54</v>
      </c>
      <c r="F2916">
        <v>24</v>
      </c>
      <c r="G2916">
        <v>70</v>
      </c>
      <c r="H2916">
        <v>6</v>
      </c>
    </row>
    <row r="2917" spans="1:8" x14ac:dyDescent="0.25">
      <c r="A2917" t="s">
        <v>3581</v>
      </c>
      <c r="B2917" t="s">
        <v>152</v>
      </c>
      <c r="C2917" t="s">
        <v>102</v>
      </c>
      <c r="D2917" t="s">
        <v>47</v>
      </c>
      <c r="E2917">
        <v>55</v>
      </c>
      <c r="F2917">
        <v>35</v>
      </c>
      <c r="G2917">
        <v>59</v>
      </c>
      <c r="H2917">
        <v>6</v>
      </c>
    </row>
    <row r="2918" spans="1:8" x14ac:dyDescent="0.25">
      <c r="A2918" t="s">
        <v>3582</v>
      </c>
      <c r="B2918" t="s">
        <v>152</v>
      </c>
      <c r="C2918" t="s">
        <v>31</v>
      </c>
      <c r="D2918" t="s">
        <v>232</v>
      </c>
      <c r="E2918">
        <v>92</v>
      </c>
      <c r="F2918">
        <v>42</v>
      </c>
      <c r="G2918">
        <v>55</v>
      </c>
      <c r="H2918">
        <v>3</v>
      </c>
    </row>
    <row r="2919" spans="1:8" x14ac:dyDescent="0.25">
      <c r="A2919" t="s">
        <v>3583</v>
      </c>
      <c r="B2919" t="s">
        <v>152</v>
      </c>
      <c r="C2919" t="s">
        <v>31</v>
      </c>
      <c r="D2919" t="s">
        <v>233</v>
      </c>
      <c r="E2919">
        <v>78</v>
      </c>
      <c r="F2919">
        <v>31</v>
      </c>
      <c r="G2919">
        <v>64</v>
      </c>
      <c r="H2919">
        <v>5</v>
      </c>
    </row>
    <row r="2920" spans="1:8" x14ac:dyDescent="0.25">
      <c r="A2920" t="s">
        <v>3584</v>
      </c>
      <c r="B2920" t="s">
        <v>152</v>
      </c>
      <c r="C2920" t="s">
        <v>31</v>
      </c>
      <c r="D2920" t="s">
        <v>234</v>
      </c>
      <c r="E2920">
        <v>83</v>
      </c>
      <c r="F2920">
        <v>37</v>
      </c>
      <c r="G2920">
        <v>58</v>
      </c>
      <c r="H2920">
        <v>5</v>
      </c>
    </row>
    <row r="2921" spans="1:8" x14ac:dyDescent="0.25">
      <c r="A2921" t="s">
        <v>3585</v>
      </c>
      <c r="B2921" t="s">
        <v>152</v>
      </c>
      <c r="C2921" t="s">
        <v>31</v>
      </c>
      <c r="D2921" t="s">
        <v>235</v>
      </c>
      <c r="E2921">
        <v>73</v>
      </c>
      <c r="F2921">
        <v>48</v>
      </c>
      <c r="G2921">
        <v>48</v>
      </c>
      <c r="H2921">
        <v>4</v>
      </c>
    </row>
    <row r="2922" spans="1:8" x14ac:dyDescent="0.25">
      <c r="A2922" t="s">
        <v>3586</v>
      </c>
      <c r="B2922" t="s">
        <v>152</v>
      </c>
      <c r="C2922" t="s">
        <v>31</v>
      </c>
      <c r="D2922" t="s">
        <v>236</v>
      </c>
      <c r="E2922">
        <v>68</v>
      </c>
      <c r="F2922">
        <v>48</v>
      </c>
      <c r="G2922">
        <v>51</v>
      </c>
      <c r="H2922">
        <v>1</v>
      </c>
    </row>
    <row r="2923" spans="1:8" x14ac:dyDescent="0.25">
      <c r="A2923" t="s">
        <v>3587</v>
      </c>
      <c r="B2923" t="s">
        <v>152</v>
      </c>
      <c r="C2923" t="s">
        <v>31</v>
      </c>
      <c r="D2923" t="s">
        <v>237</v>
      </c>
      <c r="E2923">
        <v>72</v>
      </c>
      <c r="F2923">
        <v>52</v>
      </c>
      <c r="G2923">
        <v>46</v>
      </c>
      <c r="H2923">
        <v>2</v>
      </c>
    </row>
    <row r="2924" spans="1:8" x14ac:dyDescent="0.25">
      <c r="A2924" t="s">
        <v>3588</v>
      </c>
      <c r="B2924" t="s">
        <v>152</v>
      </c>
      <c r="C2924" t="s">
        <v>31</v>
      </c>
      <c r="D2924" t="s">
        <v>238</v>
      </c>
      <c r="E2924">
        <v>69</v>
      </c>
      <c r="F2924">
        <v>48</v>
      </c>
      <c r="G2924">
        <v>50</v>
      </c>
      <c r="H2924">
        <v>2</v>
      </c>
    </row>
    <row r="2925" spans="1:8" x14ac:dyDescent="0.25">
      <c r="A2925" t="s">
        <v>3589</v>
      </c>
      <c r="B2925" t="s">
        <v>152</v>
      </c>
      <c r="C2925" t="s">
        <v>31</v>
      </c>
      <c r="D2925" t="s">
        <v>239</v>
      </c>
      <c r="E2925">
        <v>64</v>
      </c>
      <c r="F2925">
        <v>55</v>
      </c>
      <c r="G2925">
        <v>45</v>
      </c>
      <c r="H2925">
        <v>0</v>
      </c>
    </row>
    <row r="2926" spans="1:8" x14ac:dyDescent="0.25">
      <c r="A2926" t="s">
        <v>3590</v>
      </c>
      <c r="B2926" t="s">
        <v>152</v>
      </c>
      <c r="C2926" t="s">
        <v>31</v>
      </c>
      <c r="D2926" t="s">
        <v>47</v>
      </c>
      <c r="E2926">
        <v>62</v>
      </c>
      <c r="F2926">
        <v>56</v>
      </c>
      <c r="G2926">
        <v>40</v>
      </c>
      <c r="H2926">
        <v>4</v>
      </c>
    </row>
    <row r="2927" spans="1:8" x14ac:dyDescent="0.25">
      <c r="A2927" t="s">
        <v>3591</v>
      </c>
      <c r="B2927" t="s">
        <v>155</v>
      </c>
      <c r="C2927" t="s">
        <v>103</v>
      </c>
      <c r="D2927" t="s">
        <v>232</v>
      </c>
      <c r="E2927">
        <v>285</v>
      </c>
      <c r="F2927">
        <v>15</v>
      </c>
      <c r="G2927">
        <v>68</v>
      </c>
      <c r="H2927">
        <v>17</v>
      </c>
    </row>
    <row r="2928" spans="1:8" x14ac:dyDescent="0.25">
      <c r="A2928" t="s">
        <v>3592</v>
      </c>
      <c r="B2928" t="s">
        <v>155</v>
      </c>
      <c r="C2928" t="s">
        <v>103</v>
      </c>
      <c r="D2928" t="s">
        <v>233</v>
      </c>
      <c r="E2928">
        <v>221</v>
      </c>
      <c r="F2928">
        <v>17</v>
      </c>
      <c r="G2928">
        <v>66</v>
      </c>
      <c r="H2928">
        <v>17</v>
      </c>
    </row>
    <row r="2929" spans="1:8" x14ac:dyDescent="0.25">
      <c r="A2929" t="s">
        <v>3593</v>
      </c>
      <c r="B2929" t="s">
        <v>155</v>
      </c>
      <c r="C2929" t="s">
        <v>103</v>
      </c>
      <c r="D2929" t="s">
        <v>234</v>
      </c>
      <c r="E2929">
        <v>232</v>
      </c>
      <c r="F2929">
        <v>10</v>
      </c>
      <c r="G2929">
        <v>70</v>
      </c>
      <c r="H2929">
        <v>20</v>
      </c>
    </row>
    <row r="2930" spans="1:8" x14ac:dyDescent="0.25">
      <c r="A2930" t="s">
        <v>3594</v>
      </c>
      <c r="B2930" t="s">
        <v>155</v>
      </c>
      <c r="C2930" t="s">
        <v>103</v>
      </c>
      <c r="D2930" t="s">
        <v>235</v>
      </c>
      <c r="E2930">
        <v>231</v>
      </c>
      <c r="F2930">
        <v>8</v>
      </c>
      <c r="G2930">
        <v>76</v>
      </c>
      <c r="H2930">
        <v>16</v>
      </c>
    </row>
    <row r="2931" spans="1:8" x14ac:dyDescent="0.25">
      <c r="A2931" t="s">
        <v>3595</v>
      </c>
      <c r="B2931" t="s">
        <v>155</v>
      </c>
      <c r="C2931" t="s">
        <v>103</v>
      </c>
      <c r="D2931" t="s">
        <v>236</v>
      </c>
      <c r="E2931">
        <v>231</v>
      </c>
      <c r="F2931">
        <v>11</v>
      </c>
      <c r="G2931">
        <v>68</v>
      </c>
      <c r="H2931">
        <v>21</v>
      </c>
    </row>
    <row r="2932" spans="1:8" x14ac:dyDescent="0.25">
      <c r="A2932" t="s">
        <v>3596</v>
      </c>
      <c r="B2932" t="s">
        <v>155</v>
      </c>
      <c r="C2932" t="s">
        <v>103</v>
      </c>
      <c r="D2932" t="s">
        <v>237</v>
      </c>
      <c r="E2932">
        <v>234</v>
      </c>
      <c r="F2932">
        <v>8</v>
      </c>
      <c r="G2932">
        <v>71</v>
      </c>
      <c r="H2932">
        <v>21</v>
      </c>
    </row>
    <row r="2933" spans="1:8" x14ac:dyDescent="0.25">
      <c r="A2933" t="s">
        <v>3597</v>
      </c>
      <c r="B2933" t="s">
        <v>155</v>
      </c>
      <c r="C2933" t="s">
        <v>103</v>
      </c>
      <c r="D2933" t="s">
        <v>238</v>
      </c>
      <c r="E2933">
        <v>294</v>
      </c>
      <c r="F2933">
        <v>8</v>
      </c>
      <c r="G2933">
        <v>69</v>
      </c>
      <c r="H2933">
        <v>23</v>
      </c>
    </row>
    <row r="2934" spans="1:8" x14ac:dyDescent="0.25">
      <c r="A2934" t="s">
        <v>3598</v>
      </c>
      <c r="B2934" t="s">
        <v>155</v>
      </c>
      <c r="C2934" t="s">
        <v>103</v>
      </c>
      <c r="D2934" t="s">
        <v>239</v>
      </c>
      <c r="E2934">
        <v>237</v>
      </c>
      <c r="F2934">
        <v>6</v>
      </c>
      <c r="G2934">
        <v>66</v>
      </c>
      <c r="H2934">
        <v>28</v>
      </c>
    </row>
    <row r="2935" spans="1:8" x14ac:dyDescent="0.25">
      <c r="A2935" t="s">
        <v>3599</v>
      </c>
      <c r="B2935" t="s">
        <v>155</v>
      </c>
      <c r="C2935" t="s">
        <v>103</v>
      </c>
      <c r="D2935" t="s">
        <v>47</v>
      </c>
      <c r="E2935">
        <v>242</v>
      </c>
      <c r="F2935">
        <v>6</v>
      </c>
      <c r="G2935">
        <v>62</v>
      </c>
      <c r="H2935">
        <v>32</v>
      </c>
    </row>
    <row r="2936" spans="1:8" x14ac:dyDescent="0.25">
      <c r="A2936" t="s">
        <v>3600</v>
      </c>
      <c r="B2936" t="s">
        <v>155</v>
      </c>
      <c r="C2936" t="s">
        <v>100</v>
      </c>
      <c r="D2936" t="s">
        <v>232</v>
      </c>
      <c r="E2936">
        <v>292</v>
      </c>
      <c r="F2936">
        <v>19</v>
      </c>
      <c r="G2936">
        <v>56</v>
      </c>
      <c r="H2936">
        <v>25</v>
      </c>
    </row>
    <row r="2937" spans="1:8" x14ac:dyDescent="0.25">
      <c r="A2937" t="s">
        <v>3601</v>
      </c>
      <c r="B2937" t="s">
        <v>155</v>
      </c>
      <c r="C2937" t="s">
        <v>100</v>
      </c>
      <c r="D2937" t="s">
        <v>233</v>
      </c>
      <c r="E2937">
        <v>228</v>
      </c>
      <c r="F2937">
        <v>21</v>
      </c>
      <c r="G2937">
        <v>56</v>
      </c>
      <c r="H2937">
        <v>23</v>
      </c>
    </row>
    <row r="2938" spans="1:8" x14ac:dyDescent="0.25">
      <c r="A2938" t="s">
        <v>3602</v>
      </c>
      <c r="B2938" t="s">
        <v>155</v>
      </c>
      <c r="C2938" t="s">
        <v>100</v>
      </c>
      <c r="D2938" t="s">
        <v>234</v>
      </c>
      <c r="E2938">
        <v>240</v>
      </c>
      <c r="F2938">
        <v>17</v>
      </c>
      <c r="G2938">
        <v>49</v>
      </c>
      <c r="H2938">
        <v>34</v>
      </c>
    </row>
    <row r="2939" spans="1:8" x14ac:dyDescent="0.25">
      <c r="A2939" t="s">
        <v>3603</v>
      </c>
      <c r="B2939" t="s">
        <v>155</v>
      </c>
      <c r="C2939" t="s">
        <v>100</v>
      </c>
      <c r="D2939" t="s">
        <v>235</v>
      </c>
      <c r="E2939">
        <v>233</v>
      </c>
      <c r="F2939">
        <v>13</v>
      </c>
      <c r="G2939">
        <v>56</v>
      </c>
      <c r="H2939">
        <v>31</v>
      </c>
    </row>
    <row r="2940" spans="1:8" x14ac:dyDescent="0.25">
      <c r="A2940" t="s">
        <v>3604</v>
      </c>
      <c r="B2940" t="s">
        <v>155</v>
      </c>
      <c r="C2940" t="s">
        <v>100</v>
      </c>
      <c r="D2940" t="s">
        <v>236</v>
      </c>
      <c r="E2940">
        <v>235</v>
      </c>
      <c r="F2940">
        <v>20</v>
      </c>
      <c r="G2940">
        <v>51</v>
      </c>
      <c r="H2940">
        <v>29</v>
      </c>
    </row>
    <row r="2941" spans="1:8" x14ac:dyDescent="0.25">
      <c r="A2941" t="s">
        <v>3605</v>
      </c>
      <c r="B2941" t="s">
        <v>155</v>
      </c>
      <c r="C2941" t="s">
        <v>100</v>
      </c>
      <c r="D2941" t="s">
        <v>237</v>
      </c>
      <c r="E2941">
        <v>239</v>
      </c>
      <c r="F2941">
        <v>16</v>
      </c>
      <c r="G2941">
        <v>53</v>
      </c>
      <c r="H2941">
        <v>31</v>
      </c>
    </row>
    <row r="2942" spans="1:8" x14ac:dyDescent="0.25">
      <c r="A2942" t="s">
        <v>3606</v>
      </c>
      <c r="B2942" t="s">
        <v>155</v>
      </c>
      <c r="C2942" t="s">
        <v>100</v>
      </c>
      <c r="D2942" t="s">
        <v>238</v>
      </c>
      <c r="E2942">
        <v>297</v>
      </c>
      <c r="F2942">
        <v>18</v>
      </c>
      <c r="G2942">
        <v>51</v>
      </c>
      <c r="H2942">
        <v>31</v>
      </c>
    </row>
    <row r="2943" spans="1:8" x14ac:dyDescent="0.25">
      <c r="A2943" t="s">
        <v>3607</v>
      </c>
      <c r="B2943" t="s">
        <v>155</v>
      </c>
      <c r="C2943" t="s">
        <v>100</v>
      </c>
      <c r="D2943" t="s">
        <v>239</v>
      </c>
      <c r="E2943">
        <v>238</v>
      </c>
      <c r="F2943">
        <v>15</v>
      </c>
      <c r="G2943">
        <v>49</v>
      </c>
      <c r="H2943">
        <v>36</v>
      </c>
    </row>
    <row r="2944" spans="1:8" x14ac:dyDescent="0.25">
      <c r="A2944" t="s">
        <v>3608</v>
      </c>
      <c r="B2944" t="s">
        <v>155</v>
      </c>
      <c r="C2944" t="s">
        <v>100</v>
      </c>
      <c r="D2944" t="s">
        <v>47</v>
      </c>
      <c r="E2944">
        <v>252</v>
      </c>
      <c r="F2944">
        <v>12</v>
      </c>
      <c r="G2944">
        <v>56</v>
      </c>
      <c r="H2944">
        <v>32</v>
      </c>
    </row>
    <row r="2945" spans="1:8" x14ac:dyDescent="0.25">
      <c r="A2945" t="s">
        <v>3609</v>
      </c>
      <c r="B2945" t="s">
        <v>155</v>
      </c>
      <c r="C2945" t="s">
        <v>101</v>
      </c>
      <c r="D2945" t="s">
        <v>232</v>
      </c>
    </row>
    <row r="2946" spans="1:8" x14ac:dyDescent="0.25">
      <c r="A2946" t="s">
        <v>3610</v>
      </c>
      <c r="B2946" t="s">
        <v>155</v>
      </c>
      <c r="C2946" t="s">
        <v>101</v>
      </c>
      <c r="D2946" t="s">
        <v>233</v>
      </c>
    </row>
    <row r="2947" spans="1:8" x14ac:dyDescent="0.25">
      <c r="A2947" t="s">
        <v>3611</v>
      </c>
      <c r="B2947" t="s">
        <v>155</v>
      </c>
      <c r="C2947" t="s">
        <v>101</v>
      </c>
      <c r="D2947" t="s">
        <v>234</v>
      </c>
    </row>
    <row r="2948" spans="1:8" x14ac:dyDescent="0.25">
      <c r="A2948" t="s">
        <v>3612</v>
      </c>
      <c r="B2948" t="s">
        <v>155</v>
      </c>
      <c r="C2948" t="s">
        <v>101</v>
      </c>
      <c r="D2948" t="s">
        <v>235</v>
      </c>
    </row>
    <row r="2949" spans="1:8" x14ac:dyDescent="0.25">
      <c r="A2949" t="s">
        <v>3613</v>
      </c>
      <c r="B2949" t="s">
        <v>155</v>
      </c>
      <c r="C2949" t="s">
        <v>101</v>
      </c>
      <c r="D2949" t="s">
        <v>236</v>
      </c>
    </row>
    <row r="2950" spans="1:8" x14ac:dyDescent="0.25">
      <c r="A2950" t="s">
        <v>3614</v>
      </c>
      <c r="B2950" t="s">
        <v>155</v>
      </c>
      <c r="C2950" t="s">
        <v>101</v>
      </c>
      <c r="D2950" t="s">
        <v>237</v>
      </c>
    </row>
    <row r="2951" spans="1:8" x14ac:dyDescent="0.25">
      <c r="A2951" t="s">
        <v>3615</v>
      </c>
      <c r="B2951" t="s">
        <v>155</v>
      </c>
      <c r="C2951" t="s">
        <v>101</v>
      </c>
      <c r="D2951" t="s">
        <v>238</v>
      </c>
    </row>
    <row r="2952" spans="1:8" x14ac:dyDescent="0.25">
      <c r="A2952" t="s">
        <v>3616</v>
      </c>
      <c r="B2952" t="s">
        <v>155</v>
      </c>
      <c r="C2952" t="s">
        <v>101</v>
      </c>
      <c r="D2952" t="s">
        <v>239</v>
      </c>
    </row>
    <row r="2953" spans="1:8" x14ac:dyDescent="0.25">
      <c r="A2953" t="s">
        <v>3617</v>
      </c>
      <c r="B2953" t="s">
        <v>155</v>
      </c>
      <c r="C2953" t="s">
        <v>101</v>
      </c>
      <c r="D2953" t="s">
        <v>47</v>
      </c>
    </row>
    <row r="2954" spans="1:8" x14ac:dyDescent="0.25">
      <c r="A2954" t="s">
        <v>3618</v>
      </c>
      <c r="B2954" t="s">
        <v>155</v>
      </c>
      <c r="C2954" t="s">
        <v>102</v>
      </c>
      <c r="D2954" t="s">
        <v>232</v>
      </c>
      <c r="E2954">
        <v>257</v>
      </c>
      <c r="F2954">
        <v>21</v>
      </c>
      <c r="G2954">
        <v>47</v>
      </c>
      <c r="H2954">
        <v>32</v>
      </c>
    </row>
    <row r="2955" spans="1:8" x14ac:dyDescent="0.25">
      <c r="A2955" t="s">
        <v>3619</v>
      </c>
      <c r="B2955" t="s">
        <v>155</v>
      </c>
      <c r="C2955" t="s">
        <v>102</v>
      </c>
      <c r="D2955" t="s">
        <v>233</v>
      </c>
      <c r="E2955">
        <v>182</v>
      </c>
      <c r="F2955">
        <v>25</v>
      </c>
      <c r="G2955">
        <v>48</v>
      </c>
      <c r="H2955">
        <v>27</v>
      </c>
    </row>
    <row r="2956" spans="1:8" x14ac:dyDescent="0.25">
      <c r="A2956" t="s">
        <v>3620</v>
      </c>
      <c r="B2956" t="s">
        <v>155</v>
      </c>
      <c r="C2956" t="s">
        <v>102</v>
      </c>
      <c r="D2956" t="s">
        <v>234</v>
      </c>
      <c r="E2956">
        <v>194</v>
      </c>
      <c r="F2956">
        <v>20</v>
      </c>
      <c r="G2956">
        <v>45</v>
      </c>
      <c r="H2956">
        <v>35</v>
      </c>
    </row>
    <row r="2957" spans="1:8" x14ac:dyDescent="0.25">
      <c r="A2957" t="s">
        <v>3621</v>
      </c>
      <c r="B2957" t="s">
        <v>155</v>
      </c>
      <c r="C2957" t="s">
        <v>102</v>
      </c>
      <c r="D2957" t="s">
        <v>235</v>
      </c>
      <c r="E2957">
        <v>191</v>
      </c>
      <c r="F2957">
        <v>18</v>
      </c>
      <c r="G2957">
        <v>51</v>
      </c>
      <c r="H2957">
        <v>31</v>
      </c>
    </row>
    <row r="2958" spans="1:8" x14ac:dyDescent="0.25">
      <c r="A2958" t="s">
        <v>3622</v>
      </c>
      <c r="B2958" t="s">
        <v>155</v>
      </c>
      <c r="C2958" t="s">
        <v>102</v>
      </c>
      <c r="D2958" t="s">
        <v>236</v>
      </c>
      <c r="E2958">
        <v>191</v>
      </c>
      <c r="F2958">
        <v>20</v>
      </c>
      <c r="G2958">
        <v>47</v>
      </c>
      <c r="H2958">
        <v>33</v>
      </c>
    </row>
    <row r="2959" spans="1:8" x14ac:dyDescent="0.25">
      <c r="A2959" t="s">
        <v>3623</v>
      </c>
      <c r="B2959" t="s">
        <v>155</v>
      </c>
      <c r="C2959" t="s">
        <v>102</v>
      </c>
      <c r="D2959" t="s">
        <v>237</v>
      </c>
      <c r="E2959">
        <v>208</v>
      </c>
      <c r="F2959">
        <v>18</v>
      </c>
      <c r="G2959">
        <v>49</v>
      </c>
      <c r="H2959">
        <v>33</v>
      </c>
    </row>
    <row r="2960" spans="1:8" x14ac:dyDescent="0.25">
      <c r="A2960" t="s">
        <v>3624</v>
      </c>
      <c r="B2960" t="s">
        <v>155</v>
      </c>
      <c r="C2960" t="s">
        <v>102</v>
      </c>
      <c r="D2960" t="s">
        <v>238</v>
      </c>
      <c r="E2960">
        <v>249</v>
      </c>
      <c r="F2960">
        <v>19</v>
      </c>
      <c r="G2960">
        <v>49</v>
      </c>
      <c r="H2960">
        <v>32</v>
      </c>
    </row>
    <row r="2961" spans="1:8" x14ac:dyDescent="0.25">
      <c r="A2961" t="s">
        <v>3625</v>
      </c>
      <c r="B2961" t="s">
        <v>155</v>
      </c>
      <c r="C2961" t="s">
        <v>102</v>
      </c>
      <c r="D2961" t="s">
        <v>239</v>
      </c>
      <c r="E2961">
        <v>185</v>
      </c>
      <c r="F2961">
        <v>23</v>
      </c>
      <c r="G2961">
        <v>42</v>
      </c>
      <c r="H2961">
        <v>35</v>
      </c>
    </row>
    <row r="2962" spans="1:8" x14ac:dyDescent="0.25">
      <c r="A2962" t="s">
        <v>3626</v>
      </c>
      <c r="B2962" t="s">
        <v>155</v>
      </c>
      <c r="C2962" t="s">
        <v>102</v>
      </c>
      <c r="D2962" t="s">
        <v>47</v>
      </c>
      <c r="E2962">
        <v>194</v>
      </c>
      <c r="F2962">
        <v>18</v>
      </c>
      <c r="G2962">
        <v>48</v>
      </c>
      <c r="H2962">
        <v>34</v>
      </c>
    </row>
    <row r="2963" spans="1:8" x14ac:dyDescent="0.25">
      <c r="A2963" t="s">
        <v>3627</v>
      </c>
      <c r="B2963" t="s">
        <v>155</v>
      </c>
      <c r="C2963" t="s">
        <v>31</v>
      </c>
      <c r="D2963" t="s">
        <v>232</v>
      </c>
      <c r="E2963">
        <v>300</v>
      </c>
      <c r="F2963">
        <v>26</v>
      </c>
      <c r="G2963">
        <v>56</v>
      </c>
      <c r="H2963">
        <v>18</v>
      </c>
    </row>
    <row r="2964" spans="1:8" x14ac:dyDescent="0.25">
      <c r="A2964" t="s">
        <v>3628</v>
      </c>
      <c r="B2964" t="s">
        <v>155</v>
      </c>
      <c r="C2964" t="s">
        <v>31</v>
      </c>
      <c r="D2964" t="s">
        <v>233</v>
      </c>
      <c r="E2964">
        <v>229</v>
      </c>
      <c r="F2964">
        <v>32</v>
      </c>
      <c r="G2964">
        <v>46</v>
      </c>
      <c r="H2964">
        <v>22</v>
      </c>
    </row>
    <row r="2965" spans="1:8" x14ac:dyDescent="0.25">
      <c r="A2965" t="s">
        <v>3629</v>
      </c>
      <c r="B2965" t="s">
        <v>155</v>
      </c>
      <c r="C2965" t="s">
        <v>31</v>
      </c>
      <c r="D2965" t="s">
        <v>234</v>
      </c>
      <c r="E2965">
        <v>241</v>
      </c>
      <c r="F2965">
        <v>24</v>
      </c>
      <c r="G2965">
        <v>55</v>
      </c>
      <c r="H2965">
        <v>21</v>
      </c>
    </row>
    <row r="2966" spans="1:8" x14ac:dyDescent="0.25">
      <c r="A2966" t="s">
        <v>3630</v>
      </c>
      <c r="B2966" t="s">
        <v>155</v>
      </c>
      <c r="C2966" t="s">
        <v>31</v>
      </c>
      <c r="D2966" t="s">
        <v>235</v>
      </c>
      <c r="E2966">
        <v>235</v>
      </c>
      <c r="F2966">
        <v>20</v>
      </c>
      <c r="G2966">
        <v>63</v>
      </c>
      <c r="H2966">
        <v>17</v>
      </c>
    </row>
    <row r="2967" spans="1:8" x14ac:dyDescent="0.25">
      <c r="A2967" t="s">
        <v>3631</v>
      </c>
      <c r="B2967" t="s">
        <v>155</v>
      </c>
      <c r="C2967" t="s">
        <v>31</v>
      </c>
      <c r="D2967" t="s">
        <v>236</v>
      </c>
      <c r="E2967">
        <v>238</v>
      </c>
      <c r="F2967">
        <v>23</v>
      </c>
      <c r="G2967">
        <v>55</v>
      </c>
      <c r="H2967">
        <v>22</v>
      </c>
    </row>
    <row r="2968" spans="1:8" x14ac:dyDescent="0.25">
      <c r="A2968" t="s">
        <v>3632</v>
      </c>
      <c r="B2968" t="s">
        <v>155</v>
      </c>
      <c r="C2968" t="s">
        <v>31</v>
      </c>
      <c r="D2968" t="s">
        <v>237</v>
      </c>
      <c r="E2968">
        <v>242</v>
      </c>
      <c r="F2968">
        <v>21</v>
      </c>
      <c r="G2968">
        <v>47</v>
      </c>
      <c r="H2968">
        <v>32</v>
      </c>
    </row>
    <row r="2969" spans="1:8" x14ac:dyDescent="0.25">
      <c r="A2969" t="s">
        <v>3633</v>
      </c>
      <c r="B2969" t="s">
        <v>155</v>
      </c>
      <c r="C2969" t="s">
        <v>31</v>
      </c>
      <c r="D2969" t="s">
        <v>238</v>
      </c>
      <c r="E2969">
        <v>302</v>
      </c>
      <c r="F2969">
        <v>22</v>
      </c>
      <c r="G2969">
        <v>54</v>
      </c>
      <c r="H2969">
        <v>24</v>
      </c>
    </row>
    <row r="2970" spans="1:8" x14ac:dyDescent="0.25">
      <c r="A2970" t="s">
        <v>3634</v>
      </c>
      <c r="B2970" t="s">
        <v>155</v>
      </c>
      <c r="C2970" t="s">
        <v>31</v>
      </c>
      <c r="D2970" t="s">
        <v>239</v>
      </c>
      <c r="E2970">
        <v>246</v>
      </c>
      <c r="F2970">
        <v>19</v>
      </c>
      <c r="G2970">
        <v>52</v>
      </c>
      <c r="H2970">
        <v>29</v>
      </c>
    </row>
    <row r="2971" spans="1:8" x14ac:dyDescent="0.25">
      <c r="A2971" t="s">
        <v>3635</v>
      </c>
      <c r="B2971" t="s">
        <v>155</v>
      </c>
      <c r="C2971" t="s">
        <v>31</v>
      </c>
      <c r="D2971" t="s">
        <v>47</v>
      </c>
      <c r="E2971">
        <v>257</v>
      </c>
      <c r="F2971">
        <v>20</v>
      </c>
      <c r="G2971">
        <v>47</v>
      </c>
      <c r="H2971">
        <v>33</v>
      </c>
    </row>
  </sheetData>
  <autoFilter ref="A1:H2971" xr:uid="{00000000-0009-0000-0000-000010000000}"/>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1B3B4"/>
  </sheetPr>
  <dimension ref="A1:BC529"/>
  <sheetViews>
    <sheetView workbookViewId="0">
      <pane xSplit="3" ySplit="1" topLeftCell="D2" activePane="bottomRight" state="frozen"/>
      <selection pane="topRight"/>
      <selection pane="bottomLeft"/>
      <selection pane="bottomRight" activeCell="B2" sqref="B2"/>
    </sheetView>
  </sheetViews>
  <sheetFormatPr baseColWidth="10" defaultColWidth="9.140625" defaultRowHeight="15" x14ac:dyDescent="0.25"/>
  <cols>
    <col min="1" max="1" width="10" hidden="1" customWidth="1"/>
    <col min="2" max="2" width="40" customWidth="1"/>
    <col min="3" max="3" width="30" customWidth="1"/>
    <col min="4" max="5" width="10" customWidth="1"/>
  </cols>
  <sheetData>
    <row r="1" spans="1:55" ht="46.5" customHeight="1" x14ac:dyDescent="0.25">
      <c r="A1" s="53" t="s">
        <v>171</v>
      </c>
      <c r="B1" s="53" t="s">
        <v>69</v>
      </c>
      <c r="C1" s="53" t="s">
        <v>252</v>
      </c>
      <c r="D1" s="53" t="s">
        <v>253</v>
      </c>
      <c r="E1" s="53" t="s">
        <v>254</v>
      </c>
      <c r="F1" s="53" t="s">
        <v>191</v>
      </c>
      <c r="G1" s="53" t="s">
        <v>193</v>
      </c>
      <c r="H1" s="53" t="s">
        <v>194</v>
      </c>
      <c r="I1" s="53" t="s">
        <v>195</v>
      </c>
      <c r="J1" s="53" t="s">
        <v>196</v>
      </c>
      <c r="K1" s="53" t="s">
        <v>197</v>
      </c>
      <c r="L1" s="53" t="s">
        <v>198</v>
      </c>
      <c r="M1" s="53" t="s">
        <v>199</v>
      </c>
      <c r="N1" s="53" t="s">
        <v>200</v>
      </c>
      <c r="O1" s="53" t="s">
        <v>201</v>
      </c>
      <c r="P1" s="53" t="s">
        <v>202</v>
      </c>
      <c r="Q1" s="53" t="s">
        <v>203</v>
      </c>
      <c r="R1" s="53" t="s">
        <v>204</v>
      </c>
      <c r="S1" s="53" t="s">
        <v>205</v>
      </c>
      <c r="T1" s="53" t="s">
        <v>206</v>
      </c>
      <c r="U1" s="53" t="s">
        <v>207</v>
      </c>
      <c r="V1" s="53" t="s">
        <v>208</v>
      </c>
      <c r="W1" s="53" t="s">
        <v>209</v>
      </c>
      <c r="X1" s="53" t="s">
        <v>210</v>
      </c>
      <c r="Y1" s="53" t="s">
        <v>211</v>
      </c>
      <c r="Z1" s="53" t="s">
        <v>212</v>
      </c>
      <c r="AA1" s="53" t="s">
        <v>213</v>
      </c>
      <c r="AB1" s="53" t="s">
        <v>214</v>
      </c>
      <c r="AC1" s="53" t="s">
        <v>215</v>
      </c>
      <c r="AD1" s="53" t="s">
        <v>216</v>
      </c>
      <c r="AE1" s="53" t="s">
        <v>217</v>
      </c>
      <c r="AF1" s="53" t="s">
        <v>218</v>
      </c>
      <c r="AG1" s="53" t="s">
        <v>219</v>
      </c>
      <c r="AH1" s="53" t="s">
        <v>220</v>
      </c>
      <c r="AI1" s="53" t="s">
        <v>221</v>
      </c>
      <c r="AJ1" s="53" t="s">
        <v>104</v>
      </c>
      <c r="AK1" s="53" t="s">
        <v>222</v>
      </c>
      <c r="AL1" s="53" t="s">
        <v>223</v>
      </c>
      <c r="AM1" s="53" t="s">
        <v>224</v>
      </c>
      <c r="AN1" s="53" t="s">
        <v>225</v>
      </c>
      <c r="AO1" s="53" t="s">
        <v>226</v>
      </c>
      <c r="AP1" s="53" t="s">
        <v>227</v>
      </c>
      <c r="AQ1" s="53" t="s">
        <v>228</v>
      </c>
      <c r="AR1" s="53" t="s">
        <v>229</v>
      </c>
      <c r="AS1" s="53" t="s">
        <v>230</v>
      </c>
      <c r="AT1" s="53" t="s">
        <v>231</v>
      </c>
      <c r="AU1" s="53" t="s">
        <v>232</v>
      </c>
      <c r="AV1" s="53" t="s">
        <v>233</v>
      </c>
      <c r="AW1" s="53" t="s">
        <v>234</v>
      </c>
      <c r="AX1" s="53" t="s">
        <v>235</v>
      </c>
      <c r="AY1" s="53" t="s">
        <v>236</v>
      </c>
      <c r="AZ1" s="53" t="s">
        <v>237</v>
      </c>
      <c r="BA1" s="53" t="s">
        <v>238</v>
      </c>
      <c r="BB1" s="53" t="s">
        <v>239</v>
      </c>
      <c r="BC1" s="53" t="s">
        <v>47</v>
      </c>
    </row>
    <row r="2" spans="1:55" x14ac:dyDescent="0.25">
      <c r="A2" t="s">
        <v>3636</v>
      </c>
      <c r="B2" t="s">
        <v>45</v>
      </c>
      <c r="C2" t="s">
        <v>85</v>
      </c>
      <c r="D2">
        <v>22933</v>
      </c>
      <c r="E2">
        <v>42.22</v>
      </c>
      <c r="F2">
        <v>35</v>
      </c>
      <c r="G2">
        <v>35</v>
      </c>
      <c r="H2">
        <v>34</v>
      </c>
      <c r="I2">
        <v>32</v>
      </c>
      <c r="J2">
        <v>29</v>
      </c>
      <c r="K2">
        <v>30</v>
      </c>
      <c r="L2">
        <v>35</v>
      </c>
      <c r="M2">
        <v>33</v>
      </c>
      <c r="N2">
        <v>35</v>
      </c>
      <c r="O2">
        <v>38</v>
      </c>
      <c r="P2">
        <v>38</v>
      </c>
      <c r="Q2">
        <v>41</v>
      </c>
      <c r="R2">
        <v>41</v>
      </c>
      <c r="S2">
        <v>38</v>
      </c>
      <c r="T2">
        <v>42</v>
      </c>
      <c r="U2">
        <v>42</v>
      </c>
      <c r="V2">
        <v>40</v>
      </c>
      <c r="W2">
        <v>40</v>
      </c>
      <c r="X2">
        <v>40</v>
      </c>
      <c r="Y2">
        <v>40</v>
      </c>
      <c r="Z2">
        <v>40</v>
      </c>
      <c r="AA2">
        <v>39</v>
      </c>
      <c r="AB2">
        <v>40</v>
      </c>
      <c r="AC2">
        <v>42</v>
      </c>
      <c r="AD2">
        <v>42</v>
      </c>
      <c r="AE2">
        <v>41</v>
      </c>
      <c r="AF2">
        <v>43</v>
      </c>
      <c r="AG2">
        <v>42</v>
      </c>
      <c r="AH2">
        <v>40</v>
      </c>
      <c r="AI2">
        <v>42</v>
      </c>
      <c r="AJ2">
        <v>29</v>
      </c>
      <c r="AK2">
        <v>32</v>
      </c>
      <c r="AL2">
        <v>32</v>
      </c>
      <c r="AM2">
        <v>34</v>
      </c>
      <c r="AN2">
        <v>40</v>
      </c>
      <c r="AO2">
        <v>43</v>
      </c>
      <c r="AP2">
        <v>46</v>
      </c>
      <c r="AQ2">
        <v>51</v>
      </c>
      <c r="AR2">
        <v>49</v>
      </c>
      <c r="AS2">
        <v>53</v>
      </c>
      <c r="AT2">
        <v>53</v>
      </c>
      <c r="AU2">
        <v>53</v>
      </c>
      <c r="AV2">
        <v>53</v>
      </c>
      <c r="AW2">
        <v>54</v>
      </c>
      <c r="AX2">
        <v>56</v>
      </c>
      <c r="AY2">
        <v>56</v>
      </c>
      <c r="AZ2">
        <v>56</v>
      </c>
      <c r="BA2">
        <v>59</v>
      </c>
      <c r="BB2">
        <v>57</v>
      </c>
      <c r="BC2">
        <v>56</v>
      </c>
    </row>
    <row r="3" spans="1:55" x14ac:dyDescent="0.25">
      <c r="A3" t="s">
        <v>3637</v>
      </c>
      <c r="B3" t="s">
        <v>110</v>
      </c>
      <c r="C3" t="s">
        <v>85</v>
      </c>
      <c r="D3">
        <v>5680</v>
      </c>
      <c r="E3">
        <v>42.12</v>
      </c>
      <c r="F3">
        <v>31</v>
      </c>
      <c r="G3">
        <v>32</v>
      </c>
      <c r="H3">
        <v>33</v>
      </c>
      <c r="I3">
        <v>29</v>
      </c>
      <c r="J3">
        <v>26</v>
      </c>
      <c r="K3">
        <v>27</v>
      </c>
      <c r="L3">
        <v>35</v>
      </c>
      <c r="M3">
        <v>30</v>
      </c>
      <c r="N3">
        <v>32</v>
      </c>
      <c r="O3">
        <v>37</v>
      </c>
      <c r="P3">
        <v>35</v>
      </c>
      <c r="Q3">
        <v>39</v>
      </c>
      <c r="R3">
        <v>39</v>
      </c>
      <c r="S3">
        <v>35</v>
      </c>
      <c r="T3">
        <v>40</v>
      </c>
      <c r="U3">
        <v>40</v>
      </c>
      <c r="V3">
        <v>37</v>
      </c>
      <c r="W3">
        <v>39</v>
      </c>
      <c r="X3">
        <v>39</v>
      </c>
      <c r="Y3">
        <v>39</v>
      </c>
      <c r="Z3">
        <v>38</v>
      </c>
      <c r="AA3">
        <v>38</v>
      </c>
      <c r="AB3">
        <v>39</v>
      </c>
      <c r="AC3">
        <v>44</v>
      </c>
      <c r="AD3">
        <v>44</v>
      </c>
      <c r="AE3">
        <v>42</v>
      </c>
      <c r="AF3">
        <v>44</v>
      </c>
      <c r="AG3">
        <v>43</v>
      </c>
      <c r="AH3">
        <v>39</v>
      </c>
      <c r="AI3">
        <v>42</v>
      </c>
      <c r="AJ3">
        <v>26</v>
      </c>
      <c r="AK3">
        <v>32</v>
      </c>
      <c r="AL3">
        <v>34</v>
      </c>
      <c r="AM3">
        <v>36</v>
      </c>
      <c r="AN3">
        <v>40</v>
      </c>
      <c r="AO3">
        <v>44</v>
      </c>
      <c r="AP3">
        <v>43</v>
      </c>
      <c r="AQ3">
        <v>51</v>
      </c>
      <c r="AR3">
        <v>51</v>
      </c>
      <c r="AS3">
        <v>56</v>
      </c>
      <c r="AT3">
        <v>55</v>
      </c>
      <c r="AU3">
        <v>56</v>
      </c>
      <c r="AV3">
        <v>55</v>
      </c>
      <c r="AW3">
        <v>58</v>
      </c>
      <c r="AX3">
        <v>60</v>
      </c>
      <c r="AY3">
        <v>59</v>
      </c>
      <c r="AZ3">
        <v>59</v>
      </c>
      <c r="BA3">
        <v>63</v>
      </c>
      <c r="BB3">
        <v>60</v>
      </c>
      <c r="BC3">
        <v>61</v>
      </c>
    </row>
    <row r="4" spans="1:55" x14ac:dyDescent="0.25">
      <c r="A4" t="s">
        <v>3638</v>
      </c>
      <c r="B4" t="s">
        <v>111</v>
      </c>
      <c r="C4" t="s">
        <v>85</v>
      </c>
      <c r="D4">
        <v>64</v>
      </c>
      <c r="E4">
        <v>36.44</v>
      </c>
      <c r="F4">
        <v>25</v>
      </c>
      <c r="G4">
        <v>34</v>
      </c>
      <c r="H4">
        <v>30</v>
      </c>
      <c r="I4">
        <v>26</v>
      </c>
      <c r="J4">
        <v>31</v>
      </c>
      <c r="K4">
        <v>25</v>
      </c>
      <c r="L4">
        <v>33</v>
      </c>
      <c r="M4">
        <v>33</v>
      </c>
      <c r="N4">
        <v>34</v>
      </c>
      <c r="O4">
        <v>35</v>
      </c>
      <c r="P4">
        <v>33</v>
      </c>
      <c r="Q4">
        <v>32</v>
      </c>
      <c r="R4">
        <v>37</v>
      </c>
      <c r="S4">
        <v>32</v>
      </c>
      <c r="T4">
        <v>36</v>
      </c>
      <c r="U4">
        <v>40</v>
      </c>
      <c r="V4">
        <v>37</v>
      </c>
      <c r="W4">
        <v>35</v>
      </c>
      <c r="X4">
        <v>37</v>
      </c>
      <c r="Y4">
        <v>46</v>
      </c>
      <c r="Z4">
        <v>39</v>
      </c>
      <c r="AA4">
        <v>37</v>
      </c>
      <c r="AB4">
        <v>28</v>
      </c>
      <c r="AC4">
        <v>36</v>
      </c>
      <c r="AD4">
        <v>34</v>
      </c>
      <c r="AE4">
        <v>32</v>
      </c>
      <c r="AF4">
        <v>35</v>
      </c>
      <c r="AG4">
        <v>35</v>
      </c>
      <c r="AH4">
        <v>38</v>
      </c>
      <c r="AI4">
        <v>30</v>
      </c>
      <c r="AJ4">
        <v>24</v>
      </c>
      <c r="AK4">
        <v>37</v>
      </c>
      <c r="AL4">
        <v>25</v>
      </c>
      <c r="AM4">
        <v>35</v>
      </c>
      <c r="AN4">
        <v>40</v>
      </c>
      <c r="AO4">
        <v>37</v>
      </c>
      <c r="AP4">
        <v>34</v>
      </c>
      <c r="AQ4">
        <v>39</v>
      </c>
      <c r="AR4">
        <v>39</v>
      </c>
      <c r="AS4">
        <v>50</v>
      </c>
      <c r="AT4">
        <v>43</v>
      </c>
      <c r="AU4">
        <v>50</v>
      </c>
      <c r="AV4">
        <v>45</v>
      </c>
      <c r="AW4">
        <v>39</v>
      </c>
      <c r="AX4">
        <v>37</v>
      </c>
      <c r="AY4">
        <v>37</v>
      </c>
      <c r="AZ4">
        <v>47</v>
      </c>
      <c r="BA4">
        <v>57</v>
      </c>
      <c r="BB4">
        <v>45</v>
      </c>
      <c r="BC4">
        <v>47</v>
      </c>
    </row>
    <row r="5" spans="1:55" x14ac:dyDescent="0.25">
      <c r="A5" t="s">
        <v>3639</v>
      </c>
      <c r="B5" t="s">
        <v>112</v>
      </c>
      <c r="C5" t="s">
        <v>85</v>
      </c>
      <c r="D5">
        <v>221</v>
      </c>
      <c r="E5">
        <v>45.32</v>
      </c>
      <c r="F5">
        <v>25</v>
      </c>
      <c r="G5">
        <v>26</v>
      </c>
      <c r="H5">
        <v>27</v>
      </c>
      <c r="I5">
        <v>22</v>
      </c>
      <c r="J5">
        <v>27</v>
      </c>
      <c r="K5">
        <v>29</v>
      </c>
      <c r="L5">
        <v>33</v>
      </c>
      <c r="M5">
        <v>28</v>
      </c>
      <c r="N5">
        <v>31</v>
      </c>
      <c r="O5">
        <v>35</v>
      </c>
      <c r="P5">
        <v>37</v>
      </c>
      <c r="Q5">
        <v>39</v>
      </c>
      <c r="R5">
        <v>37</v>
      </c>
      <c r="S5">
        <v>39</v>
      </c>
      <c r="T5">
        <v>37</v>
      </c>
      <c r="U5">
        <v>43</v>
      </c>
      <c r="V5">
        <v>41</v>
      </c>
      <c r="W5">
        <v>41</v>
      </c>
      <c r="X5">
        <v>40</v>
      </c>
      <c r="Y5">
        <v>42</v>
      </c>
      <c r="Z5">
        <v>42</v>
      </c>
      <c r="AA5">
        <v>46</v>
      </c>
      <c r="AB5">
        <v>49</v>
      </c>
      <c r="AC5">
        <v>42</v>
      </c>
      <c r="AD5">
        <v>48</v>
      </c>
      <c r="AE5">
        <v>49</v>
      </c>
      <c r="AF5">
        <v>48</v>
      </c>
      <c r="AG5">
        <v>49</v>
      </c>
      <c r="AH5">
        <v>46</v>
      </c>
      <c r="AI5">
        <v>47</v>
      </c>
      <c r="AJ5">
        <v>28</v>
      </c>
      <c r="AK5">
        <v>40</v>
      </c>
      <c r="AL5">
        <v>39</v>
      </c>
      <c r="AM5">
        <v>42</v>
      </c>
      <c r="AN5">
        <v>46</v>
      </c>
      <c r="AO5">
        <v>52</v>
      </c>
      <c r="AP5">
        <v>55</v>
      </c>
      <c r="AQ5">
        <v>58</v>
      </c>
      <c r="AR5">
        <v>59</v>
      </c>
      <c r="AS5">
        <v>60</v>
      </c>
      <c r="AT5">
        <v>57</v>
      </c>
      <c r="AU5">
        <v>60</v>
      </c>
      <c r="AV5">
        <v>59</v>
      </c>
      <c r="AW5">
        <v>61</v>
      </c>
      <c r="AX5">
        <v>69</v>
      </c>
      <c r="AY5">
        <v>66</v>
      </c>
      <c r="AZ5">
        <v>63</v>
      </c>
      <c r="BA5">
        <v>69</v>
      </c>
      <c r="BB5">
        <v>66</v>
      </c>
      <c r="BC5">
        <v>72</v>
      </c>
    </row>
    <row r="6" spans="1:55" x14ac:dyDescent="0.25">
      <c r="A6" t="s">
        <v>3640</v>
      </c>
      <c r="B6" t="s">
        <v>113</v>
      </c>
      <c r="C6" t="s">
        <v>85</v>
      </c>
      <c r="D6">
        <v>106</v>
      </c>
      <c r="E6">
        <v>45.32</v>
      </c>
      <c r="F6">
        <v>37</v>
      </c>
      <c r="G6">
        <v>27</v>
      </c>
      <c r="H6">
        <v>34</v>
      </c>
      <c r="I6">
        <v>34</v>
      </c>
      <c r="J6">
        <v>33</v>
      </c>
      <c r="K6">
        <v>25</v>
      </c>
      <c r="L6">
        <v>34</v>
      </c>
      <c r="M6">
        <v>37</v>
      </c>
      <c r="N6">
        <v>32</v>
      </c>
      <c r="O6">
        <v>34</v>
      </c>
      <c r="P6">
        <v>42</v>
      </c>
      <c r="Q6">
        <v>36</v>
      </c>
      <c r="R6">
        <v>38</v>
      </c>
      <c r="S6">
        <v>41</v>
      </c>
      <c r="T6">
        <v>39</v>
      </c>
      <c r="U6">
        <v>34</v>
      </c>
      <c r="V6">
        <v>42</v>
      </c>
      <c r="W6">
        <v>36</v>
      </c>
      <c r="X6">
        <v>37</v>
      </c>
      <c r="Y6">
        <v>34</v>
      </c>
      <c r="Z6">
        <v>47</v>
      </c>
      <c r="AA6">
        <v>40</v>
      </c>
      <c r="AB6">
        <v>52</v>
      </c>
      <c r="AC6">
        <v>48</v>
      </c>
      <c r="AD6">
        <v>41</v>
      </c>
      <c r="AE6">
        <v>47</v>
      </c>
      <c r="AF6">
        <v>45</v>
      </c>
      <c r="AG6">
        <v>53</v>
      </c>
      <c r="AH6">
        <v>53</v>
      </c>
      <c r="AI6">
        <v>54</v>
      </c>
      <c r="AJ6">
        <v>28</v>
      </c>
      <c r="AK6">
        <v>45</v>
      </c>
      <c r="AL6">
        <v>38</v>
      </c>
      <c r="AM6">
        <v>34</v>
      </c>
      <c r="AN6">
        <v>40</v>
      </c>
      <c r="AO6">
        <v>48</v>
      </c>
      <c r="AP6">
        <v>49</v>
      </c>
      <c r="AQ6">
        <v>56</v>
      </c>
      <c r="AR6">
        <v>52</v>
      </c>
      <c r="AS6">
        <v>66</v>
      </c>
      <c r="AT6">
        <v>59</v>
      </c>
      <c r="AU6">
        <v>63</v>
      </c>
      <c r="AV6">
        <v>61</v>
      </c>
      <c r="AW6">
        <v>67</v>
      </c>
      <c r="AX6">
        <v>59</v>
      </c>
      <c r="AY6">
        <v>63</v>
      </c>
      <c r="AZ6">
        <v>68</v>
      </c>
      <c r="BA6">
        <v>63</v>
      </c>
      <c r="BB6">
        <v>60</v>
      </c>
      <c r="BC6">
        <v>61</v>
      </c>
    </row>
    <row r="7" spans="1:55" x14ac:dyDescent="0.25">
      <c r="A7" t="s">
        <v>3641</v>
      </c>
      <c r="B7" t="s">
        <v>114</v>
      </c>
      <c r="C7" t="s">
        <v>85</v>
      </c>
      <c r="D7">
        <v>222</v>
      </c>
      <c r="E7">
        <v>43.94</v>
      </c>
      <c r="F7">
        <v>29</v>
      </c>
      <c r="G7">
        <v>35</v>
      </c>
      <c r="H7">
        <v>34</v>
      </c>
      <c r="I7">
        <v>26</v>
      </c>
      <c r="J7">
        <v>26</v>
      </c>
      <c r="K7">
        <v>29</v>
      </c>
      <c r="L7">
        <v>35</v>
      </c>
      <c r="M7">
        <v>30</v>
      </c>
      <c r="N7">
        <v>32</v>
      </c>
      <c r="O7">
        <v>40</v>
      </c>
      <c r="P7">
        <v>34</v>
      </c>
      <c r="Q7">
        <v>39</v>
      </c>
      <c r="R7">
        <v>42</v>
      </c>
      <c r="S7">
        <v>39</v>
      </c>
      <c r="T7">
        <v>37</v>
      </c>
      <c r="U7">
        <v>35</v>
      </c>
      <c r="V7">
        <v>34</v>
      </c>
      <c r="W7">
        <v>38</v>
      </c>
      <c r="X7">
        <v>37</v>
      </c>
      <c r="Y7">
        <v>36</v>
      </c>
      <c r="Z7">
        <v>44</v>
      </c>
      <c r="AA7">
        <v>42</v>
      </c>
      <c r="AB7">
        <v>42</v>
      </c>
      <c r="AC7">
        <v>45</v>
      </c>
      <c r="AD7">
        <v>45</v>
      </c>
      <c r="AE7">
        <v>44</v>
      </c>
      <c r="AF7">
        <v>45</v>
      </c>
      <c r="AG7">
        <v>47</v>
      </c>
      <c r="AH7">
        <v>43</v>
      </c>
      <c r="AI7">
        <v>49</v>
      </c>
      <c r="AJ7">
        <v>35</v>
      </c>
      <c r="AK7">
        <v>32</v>
      </c>
      <c r="AL7">
        <v>36</v>
      </c>
      <c r="AM7">
        <v>34</v>
      </c>
      <c r="AN7">
        <v>43</v>
      </c>
      <c r="AO7">
        <v>47</v>
      </c>
      <c r="AP7">
        <v>46</v>
      </c>
      <c r="AQ7">
        <v>58</v>
      </c>
      <c r="AR7">
        <v>55</v>
      </c>
      <c r="AS7">
        <v>64</v>
      </c>
      <c r="AT7">
        <v>64</v>
      </c>
      <c r="AU7">
        <v>59</v>
      </c>
      <c r="AV7">
        <v>58</v>
      </c>
      <c r="AW7">
        <v>56</v>
      </c>
      <c r="AX7">
        <v>62</v>
      </c>
      <c r="AY7">
        <v>67</v>
      </c>
      <c r="AZ7">
        <v>66</v>
      </c>
      <c r="BA7">
        <v>67</v>
      </c>
      <c r="BB7">
        <v>60</v>
      </c>
      <c r="BC7">
        <v>55</v>
      </c>
    </row>
    <row r="8" spans="1:55" x14ac:dyDescent="0.25">
      <c r="A8" t="s">
        <v>3642</v>
      </c>
      <c r="B8" t="s">
        <v>115</v>
      </c>
      <c r="C8" t="s">
        <v>85</v>
      </c>
      <c r="D8">
        <v>139</v>
      </c>
      <c r="E8">
        <v>44.96</v>
      </c>
      <c r="F8">
        <v>29</v>
      </c>
      <c r="G8">
        <v>35</v>
      </c>
      <c r="H8">
        <v>38</v>
      </c>
      <c r="I8">
        <v>28</v>
      </c>
      <c r="J8">
        <v>24</v>
      </c>
      <c r="K8">
        <v>29</v>
      </c>
      <c r="L8">
        <v>38</v>
      </c>
      <c r="M8">
        <v>33</v>
      </c>
      <c r="N8">
        <v>35</v>
      </c>
      <c r="O8">
        <v>38</v>
      </c>
      <c r="P8">
        <v>35</v>
      </c>
      <c r="Q8">
        <v>42</v>
      </c>
      <c r="R8">
        <v>44</v>
      </c>
      <c r="S8">
        <v>38</v>
      </c>
      <c r="T8">
        <v>42</v>
      </c>
      <c r="U8">
        <v>37</v>
      </c>
      <c r="V8">
        <v>34</v>
      </c>
      <c r="W8">
        <v>41</v>
      </c>
      <c r="X8">
        <v>42</v>
      </c>
      <c r="Y8">
        <v>36</v>
      </c>
      <c r="Z8">
        <v>47</v>
      </c>
      <c r="AA8">
        <v>44</v>
      </c>
      <c r="AB8">
        <v>45</v>
      </c>
      <c r="AC8">
        <v>46</v>
      </c>
      <c r="AD8">
        <v>45</v>
      </c>
      <c r="AE8">
        <v>44</v>
      </c>
      <c r="AF8">
        <v>48</v>
      </c>
      <c r="AG8">
        <v>45</v>
      </c>
      <c r="AH8">
        <v>43</v>
      </c>
      <c r="AI8">
        <v>49</v>
      </c>
      <c r="AJ8">
        <v>38</v>
      </c>
      <c r="AK8">
        <v>31</v>
      </c>
      <c r="AL8">
        <v>38</v>
      </c>
      <c r="AM8">
        <v>37</v>
      </c>
      <c r="AN8">
        <v>43</v>
      </c>
      <c r="AO8">
        <v>50</v>
      </c>
      <c r="AP8">
        <v>45</v>
      </c>
      <c r="AQ8">
        <v>53</v>
      </c>
      <c r="AR8">
        <v>53</v>
      </c>
      <c r="AS8">
        <v>65</v>
      </c>
      <c r="AT8">
        <v>65</v>
      </c>
      <c r="AU8">
        <v>59</v>
      </c>
      <c r="AV8">
        <v>56</v>
      </c>
      <c r="AW8">
        <v>56</v>
      </c>
      <c r="AX8">
        <v>62</v>
      </c>
      <c r="AY8">
        <v>70</v>
      </c>
      <c r="AZ8">
        <v>68</v>
      </c>
      <c r="BA8">
        <v>68</v>
      </c>
      <c r="BB8">
        <v>62</v>
      </c>
      <c r="BC8">
        <v>55</v>
      </c>
    </row>
    <row r="9" spans="1:55" x14ac:dyDescent="0.25">
      <c r="A9" t="s">
        <v>3643</v>
      </c>
      <c r="B9" t="s">
        <v>116</v>
      </c>
      <c r="C9" t="s">
        <v>85</v>
      </c>
      <c r="D9">
        <v>151</v>
      </c>
      <c r="E9">
        <v>39.880000000000003</v>
      </c>
      <c r="F9">
        <v>30</v>
      </c>
      <c r="G9">
        <v>29</v>
      </c>
      <c r="H9">
        <v>37</v>
      </c>
      <c r="I9">
        <v>26</v>
      </c>
      <c r="J9">
        <v>23</v>
      </c>
      <c r="K9">
        <v>25</v>
      </c>
      <c r="L9">
        <v>32</v>
      </c>
      <c r="M9">
        <v>31</v>
      </c>
      <c r="N9">
        <v>34</v>
      </c>
      <c r="O9">
        <v>32</v>
      </c>
      <c r="P9">
        <v>35</v>
      </c>
      <c r="Q9">
        <v>38</v>
      </c>
      <c r="R9">
        <v>32</v>
      </c>
      <c r="S9">
        <v>35</v>
      </c>
      <c r="T9">
        <v>39</v>
      </c>
      <c r="U9">
        <v>38</v>
      </c>
      <c r="V9">
        <v>41</v>
      </c>
      <c r="W9">
        <v>43</v>
      </c>
      <c r="X9">
        <v>35</v>
      </c>
      <c r="Y9">
        <v>33</v>
      </c>
      <c r="Z9">
        <v>35</v>
      </c>
      <c r="AA9">
        <v>33</v>
      </c>
      <c r="AB9">
        <v>34</v>
      </c>
      <c r="AC9">
        <v>41</v>
      </c>
      <c r="AD9">
        <v>36</v>
      </c>
      <c r="AE9">
        <v>41</v>
      </c>
      <c r="AF9">
        <v>43</v>
      </c>
      <c r="AG9">
        <v>41</v>
      </c>
      <c r="AH9">
        <v>33</v>
      </c>
      <c r="AI9">
        <v>47</v>
      </c>
      <c r="AJ9">
        <v>16</v>
      </c>
      <c r="AK9">
        <v>30</v>
      </c>
      <c r="AL9">
        <v>31</v>
      </c>
      <c r="AM9">
        <v>26</v>
      </c>
      <c r="AN9">
        <v>36</v>
      </c>
      <c r="AO9">
        <v>39</v>
      </c>
      <c r="AP9">
        <v>41</v>
      </c>
      <c r="AQ9">
        <v>52</v>
      </c>
      <c r="AR9">
        <v>46</v>
      </c>
      <c r="AS9">
        <v>57</v>
      </c>
      <c r="AT9">
        <v>50</v>
      </c>
      <c r="AU9">
        <v>50</v>
      </c>
      <c r="AV9">
        <v>54</v>
      </c>
      <c r="AW9">
        <v>58</v>
      </c>
      <c r="AX9">
        <v>56</v>
      </c>
      <c r="AY9">
        <v>59</v>
      </c>
      <c r="AZ9">
        <v>58</v>
      </c>
      <c r="BA9">
        <v>64</v>
      </c>
      <c r="BB9">
        <v>60</v>
      </c>
      <c r="BC9">
        <v>59</v>
      </c>
    </row>
    <row r="10" spans="1:55" x14ac:dyDescent="0.25">
      <c r="A10" t="s">
        <v>3644</v>
      </c>
      <c r="B10" t="s">
        <v>117</v>
      </c>
      <c r="C10" t="s">
        <v>85</v>
      </c>
      <c r="D10">
        <v>135</v>
      </c>
      <c r="E10">
        <v>40.22</v>
      </c>
      <c r="F10">
        <v>30</v>
      </c>
      <c r="G10">
        <v>31</v>
      </c>
      <c r="H10">
        <v>29</v>
      </c>
      <c r="I10">
        <v>25</v>
      </c>
      <c r="J10">
        <v>23</v>
      </c>
      <c r="K10">
        <v>27</v>
      </c>
      <c r="L10">
        <v>32</v>
      </c>
      <c r="M10">
        <v>25</v>
      </c>
      <c r="N10">
        <v>29</v>
      </c>
      <c r="O10">
        <v>32</v>
      </c>
      <c r="P10">
        <v>34</v>
      </c>
      <c r="Q10">
        <v>40</v>
      </c>
      <c r="R10">
        <v>38</v>
      </c>
      <c r="S10">
        <v>39</v>
      </c>
      <c r="T10">
        <v>44</v>
      </c>
      <c r="U10">
        <v>39</v>
      </c>
      <c r="V10">
        <v>36</v>
      </c>
      <c r="W10">
        <v>37</v>
      </c>
      <c r="X10">
        <v>39</v>
      </c>
      <c r="Y10">
        <v>40</v>
      </c>
      <c r="Z10">
        <v>40</v>
      </c>
      <c r="AA10">
        <v>31</v>
      </c>
      <c r="AB10">
        <v>39</v>
      </c>
      <c r="AC10">
        <v>39</v>
      </c>
      <c r="AD10">
        <v>39</v>
      </c>
      <c r="AE10">
        <v>43</v>
      </c>
      <c r="AF10">
        <v>44</v>
      </c>
      <c r="AG10">
        <v>40</v>
      </c>
      <c r="AH10">
        <v>38</v>
      </c>
      <c r="AI10">
        <v>45</v>
      </c>
      <c r="AJ10">
        <v>22</v>
      </c>
      <c r="AK10">
        <v>24</v>
      </c>
      <c r="AL10">
        <v>28</v>
      </c>
      <c r="AM10">
        <v>30</v>
      </c>
      <c r="AN10">
        <v>34</v>
      </c>
      <c r="AO10">
        <v>39</v>
      </c>
      <c r="AP10">
        <v>37</v>
      </c>
      <c r="AQ10">
        <v>47</v>
      </c>
      <c r="AR10">
        <v>42</v>
      </c>
      <c r="AS10">
        <v>50</v>
      </c>
      <c r="AT10">
        <v>44</v>
      </c>
      <c r="AU10">
        <v>53</v>
      </c>
      <c r="AV10">
        <v>47</v>
      </c>
      <c r="AW10">
        <v>56</v>
      </c>
      <c r="AX10">
        <v>63</v>
      </c>
      <c r="AY10">
        <v>63</v>
      </c>
      <c r="AZ10">
        <v>67</v>
      </c>
      <c r="BA10">
        <v>68</v>
      </c>
      <c r="BB10">
        <v>65</v>
      </c>
      <c r="BC10">
        <v>65</v>
      </c>
    </row>
    <row r="11" spans="1:55" x14ac:dyDescent="0.25">
      <c r="A11" t="s">
        <v>3645</v>
      </c>
      <c r="B11" t="s">
        <v>118</v>
      </c>
      <c r="C11" t="s">
        <v>85</v>
      </c>
      <c r="D11">
        <v>141</v>
      </c>
      <c r="E11">
        <v>47.32</v>
      </c>
      <c r="F11">
        <v>44</v>
      </c>
      <c r="G11">
        <v>44</v>
      </c>
      <c r="H11">
        <v>40</v>
      </c>
      <c r="I11">
        <v>43</v>
      </c>
      <c r="J11">
        <v>33</v>
      </c>
      <c r="K11">
        <v>36</v>
      </c>
      <c r="L11">
        <v>39</v>
      </c>
      <c r="M11">
        <v>36</v>
      </c>
      <c r="N11">
        <v>41</v>
      </c>
      <c r="O11">
        <v>38</v>
      </c>
      <c r="P11">
        <v>40</v>
      </c>
      <c r="Q11">
        <v>48</v>
      </c>
      <c r="R11">
        <v>50</v>
      </c>
      <c r="S11">
        <v>43</v>
      </c>
      <c r="T11">
        <v>52</v>
      </c>
      <c r="U11">
        <v>48</v>
      </c>
      <c r="V11">
        <v>45</v>
      </c>
      <c r="W11">
        <v>43</v>
      </c>
      <c r="X11">
        <v>43</v>
      </c>
      <c r="Y11">
        <v>44</v>
      </c>
      <c r="Z11">
        <v>47</v>
      </c>
      <c r="AA11">
        <v>41</v>
      </c>
      <c r="AB11">
        <v>43</v>
      </c>
      <c r="AC11">
        <v>51</v>
      </c>
      <c r="AD11">
        <v>48</v>
      </c>
      <c r="AE11">
        <v>41</v>
      </c>
      <c r="AF11">
        <v>48</v>
      </c>
      <c r="AG11">
        <v>46</v>
      </c>
      <c r="AH11">
        <v>36</v>
      </c>
      <c r="AI11">
        <v>39</v>
      </c>
      <c r="AJ11">
        <v>36</v>
      </c>
      <c r="AK11">
        <v>39</v>
      </c>
      <c r="AL11">
        <v>36</v>
      </c>
      <c r="AM11">
        <v>35</v>
      </c>
      <c r="AN11">
        <v>43</v>
      </c>
      <c r="AO11">
        <v>44</v>
      </c>
      <c r="AP11">
        <v>42</v>
      </c>
      <c r="AQ11">
        <v>56</v>
      </c>
      <c r="AR11">
        <v>56</v>
      </c>
      <c r="AS11">
        <v>56</v>
      </c>
      <c r="AT11">
        <v>59</v>
      </c>
      <c r="AU11">
        <v>56</v>
      </c>
      <c r="AV11">
        <v>59</v>
      </c>
      <c r="AW11">
        <v>62</v>
      </c>
      <c r="AX11">
        <v>64</v>
      </c>
      <c r="AY11">
        <v>67</v>
      </c>
      <c r="AZ11">
        <v>62</v>
      </c>
      <c r="BA11">
        <v>70</v>
      </c>
      <c r="BB11">
        <v>68</v>
      </c>
      <c r="BC11">
        <v>66</v>
      </c>
    </row>
    <row r="12" spans="1:55" x14ac:dyDescent="0.25">
      <c r="A12" t="s">
        <v>3646</v>
      </c>
      <c r="B12" t="s">
        <v>119</v>
      </c>
      <c r="C12" t="s">
        <v>85</v>
      </c>
      <c r="D12">
        <v>231</v>
      </c>
      <c r="E12">
        <v>32.659999999999997</v>
      </c>
      <c r="F12">
        <v>23</v>
      </c>
      <c r="G12">
        <v>26</v>
      </c>
      <c r="H12">
        <v>23</v>
      </c>
      <c r="I12">
        <v>21</v>
      </c>
      <c r="J12">
        <v>17</v>
      </c>
      <c r="K12">
        <v>16</v>
      </c>
      <c r="L12">
        <v>25</v>
      </c>
      <c r="M12">
        <v>18</v>
      </c>
      <c r="N12">
        <v>18</v>
      </c>
      <c r="O12">
        <v>25</v>
      </c>
      <c r="P12">
        <v>28</v>
      </c>
      <c r="Q12">
        <v>32</v>
      </c>
      <c r="R12">
        <v>31</v>
      </c>
      <c r="S12">
        <v>28</v>
      </c>
      <c r="T12">
        <v>31</v>
      </c>
      <c r="U12">
        <v>29</v>
      </c>
      <c r="V12">
        <v>25</v>
      </c>
      <c r="W12">
        <v>31</v>
      </c>
      <c r="X12">
        <v>24</v>
      </c>
      <c r="Y12">
        <v>29</v>
      </c>
      <c r="Z12">
        <v>27</v>
      </c>
      <c r="AA12">
        <v>25</v>
      </c>
      <c r="AB12">
        <v>24</v>
      </c>
      <c r="AC12">
        <v>30</v>
      </c>
      <c r="AD12">
        <v>26</v>
      </c>
      <c r="AE12">
        <v>29</v>
      </c>
      <c r="AF12">
        <v>27</v>
      </c>
      <c r="AG12">
        <v>32</v>
      </c>
      <c r="AH12">
        <v>35</v>
      </c>
      <c r="AI12">
        <v>36</v>
      </c>
      <c r="AJ12">
        <v>18</v>
      </c>
      <c r="AK12">
        <v>26</v>
      </c>
      <c r="AL12">
        <v>24</v>
      </c>
      <c r="AM12">
        <v>28</v>
      </c>
      <c r="AN12">
        <v>32</v>
      </c>
      <c r="AO12">
        <v>37</v>
      </c>
      <c r="AP12">
        <v>30</v>
      </c>
      <c r="AQ12">
        <v>44</v>
      </c>
      <c r="AR12">
        <v>50</v>
      </c>
      <c r="AS12">
        <v>49</v>
      </c>
      <c r="AT12">
        <v>48</v>
      </c>
      <c r="AU12">
        <v>47</v>
      </c>
      <c r="AV12">
        <v>45</v>
      </c>
      <c r="AW12">
        <v>48</v>
      </c>
      <c r="AX12">
        <v>55</v>
      </c>
      <c r="AY12">
        <v>55</v>
      </c>
      <c r="AZ12">
        <v>48</v>
      </c>
      <c r="BA12">
        <v>55</v>
      </c>
      <c r="BB12">
        <v>48</v>
      </c>
      <c r="BC12">
        <v>55</v>
      </c>
    </row>
    <row r="13" spans="1:55" x14ac:dyDescent="0.25">
      <c r="A13" t="s">
        <v>3647</v>
      </c>
      <c r="B13" t="s">
        <v>120</v>
      </c>
      <c r="C13" t="s">
        <v>85</v>
      </c>
      <c r="D13">
        <v>61</v>
      </c>
      <c r="E13">
        <v>36.979999999999997</v>
      </c>
      <c r="F13">
        <v>24</v>
      </c>
      <c r="G13">
        <v>26</v>
      </c>
      <c r="H13">
        <v>29</v>
      </c>
      <c r="I13">
        <v>20</v>
      </c>
      <c r="J13">
        <v>26</v>
      </c>
      <c r="K13">
        <v>33</v>
      </c>
      <c r="L13">
        <v>29</v>
      </c>
      <c r="M13">
        <v>33</v>
      </c>
      <c r="N13">
        <v>26</v>
      </c>
      <c r="O13">
        <v>36</v>
      </c>
      <c r="P13">
        <v>26</v>
      </c>
      <c r="Q13">
        <v>42</v>
      </c>
      <c r="R13">
        <v>41</v>
      </c>
      <c r="S13">
        <v>37</v>
      </c>
      <c r="T13">
        <v>28</v>
      </c>
      <c r="U13">
        <v>37</v>
      </c>
      <c r="V13">
        <v>31</v>
      </c>
      <c r="W13">
        <v>32</v>
      </c>
      <c r="X13">
        <v>33</v>
      </c>
      <c r="Y13">
        <v>30</v>
      </c>
      <c r="Z13">
        <v>30</v>
      </c>
      <c r="AA13">
        <v>25</v>
      </c>
      <c r="AB13">
        <v>36</v>
      </c>
      <c r="AC13">
        <v>34</v>
      </c>
      <c r="AD13">
        <v>31</v>
      </c>
      <c r="AE13">
        <v>32</v>
      </c>
      <c r="AF13">
        <v>38</v>
      </c>
      <c r="AG13">
        <v>32</v>
      </c>
      <c r="AH13">
        <v>43</v>
      </c>
      <c r="AI13">
        <v>42</v>
      </c>
      <c r="AJ13">
        <v>33</v>
      </c>
      <c r="AK13">
        <v>26</v>
      </c>
      <c r="AL13">
        <v>33</v>
      </c>
      <c r="AM13">
        <v>37</v>
      </c>
      <c r="AN13">
        <v>38</v>
      </c>
      <c r="AO13">
        <v>44</v>
      </c>
      <c r="AP13">
        <v>46</v>
      </c>
      <c r="AQ13">
        <v>52</v>
      </c>
      <c r="AR13">
        <v>46</v>
      </c>
      <c r="AS13">
        <v>42</v>
      </c>
      <c r="AT13">
        <v>57</v>
      </c>
      <c r="AU13">
        <v>59</v>
      </c>
      <c r="AV13">
        <v>44</v>
      </c>
      <c r="AW13">
        <v>53</v>
      </c>
      <c r="AX13">
        <v>44</v>
      </c>
      <c r="AY13">
        <v>50</v>
      </c>
      <c r="AZ13">
        <v>47</v>
      </c>
      <c r="BA13">
        <v>49</v>
      </c>
      <c r="BB13">
        <v>48</v>
      </c>
      <c r="BC13">
        <v>39</v>
      </c>
    </row>
    <row r="14" spans="1:55" x14ac:dyDescent="0.25">
      <c r="A14" t="s">
        <v>3648</v>
      </c>
      <c r="B14" t="s">
        <v>121</v>
      </c>
      <c r="C14" t="s">
        <v>85</v>
      </c>
      <c r="D14">
        <v>429</v>
      </c>
      <c r="E14">
        <v>45.2</v>
      </c>
      <c r="F14">
        <v>33</v>
      </c>
      <c r="G14">
        <v>35</v>
      </c>
      <c r="H14">
        <v>33</v>
      </c>
      <c r="I14">
        <v>28</v>
      </c>
      <c r="J14">
        <v>24</v>
      </c>
      <c r="K14">
        <v>28</v>
      </c>
      <c r="L14">
        <v>37</v>
      </c>
      <c r="M14">
        <v>33</v>
      </c>
      <c r="N14">
        <v>34</v>
      </c>
      <c r="O14">
        <v>35</v>
      </c>
      <c r="P14">
        <v>40</v>
      </c>
      <c r="Q14">
        <v>45</v>
      </c>
      <c r="R14">
        <v>44</v>
      </c>
      <c r="S14">
        <v>40</v>
      </c>
      <c r="T14">
        <v>44</v>
      </c>
      <c r="U14">
        <v>42</v>
      </c>
      <c r="V14">
        <v>40</v>
      </c>
      <c r="W14">
        <v>41</v>
      </c>
      <c r="X14">
        <v>43</v>
      </c>
      <c r="Y14">
        <v>41</v>
      </c>
      <c r="Z14">
        <v>40</v>
      </c>
      <c r="AA14">
        <v>41</v>
      </c>
      <c r="AB14">
        <v>42</v>
      </c>
      <c r="AC14">
        <v>44</v>
      </c>
      <c r="AD14">
        <v>47</v>
      </c>
      <c r="AE14">
        <v>43</v>
      </c>
      <c r="AF14">
        <v>48</v>
      </c>
      <c r="AG14">
        <v>47</v>
      </c>
      <c r="AH14">
        <v>39</v>
      </c>
      <c r="AI14">
        <v>43</v>
      </c>
      <c r="AJ14">
        <v>32</v>
      </c>
      <c r="AK14">
        <v>35</v>
      </c>
      <c r="AL14">
        <v>36</v>
      </c>
      <c r="AM14">
        <v>35</v>
      </c>
      <c r="AN14">
        <v>42</v>
      </c>
      <c r="AO14">
        <v>51</v>
      </c>
      <c r="AP14">
        <v>47</v>
      </c>
      <c r="AQ14">
        <v>52</v>
      </c>
      <c r="AR14">
        <v>54</v>
      </c>
      <c r="AS14">
        <v>59</v>
      </c>
      <c r="AT14">
        <v>60</v>
      </c>
      <c r="AU14">
        <v>62</v>
      </c>
      <c r="AV14">
        <v>56</v>
      </c>
      <c r="AW14">
        <v>64</v>
      </c>
      <c r="AX14">
        <v>68</v>
      </c>
      <c r="AY14">
        <v>63</v>
      </c>
      <c r="AZ14">
        <v>66</v>
      </c>
      <c r="BA14">
        <v>69</v>
      </c>
      <c r="BB14">
        <v>67</v>
      </c>
      <c r="BC14">
        <v>68</v>
      </c>
    </row>
    <row r="15" spans="1:55" x14ac:dyDescent="0.25">
      <c r="A15" t="s">
        <v>3649</v>
      </c>
      <c r="B15" t="s">
        <v>122</v>
      </c>
      <c r="C15" t="s">
        <v>85</v>
      </c>
      <c r="D15">
        <v>249</v>
      </c>
      <c r="E15">
        <v>39.06</v>
      </c>
      <c r="F15">
        <v>26</v>
      </c>
      <c r="G15">
        <v>27</v>
      </c>
      <c r="H15">
        <v>35</v>
      </c>
      <c r="I15">
        <v>29</v>
      </c>
      <c r="J15">
        <v>27</v>
      </c>
      <c r="K15">
        <v>28</v>
      </c>
      <c r="L15">
        <v>28</v>
      </c>
      <c r="M15">
        <v>28</v>
      </c>
      <c r="N15">
        <v>32</v>
      </c>
      <c r="O15">
        <v>32</v>
      </c>
      <c r="P15">
        <v>31</v>
      </c>
      <c r="Q15">
        <v>38</v>
      </c>
      <c r="R15">
        <v>34</v>
      </c>
      <c r="S15">
        <v>28</v>
      </c>
      <c r="T15">
        <v>31</v>
      </c>
      <c r="U15">
        <v>37</v>
      </c>
      <c r="V15">
        <v>36</v>
      </c>
      <c r="W15">
        <v>39</v>
      </c>
      <c r="X15">
        <v>40</v>
      </c>
      <c r="Y15">
        <v>40</v>
      </c>
      <c r="Z15">
        <v>37</v>
      </c>
      <c r="AA15">
        <v>40</v>
      </c>
      <c r="AB15">
        <v>37</v>
      </c>
      <c r="AC15">
        <v>45</v>
      </c>
      <c r="AD15">
        <v>41</v>
      </c>
      <c r="AE15">
        <v>41</v>
      </c>
      <c r="AF15">
        <v>39</v>
      </c>
      <c r="AG15">
        <v>43</v>
      </c>
      <c r="AH15">
        <v>40</v>
      </c>
      <c r="AI15">
        <v>38</v>
      </c>
      <c r="AJ15">
        <v>24</v>
      </c>
      <c r="AK15">
        <v>33</v>
      </c>
      <c r="AL15">
        <v>29</v>
      </c>
      <c r="AM15">
        <v>34</v>
      </c>
      <c r="AN15">
        <v>40</v>
      </c>
      <c r="AO15">
        <v>38</v>
      </c>
      <c r="AP15">
        <v>32</v>
      </c>
      <c r="AQ15">
        <v>44</v>
      </c>
      <c r="AR15">
        <v>40</v>
      </c>
      <c r="AS15">
        <v>50</v>
      </c>
      <c r="AT15">
        <v>48</v>
      </c>
      <c r="AU15">
        <v>45</v>
      </c>
      <c r="AV15">
        <v>50</v>
      </c>
      <c r="AW15">
        <v>57</v>
      </c>
      <c r="AX15">
        <v>54</v>
      </c>
      <c r="AY15">
        <v>56</v>
      </c>
      <c r="AZ15">
        <v>55</v>
      </c>
      <c r="BA15">
        <v>64</v>
      </c>
      <c r="BB15">
        <v>56</v>
      </c>
      <c r="BC15">
        <v>57</v>
      </c>
    </row>
    <row r="16" spans="1:55" x14ac:dyDescent="0.25">
      <c r="A16" t="s">
        <v>3650</v>
      </c>
      <c r="B16" t="s">
        <v>123</v>
      </c>
      <c r="C16" t="s">
        <v>85</v>
      </c>
      <c r="D16">
        <v>210</v>
      </c>
      <c r="E16">
        <v>45.22</v>
      </c>
      <c r="F16">
        <v>32</v>
      </c>
      <c r="G16">
        <v>29</v>
      </c>
      <c r="H16">
        <v>32</v>
      </c>
      <c r="I16">
        <v>31</v>
      </c>
      <c r="J16">
        <v>20</v>
      </c>
      <c r="K16">
        <v>24</v>
      </c>
      <c r="L16">
        <v>37</v>
      </c>
      <c r="M16">
        <v>28</v>
      </c>
      <c r="N16">
        <v>30</v>
      </c>
      <c r="O16">
        <v>38</v>
      </c>
      <c r="P16">
        <v>35</v>
      </c>
      <c r="Q16">
        <v>35</v>
      </c>
      <c r="R16">
        <v>37</v>
      </c>
      <c r="S16">
        <v>35</v>
      </c>
      <c r="T16">
        <v>46</v>
      </c>
      <c r="U16">
        <v>42</v>
      </c>
      <c r="V16">
        <v>40</v>
      </c>
      <c r="W16">
        <v>41</v>
      </c>
      <c r="X16">
        <v>53</v>
      </c>
      <c r="Y16">
        <v>42</v>
      </c>
      <c r="Z16">
        <v>42</v>
      </c>
      <c r="AA16">
        <v>41</v>
      </c>
      <c r="AB16">
        <v>40</v>
      </c>
      <c r="AC16">
        <v>51</v>
      </c>
      <c r="AD16">
        <v>49</v>
      </c>
      <c r="AE16">
        <v>50</v>
      </c>
      <c r="AF16">
        <v>53</v>
      </c>
      <c r="AG16">
        <v>45</v>
      </c>
      <c r="AH16">
        <v>45</v>
      </c>
      <c r="AI16">
        <v>51</v>
      </c>
      <c r="AJ16">
        <v>33</v>
      </c>
      <c r="AK16">
        <v>38</v>
      </c>
      <c r="AL16">
        <v>41</v>
      </c>
      <c r="AM16">
        <v>44</v>
      </c>
      <c r="AN16">
        <v>43</v>
      </c>
      <c r="AO16">
        <v>43</v>
      </c>
      <c r="AP16">
        <v>46</v>
      </c>
      <c r="AQ16">
        <v>47</v>
      </c>
      <c r="AR16">
        <v>52</v>
      </c>
      <c r="AS16">
        <v>60</v>
      </c>
      <c r="AT16">
        <v>62</v>
      </c>
      <c r="AU16">
        <v>59</v>
      </c>
      <c r="AV16">
        <v>62</v>
      </c>
      <c r="AW16">
        <v>62</v>
      </c>
      <c r="AX16">
        <v>65</v>
      </c>
      <c r="AY16">
        <v>67</v>
      </c>
      <c r="AZ16">
        <v>62</v>
      </c>
      <c r="BA16">
        <v>68</v>
      </c>
      <c r="BB16">
        <v>68</v>
      </c>
      <c r="BC16">
        <v>65</v>
      </c>
    </row>
    <row r="17" spans="1:55" x14ac:dyDescent="0.25">
      <c r="A17" t="s">
        <v>3651</v>
      </c>
      <c r="B17" t="s">
        <v>124</v>
      </c>
      <c r="C17" t="s">
        <v>85</v>
      </c>
      <c r="D17">
        <v>970</v>
      </c>
      <c r="E17">
        <v>47.88</v>
      </c>
      <c r="F17">
        <v>38</v>
      </c>
      <c r="G17">
        <v>38</v>
      </c>
      <c r="H17">
        <v>38</v>
      </c>
      <c r="I17">
        <v>35</v>
      </c>
      <c r="J17">
        <v>28</v>
      </c>
      <c r="K17">
        <v>30</v>
      </c>
      <c r="L17">
        <v>41</v>
      </c>
      <c r="M17">
        <v>33</v>
      </c>
      <c r="N17">
        <v>36</v>
      </c>
      <c r="O17">
        <v>44</v>
      </c>
      <c r="P17">
        <v>41</v>
      </c>
      <c r="Q17">
        <v>48</v>
      </c>
      <c r="R17">
        <v>48</v>
      </c>
      <c r="S17">
        <v>40</v>
      </c>
      <c r="T17">
        <v>47</v>
      </c>
      <c r="U17">
        <v>49</v>
      </c>
      <c r="V17">
        <v>45</v>
      </c>
      <c r="W17">
        <v>45</v>
      </c>
      <c r="X17">
        <v>48</v>
      </c>
      <c r="Y17">
        <v>47</v>
      </c>
      <c r="Z17">
        <v>44</v>
      </c>
      <c r="AA17">
        <v>45</v>
      </c>
      <c r="AB17">
        <v>46</v>
      </c>
      <c r="AC17">
        <v>50</v>
      </c>
      <c r="AD17">
        <v>51</v>
      </c>
      <c r="AE17">
        <v>48</v>
      </c>
      <c r="AF17">
        <v>50</v>
      </c>
      <c r="AG17">
        <v>47</v>
      </c>
      <c r="AH17">
        <v>44</v>
      </c>
      <c r="AI17">
        <v>44</v>
      </c>
      <c r="AJ17">
        <v>30</v>
      </c>
      <c r="AK17">
        <v>36</v>
      </c>
      <c r="AL17">
        <v>39</v>
      </c>
      <c r="AM17">
        <v>41</v>
      </c>
      <c r="AN17">
        <v>45</v>
      </c>
      <c r="AO17">
        <v>51</v>
      </c>
      <c r="AP17">
        <v>50</v>
      </c>
      <c r="AQ17">
        <v>56</v>
      </c>
      <c r="AR17">
        <v>55</v>
      </c>
      <c r="AS17">
        <v>61</v>
      </c>
      <c r="AT17">
        <v>62</v>
      </c>
      <c r="AU17">
        <v>62</v>
      </c>
      <c r="AV17">
        <v>59</v>
      </c>
      <c r="AW17">
        <v>66</v>
      </c>
      <c r="AX17">
        <v>66</v>
      </c>
      <c r="AY17">
        <v>65</v>
      </c>
      <c r="AZ17">
        <v>64</v>
      </c>
      <c r="BA17">
        <v>67</v>
      </c>
      <c r="BB17">
        <v>67</v>
      </c>
      <c r="BC17">
        <v>64</v>
      </c>
    </row>
    <row r="18" spans="1:55" x14ac:dyDescent="0.25">
      <c r="A18" t="s">
        <v>3652</v>
      </c>
      <c r="B18" t="s">
        <v>125</v>
      </c>
      <c r="C18" t="s">
        <v>85</v>
      </c>
      <c r="D18">
        <v>665</v>
      </c>
      <c r="E18">
        <v>40.4</v>
      </c>
      <c r="F18">
        <v>32</v>
      </c>
      <c r="G18">
        <v>31</v>
      </c>
      <c r="H18">
        <v>32</v>
      </c>
      <c r="I18">
        <v>28</v>
      </c>
      <c r="J18">
        <v>22</v>
      </c>
      <c r="K18">
        <v>27</v>
      </c>
      <c r="L18">
        <v>33</v>
      </c>
      <c r="M18">
        <v>29</v>
      </c>
      <c r="N18">
        <v>31</v>
      </c>
      <c r="O18">
        <v>37</v>
      </c>
      <c r="P18">
        <v>34</v>
      </c>
      <c r="Q18">
        <v>37</v>
      </c>
      <c r="R18">
        <v>36</v>
      </c>
      <c r="S18">
        <v>32</v>
      </c>
      <c r="T18">
        <v>38</v>
      </c>
      <c r="U18">
        <v>40</v>
      </c>
      <c r="V18">
        <v>36</v>
      </c>
      <c r="W18">
        <v>37</v>
      </c>
      <c r="X18">
        <v>39</v>
      </c>
      <c r="Y18">
        <v>39</v>
      </c>
      <c r="Z18">
        <v>38</v>
      </c>
      <c r="AA18">
        <v>38</v>
      </c>
      <c r="AB18">
        <v>38</v>
      </c>
      <c r="AC18">
        <v>43</v>
      </c>
      <c r="AD18">
        <v>43</v>
      </c>
      <c r="AE18">
        <v>40</v>
      </c>
      <c r="AF18">
        <v>39</v>
      </c>
      <c r="AG18">
        <v>39</v>
      </c>
      <c r="AH18">
        <v>35</v>
      </c>
      <c r="AI18">
        <v>37</v>
      </c>
      <c r="AJ18">
        <v>24</v>
      </c>
      <c r="AK18">
        <v>32</v>
      </c>
      <c r="AL18">
        <v>32</v>
      </c>
      <c r="AM18">
        <v>34</v>
      </c>
      <c r="AN18">
        <v>38</v>
      </c>
      <c r="AO18">
        <v>41</v>
      </c>
      <c r="AP18">
        <v>43</v>
      </c>
      <c r="AQ18">
        <v>51</v>
      </c>
      <c r="AR18">
        <v>48</v>
      </c>
      <c r="AS18">
        <v>54</v>
      </c>
      <c r="AT18">
        <v>51</v>
      </c>
      <c r="AU18">
        <v>53</v>
      </c>
      <c r="AV18">
        <v>56</v>
      </c>
      <c r="AW18">
        <v>57</v>
      </c>
      <c r="AX18">
        <v>57</v>
      </c>
      <c r="AY18">
        <v>52</v>
      </c>
      <c r="AZ18">
        <v>59</v>
      </c>
      <c r="BA18">
        <v>61</v>
      </c>
      <c r="BB18">
        <v>58</v>
      </c>
      <c r="BC18">
        <v>59</v>
      </c>
    </row>
    <row r="19" spans="1:55" x14ac:dyDescent="0.25">
      <c r="A19" t="s">
        <v>3653</v>
      </c>
      <c r="B19" t="s">
        <v>71</v>
      </c>
      <c r="C19" t="s">
        <v>85</v>
      </c>
      <c r="D19">
        <v>412</v>
      </c>
      <c r="E19">
        <v>38.46</v>
      </c>
      <c r="F19">
        <v>32</v>
      </c>
      <c r="G19">
        <v>31</v>
      </c>
      <c r="H19">
        <v>32</v>
      </c>
      <c r="I19">
        <v>28</v>
      </c>
      <c r="J19">
        <v>22</v>
      </c>
      <c r="K19">
        <v>25</v>
      </c>
      <c r="L19">
        <v>31</v>
      </c>
      <c r="M19">
        <v>26</v>
      </c>
      <c r="N19">
        <v>28</v>
      </c>
      <c r="O19">
        <v>34</v>
      </c>
      <c r="P19">
        <v>30</v>
      </c>
      <c r="Q19">
        <v>38</v>
      </c>
      <c r="R19">
        <v>33</v>
      </c>
      <c r="S19">
        <v>32</v>
      </c>
      <c r="T19">
        <v>35</v>
      </c>
      <c r="U19">
        <v>41</v>
      </c>
      <c r="V19">
        <v>33</v>
      </c>
      <c r="W19">
        <v>35</v>
      </c>
      <c r="X19">
        <v>36</v>
      </c>
      <c r="Y19">
        <v>37</v>
      </c>
      <c r="Z19">
        <v>36</v>
      </c>
      <c r="AA19">
        <v>36</v>
      </c>
      <c r="AB19">
        <v>37</v>
      </c>
      <c r="AC19">
        <v>41</v>
      </c>
      <c r="AD19">
        <v>39</v>
      </c>
      <c r="AE19">
        <v>38</v>
      </c>
      <c r="AF19">
        <v>36</v>
      </c>
      <c r="AG19">
        <v>36</v>
      </c>
      <c r="AH19">
        <v>32</v>
      </c>
      <c r="AI19">
        <v>34</v>
      </c>
      <c r="AJ19">
        <v>24</v>
      </c>
      <c r="AK19">
        <v>31</v>
      </c>
      <c r="AL19">
        <v>31</v>
      </c>
      <c r="AM19">
        <v>30</v>
      </c>
      <c r="AN19">
        <v>35</v>
      </c>
      <c r="AO19">
        <v>39</v>
      </c>
      <c r="AP19">
        <v>41</v>
      </c>
      <c r="AQ19">
        <v>47</v>
      </c>
      <c r="AR19">
        <v>46</v>
      </c>
      <c r="AS19">
        <v>51</v>
      </c>
      <c r="AT19">
        <v>48</v>
      </c>
      <c r="AU19">
        <v>53</v>
      </c>
      <c r="AV19">
        <v>56</v>
      </c>
      <c r="AW19">
        <v>56</v>
      </c>
      <c r="AX19">
        <v>56</v>
      </c>
      <c r="AY19">
        <v>52</v>
      </c>
      <c r="AZ19">
        <v>56</v>
      </c>
      <c r="BA19">
        <v>59</v>
      </c>
      <c r="BB19">
        <v>54</v>
      </c>
      <c r="BC19">
        <v>54</v>
      </c>
    </row>
    <row r="20" spans="1:55" x14ac:dyDescent="0.25">
      <c r="A20" t="s">
        <v>3654</v>
      </c>
      <c r="B20" t="s">
        <v>127</v>
      </c>
      <c r="C20" t="s">
        <v>85</v>
      </c>
      <c r="D20">
        <v>253</v>
      </c>
      <c r="E20">
        <v>43.62</v>
      </c>
      <c r="F20">
        <v>33</v>
      </c>
      <c r="G20">
        <v>32</v>
      </c>
      <c r="H20">
        <v>32</v>
      </c>
      <c r="I20">
        <v>29</v>
      </c>
      <c r="J20">
        <v>23</v>
      </c>
      <c r="K20">
        <v>30</v>
      </c>
      <c r="L20">
        <v>35</v>
      </c>
      <c r="M20">
        <v>33</v>
      </c>
      <c r="N20">
        <v>37</v>
      </c>
      <c r="O20">
        <v>41</v>
      </c>
      <c r="P20">
        <v>41</v>
      </c>
      <c r="Q20">
        <v>36</v>
      </c>
      <c r="R20">
        <v>41</v>
      </c>
      <c r="S20">
        <v>33</v>
      </c>
      <c r="T20">
        <v>43</v>
      </c>
      <c r="U20">
        <v>39</v>
      </c>
      <c r="V20">
        <v>40</v>
      </c>
      <c r="W20">
        <v>41</v>
      </c>
      <c r="X20">
        <v>43</v>
      </c>
      <c r="Y20">
        <v>44</v>
      </c>
      <c r="Z20">
        <v>41</v>
      </c>
      <c r="AA20">
        <v>41</v>
      </c>
      <c r="AB20">
        <v>40</v>
      </c>
      <c r="AC20">
        <v>47</v>
      </c>
      <c r="AD20">
        <v>50</v>
      </c>
      <c r="AE20">
        <v>45</v>
      </c>
      <c r="AF20">
        <v>45</v>
      </c>
      <c r="AG20">
        <v>44</v>
      </c>
      <c r="AH20">
        <v>40</v>
      </c>
      <c r="AI20">
        <v>40</v>
      </c>
      <c r="AJ20">
        <v>25</v>
      </c>
      <c r="AK20">
        <v>33</v>
      </c>
      <c r="AL20">
        <v>34</v>
      </c>
      <c r="AM20">
        <v>39</v>
      </c>
      <c r="AN20">
        <v>42</v>
      </c>
      <c r="AO20">
        <v>43</v>
      </c>
      <c r="AP20">
        <v>47</v>
      </c>
      <c r="AQ20">
        <v>57</v>
      </c>
      <c r="AR20">
        <v>53</v>
      </c>
      <c r="AS20">
        <v>58</v>
      </c>
      <c r="AT20">
        <v>55</v>
      </c>
      <c r="AU20">
        <v>52</v>
      </c>
      <c r="AV20">
        <v>57</v>
      </c>
      <c r="AW20">
        <v>59</v>
      </c>
      <c r="AX20">
        <v>58</v>
      </c>
      <c r="AY20">
        <v>52</v>
      </c>
      <c r="AZ20">
        <v>63</v>
      </c>
      <c r="BA20">
        <v>66</v>
      </c>
      <c r="BB20">
        <v>63</v>
      </c>
      <c r="BC20">
        <v>66</v>
      </c>
    </row>
    <row r="21" spans="1:55" x14ac:dyDescent="0.25">
      <c r="A21" t="s">
        <v>3655</v>
      </c>
      <c r="B21" t="s">
        <v>128</v>
      </c>
      <c r="C21" t="s">
        <v>85</v>
      </c>
      <c r="D21">
        <v>917</v>
      </c>
      <c r="E21">
        <v>40.340000000000003</v>
      </c>
      <c r="F21">
        <v>29</v>
      </c>
      <c r="G21">
        <v>34</v>
      </c>
      <c r="H21">
        <v>33</v>
      </c>
      <c r="I21">
        <v>30</v>
      </c>
      <c r="J21">
        <v>26</v>
      </c>
      <c r="K21">
        <v>24</v>
      </c>
      <c r="L21">
        <v>37</v>
      </c>
      <c r="M21">
        <v>30</v>
      </c>
      <c r="N21">
        <v>30</v>
      </c>
      <c r="O21">
        <v>39</v>
      </c>
      <c r="P21">
        <v>32</v>
      </c>
      <c r="Q21">
        <v>36</v>
      </c>
      <c r="R21">
        <v>34</v>
      </c>
      <c r="S21">
        <v>33</v>
      </c>
      <c r="T21">
        <v>37</v>
      </c>
      <c r="U21">
        <v>36</v>
      </c>
      <c r="V21">
        <v>33</v>
      </c>
      <c r="W21">
        <v>37</v>
      </c>
      <c r="X21">
        <v>36</v>
      </c>
      <c r="Y21">
        <v>36</v>
      </c>
      <c r="Z21">
        <v>34</v>
      </c>
      <c r="AA21">
        <v>34</v>
      </c>
      <c r="AB21">
        <v>37</v>
      </c>
      <c r="AC21">
        <v>46</v>
      </c>
      <c r="AD21">
        <v>42</v>
      </c>
      <c r="AE21">
        <v>41</v>
      </c>
      <c r="AF21">
        <v>44</v>
      </c>
      <c r="AG21">
        <v>40</v>
      </c>
      <c r="AH21">
        <v>35</v>
      </c>
      <c r="AI21">
        <v>39</v>
      </c>
      <c r="AJ21">
        <v>21</v>
      </c>
      <c r="AK21">
        <v>28</v>
      </c>
      <c r="AL21">
        <v>33</v>
      </c>
      <c r="AM21">
        <v>35</v>
      </c>
      <c r="AN21">
        <v>38</v>
      </c>
      <c r="AO21">
        <v>39</v>
      </c>
      <c r="AP21">
        <v>40</v>
      </c>
      <c r="AQ21">
        <v>50</v>
      </c>
      <c r="AR21">
        <v>50</v>
      </c>
      <c r="AS21">
        <v>53</v>
      </c>
      <c r="AT21">
        <v>55</v>
      </c>
      <c r="AU21">
        <v>55</v>
      </c>
      <c r="AV21">
        <v>56</v>
      </c>
      <c r="AW21">
        <v>54</v>
      </c>
      <c r="AX21">
        <v>61</v>
      </c>
      <c r="AY21">
        <v>56</v>
      </c>
      <c r="AZ21">
        <v>56</v>
      </c>
      <c r="BA21">
        <v>63</v>
      </c>
      <c r="BB21">
        <v>58</v>
      </c>
      <c r="BC21">
        <v>62</v>
      </c>
    </row>
    <row r="22" spans="1:55" x14ac:dyDescent="0.25">
      <c r="A22" t="s">
        <v>3656</v>
      </c>
      <c r="B22" t="s">
        <v>72</v>
      </c>
      <c r="C22" t="s">
        <v>85</v>
      </c>
      <c r="D22">
        <v>122</v>
      </c>
      <c r="E22">
        <v>48.1</v>
      </c>
      <c r="F22">
        <v>34</v>
      </c>
      <c r="G22">
        <v>35</v>
      </c>
      <c r="H22">
        <v>37</v>
      </c>
      <c r="I22">
        <v>33</v>
      </c>
      <c r="J22">
        <v>31</v>
      </c>
      <c r="K22">
        <v>26</v>
      </c>
      <c r="L22">
        <v>39</v>
      </c>
      <c r="M22">
        <v>40</v>
      </c>
      <c r="N22">
        <v>36</v>
      </c>
      <c r="O22">
        <v>42</v>
      </c>
      <c r="P22">
        <v>47</v>
      </c>
      <c r="Q22">
        <v>48</v>
      </c>
      <c r="R22">
        <v>46</v>
      </c>
      <c r="S22">
        <v>33</v>
      </c>
      <c r="T22">
        <v>49</v>
      </c>
      <c r="U22">
        <v>45</v>
      </c>
      <c r="V22">
        <v>44</v>
      </c>
      <c r="W22">
        <v>44</v>
      </c>
      <c r="X22">
        <v>46</v>
      </c>
      <c r="Y22">
        <v>46</v>
      </c>
      <c r="Z22">
        <v>43</v>
      </c>
      <c r="AA22">
        <v>47</v>
      </c>
      <c r="AB22">
        <v>37</v>
      </c>
      <c r="AC22">
        <v>52</v>
      </c>
      <c r="AD22">
        <v>53</v>
      </c>
      <c r="AE22">
        <v>48</v>
      </c>
      <c r="AF22">
        <v>46</v>
      </c>
      <c r="AG22">
        <v>49</v>
      </c>
      <c r="AH22">
        <v>46</v>
      </c>
      <c r="AI22">
        <v>48</v>
      </c>
      <c r="AJ22">
        <v>31</v>
      </c>
      <c r="AK22">
        <v>36</v>
      </c>
      <c r="AL22">
        <v>43</v>
      </c>
      <c r="AM22">
        <v>46</v>
      </c>
      <c r="AN22">
        <v>39</v>
      </c>
      <c r="AO22">
        <v>46</v>
      </c>
      <c r="AP22">
        <v>50</v>
      </c>
      <c r="AQ22">
        <v>64</v>
      </c>
      <c r="AR22">
        <v>60</v>
      </c>
      <c r="AS22">
        <v>65</v>
      </c>
      <c r="AT22">
        <v>60</v>
      </c>
      <c r="AU22">
        <v>65</v>
      </c>
      <c r="AV22">
        <v>62</v>
      </c>
      <c r="AW22">
        <v>67</v>
      </c>
      <c r="AX22">
        <v>64</v>
      </c>
      <c r="AY22">
        <v>67</v>
      </c>
      <c r="AZ22">
        <v>61</v>
      </c>
      <c r="BA22">
        <v>72</v>
      </c>
      <c r="BB22">
        <v>70</v>
      </c>
      <c r="BC22">
        <v>67</v>
      </c>
    </row>
    <row r="23" spans="1:55" x14ac:dyDescent="0.25">
      <c r="A23" t="s">
        <v>3657</v>
      </c>
      <c r="B23" t="s">
        <v>240</v>
      </c>
      <c r="C23" t="s">
        <v>85</v>
      </c>
      <c r="D23">
        <v>46</v>
      </c>
      <c r="E23">
        <v>44.88</v>
      </c>
      <c r="F23">
        <v>37</v>
      </c>
      <c r="G23">
        <v>33</v>
      </c>
      <c r="H23">
        <v>30</v>
      </c>
      <c r="I23">
        <v>39</v>
      </c>
      <c r="J23">
        <v>42</v>
      </c>
      <c r="K23">
        <v>37</v>
      </c>
      <c r="L23">
        <v>39</v>
      </c>
      <c r="M23">
        <v>41</v>
      </c>
      <c r="N23">
        <v>42</v>
      </c>
      <c r="O23">
        <v>43</v>
      </c>
      <c r="P23">
        <v>42</v>
      </c>
      <c r="Q23">
        <v>40</v>
      </c>
      <c r="R23">
        <v>40</v>
      </c>
      <c r="S23">
        <v>42</v>
      </c>
      <c r="T23">
        <v>43</v>
      </c>
      <c r="U23">
        <v>45</v>
      </c>
      <c r="V23">
        <v>35</v>
      </c>
      <c r="W23">
        <v>38</v>
      </c>
      <c r="X23">
        <v>43</v>
      </c>
      <c r="Y23">
        <v>39</v>
      </c>
      <c r="Z23">
        <v>39</v>
      </c>
      <c r="AA23">
        <v>33</v>
      </c>
      <c r="AB23">
        <v>39</v>
      </c>
      <c r="AC23">
        <v>48</v>
      </c>
      <c r="AD23">
        <v>55</v>
      </c>
      <c r="AE23">
        <v>56</v>
      </c>
      <c r="AF23">
        <v>45</v>
      </c>
      <c r="AG23">
        <v>38</v>
      </c>
      <c r="AH23">
        <v>37</v>
      </c>
      <c r="AI23">
        <v>48</v>
      </c>
      <c r="AJ23">
        <v>38</v>
      </c>
      <c r="AK23">
        <v>39</v>
      </c>
      <c r="AL23">
        <v>36</v>
      </c>
      <c r="AM23">
        <v>43</v>
      </c>
      <c r="AN23">
        <v>39</v>
      </c>
      <c r="AO23">
        <v>52</v>
      </c>
      <c r="AP23">
        <v>56</v>
      </c>
      <c r="AQ23">
        <v>54</v>
      </c>
      <c r="AR23">
        <v>45</v>
      </c>
      <c r="AS23">
        <v>60</v>
      </c>
      <c r="AT23">
        <v>54</v>
      </c>
      <c r="AU23">
        <v>58</v>
      </c>
      <c r="AV23">
        <v>56</v>
      </c>
      <c r="AW23">
        <v>57</v>
      </c>
      <c r="AX23">
        <v>57</v>
      </c>
      <c r="AY23">
        <v>62</v>
      </c>
      <c r="AZ23">
        <v>56</v>
      </c>
      <c r="BA23">
        <v>55</v>
      </c>
      <c r="BB23">
        <v>45</v>
      </c>
      <c r="BC23">
        <v>54</v>
      </c>
    </row>
    <row r="24" spans="1:55" x14ac:dyDescent="0.25">
      <c r="A24" t="s">
        <v>3658</v>
      </c>
      <c r="B24" t="s">
        <v>129</v>
      </c>
      <c r="C24" t="s">
        <v>85</v>
      </c>
      <c r="D24">
        <v>97</v>
      </c>
      <c r="E24">
        <v>42.9</v>
      </c>
      <c r="F24">
        <v>20</v>
      </c>
      <c r="G24">
        <v>33</v>
      </c>
      <c r="H24">
        <v>34</v>
      </c>
      <c r="I24">
        <v>29</v>
      </c>
      <c r="J24">
        <v>24</v>
      </c>
      <c r="K24">
        <v>30</v>
      </c>
      <c r="L24">
        <v>38</v>
      </c>
      <c r="M24">
        <v>29</v>
      </c>
      <c r="N24">
        <v>34</v>
      </c>
      <c r="O24">
        <v>32</v>
      </c>
      <c r="P24">
        <v>31</v>
      </c>
      <c r="Q24">
        <v>37</v>
      </c>
      <c r="R24">
        <v>37</v>
      </c>
      <c r="S24">
        <v>36</v>
      </c>
      <c r="T24">
        <v>35</v>
      </c>
      <c r="U24">
        <v>41</v>
      </c>
      <c r="V24">
        <v>41</v>
      </c>
      <c r="W24">
        <v>39</v>
      </c>
      <c r="X24">
        <v>39</v>
      </c>
      <c r="Y24">
        <v>40</v>
      </c>
      <c r="Z24">
        <v>38</v>
      </c>
      <c r="AA24">
        <v>37</v>
      </c>
      <c r="AB24">
        <v>47</v>
      </c>
      <c r="AC24">
        <v>48</v>
      </c>
      <c r="AD24">
        <v>54</v>
      </c>
      <c r="AE24">
        <v>46</v>
      </c>
      <c r="AF24">
        <v>50</v>
      </c>
      <c r="AG24">
        <v>46</v>
      </c>
      <c r="AH24">
        <v>43</v>
      </c>
      <c r="AI24">
        <v>50</v>
      </c>
      <c r="AJ24">
        <v>27</v>
      </c>
      <c r="AK24">
        <v>28</v>
      </c>
      <c r="AL24">
        <v>31</v>
      </c>
      <c r="AM24">
        <v>35</v>
      </c>
      <c r="AN24">
        <v>41</v>
      </c>
      <c r="AO24">
        <v>41</v>
      </c>
      <c r="AP24">
        <v>54</v>
      </c>
      <c r="AQ24">
        <v>53</v>
      </c>
      <c r="AR24">
        <v>55</v>
      </c>
      <c r="AS24">
        <v>59</v>
      </c>
      <c r="AT24">
        <v>52</v>
      </c>
      <c r="AU24">
        <v>61</v>
      </c>
      <c r="AV24">
        <v>56</v>
      </c>
      <c r="AW24">
        <v>60</v>
      </c>
      <c r="AX24">
        <v>59</v>
      </c>
      <c r="AY24">
        <v>53</v>
      </c>
      <c r="AZ24">
        <v>56</v>
      </c>
      <c r="BA24">
        <v>62</v>
      </c>
      <c r="BB24">
        <v>60</v>
      </c>
      <c r="BC24">
        <v>64</v>
      </c>
    </row>
    <row r="25" spans="1:55" x14ac:dyDescent="0.25">
      <c r="A25" t="s">
        <v>3659</v>
      </c>
      <c r="B25" t="s">
        <v>241</v>
      </c>
      <c r="C25" t="s">
        <v>85</v>
      </c>
      <c r="D25">
        <v>166</v>
      </c>
      <c r="E25">
        <v>41.18</v>
      </c>
      <c r="F25">
        <v>36</v>
      </c>
      <c r="G25">
        <v>29</v>
      </c>
      <c r="H25">
        <v>33</v>
      </c>
      <c r="I25">
        <v>28</v>
      </c>
      <c r="J25">
        <v>27</v>
      </c>
      <c r="K25">
        <v>32</v>
      </c>
      <c r="L25">
        <v>38</v>
      </c>
      <c r="M25">
        <v>32</v>
      </c>
      <c r="N25">
        <v>35</v>
      </c>
      <c r="O25">
        <v>40</v>
      </c>
      <c r="P25">
        <v>34</v>
      </c>
      <c r="Q25">
        <v>37</v>
      </c>
      <c r="R25">
        <v>49</v>
      </c>
      <c r="S25">
        <v>33</v>
      </c>
      <c r="T25">
        <v>38</v>
      </c>
      <c r="U25">
        <v>36</v>
      </c>
      <c r="V25">
        <v>37</v>
      </c>
      <c r="W25">
        <v>42</v>
      </c>
      <c r="X25">
        <v>44</v>
      </c>
      <c r="Y25">
        <v>34</v>
      </c>
      <c r="Z25">
        <v>40</v>
      </c>
      <c r="AA25">
        <v>44</v>
      </c>
      <c r="AB25">
        <v>37</v>
      </c>
      <c r="AC25">
        <v>45</v>
      </c>
      <c r="AD25">
        <v>47</v>
      </c>
      <c r="AE25">
        <v>40</v>
      </c>
      <c r="AF25">
        <v>38</v>
      </c>
      <c r="AG25">
        <v>37</v>
      </c>
      <c r="AH25">
        <v>36</v>
      </c>
      <c r="AI25">
        <v>42</v>
      </c>
      <c r="AJ25">
        <v>21</v>
      </c>
      <c r="AK25">
        <v>26</v>
      </c>
      <c r="AL25">
        <v>31</v>
      </c>
      <c r="AM25">
        <v>34</v>
      </c>
      <c r="AN25">
        <v>45</v>
      </c>
      <c r="AO25">
        <v>42</v>
      </c>
      <c r="AP25">
        <v>37</v>
      </c>
      <c r="AQ25">
        <v>50</v>
      </c>
      <c r="AR25">
        <v>52</v>
      </c>
      <c r="AS25">
        <v>55</v>
      </c>
      <c r="AT25">
        <v>55</v>
      </c>
      <c r="AU25">
        <v>57</v>
      </c>
      <c r="AV25">
        <v>53</v>
      </c>
      <c r="AW25">
        <v>53</v>
      </c>
      <c r="AX25">
        <v>49</v>
      </c>
      <c r="AY25">
        <v>52</v>
      </c>
      <c r="AZ25">
        <v>54</v>
      </c>
      <c r="BA25">
        <v>58</v>
      </c>
      <c r="BB25">
        <v>57</v>
      </c>
      <c r="BC25">
        <v>58</v>
      </c>
    </row>
    <row r="26" spans="1:55" x14ac:dyDescent="0.25">
      <c r="A26" t="s">
        <v>3660</v>
      </c>
      <c r="B26" t="s">
        <v>242</v>
      </c>
      <c r="C26" t="s">
        <v>85</v>
      </c>
      <c r="D26">
        <v>99</v>
      </c>
      <c r="E26">
        <v>43.64</v>
      </c>
      <c r="F26">
        <v>39</v>
      </c>
      <c r="G26">
        <v>32</v>
      </c>
      <c r="H26">
        <v>53</v>
      </c>
      <c r="I26">
        <v>42</v>
      </c>
      <c r="J26">
        <v>36</v>
      </c>
      <c r="K26">
        <v>36</v>
      </c>
      <c r="L26">
        <v>49</v>
      </c>
      <c r="M26">
        <v>37</v>
      </c>
      <c r="N26">
        <v>31</v>
      </c>
      <c r="O26">
        <v>46</v>
      </c>
      <c r="P26">
        <v>49</v>
      </c>
      <c r="Q26">
        <v>41</v>
      </c>
      <c r="R26">
        <v>41</v>
      </c>
      <c r="S26">
        <v>36</v>
      </c>
      <c r="T26">
        <v>36</v>
      </c>
      <c r="U26">
        <v>41</v>
      </c>
      <c r="V26">
        <v>41</v>
      </c>
      <c r="W26">
        <v>42</v>
      </c>
      <c r="X26">
        <v>36</v>
      </c>
      <c r="Y26">
        <v>45</v>
      </c>
      <c r="Z26">
        <v>36</v>
      </c>
      <c r="AA26">
        <v>38</v>
      </c>
      <c r="AB26">
        <v>46</v>
      </c>
      <c r="AC26">
        <v>39</v>
      </c>
      <c r="AD26">
        <v>43</v>
      </c>
      <c r="AE26">
        <v>40</v>
      </c>
      <c r="AF26">
        <v>50</v>
      </c>
      <c r="AG26">
        <v>41</v>
      </c>
      <c r="AH26">
        <v>38</v>
      </c>
      <c r="AI26">
        <v>40</v>
      </c>
      <c r="AJ26">
        <v>29</v>
      </c>
      <c r="AK26">
        <v>40</v>
      </c>
      <c r="AL26">
        <v>38</v>
      </c>
      <c r="AM26">
        <v>39</v>
      </c>
      <c r="AN26">
        <v>32</v>
      </c>
      <c r="AO26">
        <v>47</v>
      </c>
      <c r="AP26">
        <v>53</v>
      </c>
      <c r="AQ26">
        <v>51</v>
      </c>
      <c r="AR26">
        <v>43</v>
      </c>
      <c r="AS26">
        <v>55</v>
      </c>
      <c r="AT26">
        <v>60</v>
      </c>
      <c r="AU26">
        <v>47</v>
      </c>
      <c r="AV26">
        <v>51</v>
      </c>
      <c r="AW26">
        <v>54</v>
      </c>
      <c r="AX26">
        <v>51</v>
      </c>
      <c r="AY26">
        <v>53</v>
      </c>
      <c r="AZ26">
        <v>60</v>
      </c>
      <c r="BA26">
        <v>56</v>
      </c>
      <c r="BB26">
        <v>53</v>
      </c>
      <c r="BC26">
        <v>50</v>
      </c>
    </row>
    <row r="27" spans="1:55" x14ac:dyDescent="0.25">
      <c r="A27" t="s">
        <v>3661</v>
      </c>
      <c r="B27" t="s">
        <v>132</v>
      </c>
      <c r="C27" t="s">
        <v>85</v>
      </c>
      <c r="D27">
        <v>139</v>
      </c>
      <c r="E27">
        <v>19.739999999999998</v>
      </c>
      <c r="F27">
        <v>19</v>
      </c>
      <c r="G27">
        <v>11</v>
      </c>
      <c r="H27">
        <v>9</v>
      </c>
      <c r="I27">
        <v>10</v>
      </c>
      <c r="J27">
        <v>10</v>
      </c>
      <c r="K27">
        <v>10</v>
      </c>
      <c r="L27">
        <v>13</v>
      </c>
      <c r="M27">
        <v>10</v>
      </c>
      <c r="N27">
        <v>12</v>
      </c>
      <c r="O27">
        <v>11</v>
      </c>
      <c r="P27">
        <v>11</v>
      </c>
      <c r="Q27">
        <v>16</v>
      </c>
      <c r="R27">
        <v>15</v>
      </c>
      <c r="S27">
        <v>14</v>
      </c>
      <c r="T27">
        <v>16</v>
      </c>
      <c r="U27">
        <v>15</v>
      </c>
      <c r="V27">
        <v>18</v>
      </c>
      <c r="W27">
        <v>16</v>
      </c>
      <c r="X27">
        <v>15</v>
      </c>
      <c r="Y27">
        <v>21</v>
      </c>
      <c r="Z27">
        <v>19</v>
      </c>
      <c r="AA27">
        <v>16</v>
      </c>
      <c r="AB27">
        <v>18</v>
      </c>
      <c r="AC27">
        <v>17</v>
      </c>
      <c r="AD27">
        <v>22</v>
      </c>
      <c r="AE27">
        <v>16</v>
      </c>
      <c r="AF27">
        <v>21</v>
      </c>
      <c r="AG27">
        <v>19</v>
      </c>
      <c r="AH27">
        <v>21</v>
      </c>
      <c r="AI27">
        <v>24</v>
      </c>
      <c r="AJ27">
        <v>12</v>
      </c>
      <c r="AK27">
        <v>16</v>
      </c>
      <c r="AL27">
        <v>14</v>
      </c>
      <c r="AM27">
        <v>18</v>
      </c>
      <c r="AN27">
        <v>24</v>
      </c>
      <c r="AO27">
        <v>26</v>
      </c>
      <c r="AP27">
        <v>17</v>
      </c>
      <c r="AQ27">
        <v>24</v>
      </c>
      <c r="AR27">
        <v>23</v>
      </c>
      <c r="AS27">
        <v>30</v>
      </c>
      <c r="AT27">
        <v>28</v>
      </c>
      <c r="AU27">
        <v>29</v>
      </c>
      <c r="AV27">
        <v>29</v>
      </c>
      <c r="AW27">
        <v>28</v>
      </c>
      <c r="AX27">
        <v>35</v>
      </c>
      <c r="AY27">
        <v>30</v>
      </c>
      <c r="AZ27">
        <v>35</v>
      </c>
      <c r="BA27">
        <v>36</v>
      </c>
      <c r="BB27">
        <v>36</v>
      </c>
      <c r="BC27">
        <v>32</v>
      </c>
    </row>
    <row r="28" spans="1:55" x14ac:dyDescent="0.25">
      <c r="A28" t="s">
        <v>3662</v>
      </c>
      <c r="B28" t="s">
        <v>243</v>
      </c>
      <c r="C28" t="s">
        <v>85</v>
      </c>
      <c r="D28">
        <v>207</v>
      </c>
      <c r="E28">
        <v>43.12</v>
      </c>
      <c r="F28">
        <v>35</v>
      </c>
      <c r="G28">
        <v>40</v>
      </c>
      <c r="H28">
        <v>34</v>
      </c>
      <c r="I28">
        <v>41</v>
      </c>
      <c r="J28">
        <v>32</v>
      </c>
      <c r="K28">
        <v>28</v>
      </c>
      <c r="L28">
        <v>36</v>
      </c>
      <c r="M28">
        <v>38</v>
      </c>
      <c r="N28">
        <v>35</v>
      </c>
      <c r="O28">
        <v>37</v>
      </c>
      <c r="P28">
        <v>38</v>
      </c>
      <c r="Q28">
        <v>41</v>
      </c>
      <c r="R28">
        <v>39</v>
      </c>
      <c r="S28">
        <v>36</v>
      </c>
      <c r="T28">
        <v>42</v>
      </c>
      <c r="U28">
        <v>34</v>
      </c>
      <c r="V28">
        <v>38</v>
      </c>
      <c r="W28">
        <v>31</v>
      </c>
      <c r="X28">
        <v>36</v>
      </c>
      <c r="Y28">
        <v>27</v>
      </c>
      <c r="Z28">
        <v>33</v>
      </c>
      <c r="AA28">
        <v>41</v>
      </c>
      <c r="AB28">
        <v>37</v>
      </c>
      <c r="AC28">
        <v>39</v>
      </c>
      <c r="AD28">
        <v>37</v>
      </c>
      <c r="AE28">
        <v>40</v>
      </c>
      <c r="AF28">
        <v>48</v>
      </c>
      <c r="AG28">
        <v>52</v>
      </c>
      <c r="AH28">
        <v>48</v>
      </c>
      <c r="AI28">
        <v>45</v>
      </c>
      <c r="AJ28">
        <v>29</v>
      </c>
      <c r="AK28">
        <v>32</v>
      </c>
      <c r="AL28">
        <v>32</v>
      </c>
      <c r="AM28">
        <v>41</v>
      </c>
      <c r="AN28">
        <v>41</v>
      </c>
      <c r="AO28">
        <v>48</v>
      </c>
      <c r="AP28">
        <v>47</v>
      </c>
      <c r="AQ28">
        <v>54</v>
      </c>
      <c r="AR28">
        <v>55</v>
      </c>
      <c r="AS28">
        <v>59</v>
      </c>
      <c r="AT28">
        <v>57</v>
      </c>
      <c r="AU28">
        <v>59</v>
      </c>
      <c r="AV28">
        <v>56</v>
      </c>
      <c r="AW28">
        <v>54</v>
      </c>
      <c r="AX28">
        <v>57</v>
      </c>
      <c r="AY28">
        <v>61</v>
      </c>
      <c r="AZ28">
        <v>61</v>
      </c>
      <c r="BA28">
        <v>55</v>
      </c>
      <c r="BB28">
        <v>60</v>
      </c>
      <c r="BC28">
        <v>60</v>
      </c>
    </row>
    <row r="29" spans="1:55" x14ac:dyDescent="0.25">
      <c r="A29" t="s">
        <v>3663</v>
      </c>
      <c r="B29" t="s">
        <v>37</v>
      </c>
      <c r="C29" t="s">
        <v>85</v>
      </c>
      <c r="D29">
        <v>1542</v>
      </c>
      <c r="E29">
        <v>47.64</v>
      </c>
      <c r="F29">
        <v>44</v>
      </c>
      <c r="G29">
        <v>41</v>
      </c>
      <c r="H29">
        <v>44</v>
      </c>
      <c r="I29">
        <v>46</v>
      </c>
      <c r="J29">
        <v>39</v>
      </c>
      <c r="K29">
        <v>39</v>
      </c>
      <c r="L29">
        <v>45</v>
      </c>
      <c r="M29">
        <v>39</v>
      </c>
      <c r="N29">
        <v>44</v>
      </c>
      <c r="O29">
        <v>47</v>
      </c>
      <c r="P29">
        <v>46</v>
      </c>
      <c r="Q29">
        <v>50</v>
      </c>
      <c r="R29">
        <v>49</v>
      </c>
      <c r="S29">
        <v>44</v>
      </c>
      <c r="T29">
        <v>47</v>
      </c>
      <c r="U29">
        <v>47</v>
      </c>
      <c r="V29">
        <v>47</v>
      </c>
      <c r="W29">
        <v>45</v>
      </c>
      <c r="X29">
        <v>47</v>
      </c>
      <c r="Y29">
        <v>45</v>
      </c>
      <c r="Z29">
        <v>46</v>
      </c>
      <c r="AA29">
        <v>44</v>
      </c>
      <c r="AB29">
        <v>45</v>
      </c>
      <c r="AC29">
        <v>48</v>
      </c>
      <c r="AD29">
        <v>47</v>
      </c>
      <c r="AE29">
        <v>48</v>
      </c>
      <c r="AF29">
        <v>49</v>
      </c>
      <c r="AG29">
        <v>48</v>
      </c>
      <c r="AH29">
        <v>48</v>
      </c>
      <c r="AI29">
        <v>46</v>
      </c>
      <c r="AJ29">
        <v>41</v>
      </c>
      <c r="AK29">
        <v>37</v>
      </c>
      <c r="AL29">
        <v>38</v>
      </c>
      <c r="AM29">
        <v>41</v>
      </c>
      <c r="AN29">
        <v>44</v>
      </c>
      <c r="AO29">
        <v>48</v>
      </c>
      <c r="AP29">
        <v>50</v>
      </c>
      <c r="AQ29">
        <v>54</v>
      </c>
      <c r="AR29">
        <v>50</v>
      </c>
      <c r="AS29">
        <v>53</v>
      </c>
      <c r="AT29">
        <v>52</v>
      </c>
      <c r="AU29">
        <v>54</v>
      </c>
      <c r="AV29">
        <v>54</v>
      </c>
      <c r="AW29">
        <v>54</v>
      </c>
      <c r="AX29">
        <v>54</v>
      </c>
      <c r="AY29">
        <v>58</v>
      </c>
      <c r="AZ29">
        <v>57</v>
      </c>
      <c r="BA29">
        <v>60</v>
      </c>
      <c r="BB29">
        <v>59</v>
      </c>
      <c r="BC29">
        <v>60</v>
      </c>
    </row>
    <row r="30" spans="1:55" x14ac:dyDescent="0.25">
      <c r="A30" t="s">
        <v>3664</v>
      </c>
      <c r="B30" t="s">
        <v>134</v>
      </c>
      <c r="C30" t="s">
        <v>85</v>
      </c>
      <c r="D30">
        <v>436</v>
      </c>
      <c r="E30">
        <v>45.58</v>
      </c>
      <c r="F30">
        <v>39</v>
      </c>
      <c r="G30">
        <v>37</v>
      </c>
      <c r="H30">
        <v>41</v>
      </c>
      <c r="I30">
        <v>43</v>
      </c>
      <c r="J30">
        <v>32</v>
      </c>
      <c r="K30">
        <v>35</v>
      </c>
      <c r="L30">
        <v>41</v>
      </c>
      <c r="M30">
        <v>34</v>
      </c>
      <c r="N30">
        <v>40</v>
      </c>
      <c r="O30">
        <v>45</v>
      </c>
      <c r="P30">
        <v>43</v>
      </c>
      <c r="Q30">
        <v>48</v>
      </c>
      <c r="R30">
        <v>47</v>
      </c>
      <c r="S30">
        <v>43</v>
      </c>
      <c r="T30">
        <v>44</v>
      </c>
      <c r="U30">
        <v>44</v>
      </c>
      <c r="V30">
        <v>48</v>
      </c>
      <c r="W30">
        <v>44</v>
      </c>
      <c r="X30">
        <v>46</v>
      </c>
      <c r="Y30">
        <v>44</v>
      </c>
      <c r="Z30">
        <v>45</v>
      </c>
      <c r="AA30">
        <v>43</v>
      </c>
      <c r="AB30">
        <v>44</v>
      </c>
      <c r="AC30">
        <v>47</v>
      </c>
      <c r="AD30">
        <v>47</v>
      </c>
      <c r="AE30">
        <v>47</v>
      </c>
      <c r="AF30">
        <v>50</v>
      </c>
      <c r="AG30">
        <v>51</v>
      </c>
      <c r="AH30">
        <v>49</v>
      </c>
      <c r="AI30">
        <v>47</v>
      </c>
      <c r="AJ30">
        <v>41</v>
      </c>
      <c r="AK30">
        <v>36</v>
      </c>
      <c r="AL30">
        <v>36</v>
      </c>
      <c r="AM30">
        <v>38</v>
      </c>
      <c r="AN30">
        <v>44</v>
      </c>
      <c r="AO30">
        <v>48</v>
      </c>
      <c r="AP30">
        <v>46</v>
      </c>
      <c r="AQ30">
        <v>49</v>
      </c>
      <c r="AR30">
        <v>47</v>
      </c>
      <c r="AS30">
        <v>48</v>
      </c>
      <c r="AT30">
        <v>46</v>
      </c>
      <c r="AU30">
        <v>51</v>
      </c>
      <c r="AV30">
        <v>49</v>
      </c>
      <c r="AW30">
        <v>52</v>
      </c>
      <c r="AX30">
        <v>51</v>
      </c>
      <c r="AY30">
        <v>53</v>
      </c>
      <c r="AZ30">
        <v>57</v>
      </c>
      <c r="BA30">
        <v>62</v>
      </c>
      <c r="BB30">
        <v>57</v>
      </c>
      <c r="BC30">
        <v>60</v>
      </c>
    </row>
    <row r="31" spans="1:55" x14ac:dyDescent="0.25">
      <c r="A31" t="s">
        <v>3665</v>
      </c>
      <c r="B31" t="s">
        <v>135</v>
      </c>
      <c r="C31" t="s">
        <v>85</v>
      </c>
      <c r="D31">
        <v>201</v>
      </c>
      <c r="E31">
        <v>47.58</v>
      </c>
      <c r="F31">
        <v>49</v>
      </c>
      <c r="G31">
        <v>47</v>
      </c>
      <c r="H31">
        <v>45</v>
      </c>
      <c r="I31">
        <v>42</v>
      </c>
      <c r="J31">
        <v>38</v>
      </c>
      <c r="K31">
        <v>33</v>
      </c>
      <c r="L31">
        <v>43</v>
      </c>
      <c r="M31">
        <v>41</v>
      </c>
      <c r="N31">
        <v>45</v>
      </c>
      <c r="O31">
        <v>47</v>
      </c>
      <c r="P31">
        <v>49</v>
      </c>
      <c r="Q31">
        <v>52</v>
      </c>
      <c r="R31">
        <v>52</v>
      </c>
      <c r="S31">
        <v>42</v>
      </c>
      <c r="T31">
        <v>45</v>
      </c>
      <c r="U31">
        <v>40</v>
      </c>
      <c r="V31">
        <v>46</v>
      </c>
      <c r="W31">
        <v>43</v>
      </c>
      <c r="X31">
        <v>54</v>
      </c>
      <c r="Y31">
        <v>40</v>
      </c>
      <c r="Z31">
        <v>43</v>
      </c>
      <c r="AA31">
        <v>48</v>
      </c>
      <c r="AB31">
        <v>41</v>
      </c>
      <c r="AC31">
        <v>45</v>
      </c>
      <c r="AD31">
        <v>45</v>
      </c>
      <c r="AE31">
        <v>48</v>
      </c>
      <c r="AF31">
        <v>46</v>
      </c>
      <c r="AG31">
        <v>45</v>
      </c>
      <c r="AH31">
        <v>42</v>
      </c>
      <c r="AI31">
        <v>39</v>
      </c>
      <c r="AJ31">
        <v>34</v>
      </c>
      <c r="AK31">
        <v>34</v>
      </c>
      <c r="AL31">
        <v>39</v>
      </c>
      <c r="AM31">
        <v>44</v>
      </c>
      <c r="AN31">
        <v>41</v>
      </c>
      <c r="AO31">
        <v>46</v>
      </c>
      <c r="AP31">
        <v>54</v>
      </c>
      <c r="AQ31">
        <v>54</v>
      </c>
      <c r="AR31">
        <v>49</v>
      </c>
      <c r="AS31">
        <v>55</v>
      </c>
      <c r="AT31">
        <v>58</v>
      </c>
      <c r="AU31">
        <v>54</v>
      </c>
      <c r="AV31">
        <v>59</v>
      </c>
      <c r="AW31">
        <v>59</v>
      </c>
      <c r="AX31">
        <v>57</v>
      </c>
      <c r="AY31">
        <v>60</v>
      </c>
      <c r="AZ31">
        <v>61</v>
      </c>
      <c r="BA31">
        <v>61</v>
      </c>
      <c r="BB31">
        <v>65</v>
      </c>
      <c r="BC31">
        <v>60</v>
      </c>
    </row>
    <row r="32" spans="1:55" x14ac:dyDescent="0.25">
      <c r="A32" t="s">
        <v>3666</v>
      </c>
      <c r="B32" t="s">
        <v>136</v>
      </c>
      <c r="C32" t="s">
        <v>85</v>
      </c>
      <c r="D32">
        <v>600</v>
      </c>
      <c r="E32">
        <v>50.18</v>
      </c>
      <c r="F32">
        <v>47</v>
      </c>
      <c r="G32">
        <v>46</v>
      </c>
      <c r="H32">
        <v>48</v>
      </c>
      <c r="I32">
        <v>51</v>
      </c>
      <c r="J32">
        <v>45</v>
      </c>
      <c r="K32">
        <v>44</v>
      </c>
      <c r="L32">
        <v>50</v>
      </c>
      <c r="M32">
        <v>45</v>
      </c>
      <c r="N32">
        <v>49</v>
      </c>
      <c r="O32">
        <v>50</v>
      </c>
      <c r="P32">
        <v>48</v>
      </c>
      <c r="Q32">
        <v>52</v>
      </c>
      <c r="R32">
        <v>52</v>
      </c>
      <c r="S32">
        <v>46</v>
      </c>
      <c r="T32">
        <v>51</v>
      </c>
      <c r="U32">
        <v>51</v>
      </c>
      <c r="V32">
        <v>48</v>
      </c>
      <c r="W32">
        <v>46</v>
      </c>
      <c r="X32">
        <v>47</v>
      </c>
      <c r="Y32">
        <v>47</v>
      </c>
      <c r="Z32">
        <v>45</v>
      </c>
      <c r="AA32">
        <v>44</v>
      </c>
      <c r="AB32">
        <v>48</v>
      </c>
      <c r="AC32">
        <v>49</v>
      </c>
      <c r="AD32">
        <v>46</v>
      </c>
      <c r="AE32">
        <v>50</v>
      </c>
      <c r="AF32">
        <v>48</v>
      </c>
      <c r="AG32">
        <v>47</v>
      </c>
      <c r="AH32">
        <v>48</v>
      </c>
      <c r="AI32">
        <v>48</v>
      </c>
      <c r="AJ32">
        <v>43</v>
      </c>
      <c r="AK32">
        <v>41</v>
      </c>
      <c r="AL32">
        <v>41</v>
      </c>
      <c r="AM32">
        <v>42</v>
      </c>
      <c r="AN32">
        <v>44</v>
      </c>
      <c r="AO32">
        <v>48</v>
      </c>
      <c r="AP32">
        <v>55</v>
      </c>
      <c r="AQ32">
        <v>59</v>
      </c>
      <c r="AR32">
        <v>51</v>
      </c>
      <c r="AS32">
        <v>56</v>
      </c>
      <c r="AT32">
        <v>55</v>
      </c>
      <c r="AU32">
        <v>56</v>
      </c>
      <c r="AV32">
        <v>57</v>
      </c>
      <c r="AW32">
        <v>56</v>
      </c>
      <c r="AX32">
        <v>56</v>
      </c>
      <c r="AY32">
        <v>61</v>
      </c>
      <c r="AZ32">
        <v>61</v>
      </c>
      <c r="BA32">
        <v>62</v>
      </c>
      <c r="BB32">
        <v>63</v>
      </c>
      <c r="BC32">
        <v>66</v>
      </c>
    </row>
    <row r="33" spans="1:55" x14ac:dyDescent="0.25">
      <c r="A33" t="s">
        <v>3667</v>
      </c>
      <c r="B33" t="s">
        <v>38</v>
      </c>
      <c r="C33" t="s">
        <v>85</v>
      </c>
      <c r="D33">
        <v>5004</v>
      </c>
      <c r="E33">
        <v>39.58</v>
      </c>
      <c r="F33">
        <v>33</v>
      </c>
      <c r="G33">
        <v>31</v>
      </c>
      <c r="H33">
        <v>31</v>
      </c>
      <c r="I33">
        <v>28</v>
      </c>
      <c r="J33">
        <v>26</v>
      </c>
      <c r="K33">
        <v>26</v>
      </c>
      <c r="L33">
        <v>31</v>
      </c>
      <c r="M33">
        <v>30</v>
      </c>
      <c r="N33">
        <v>31</v>
      </c>
      <c r="O33">
        <v>32</v>
      </c>
      <c r="P33">
        <v>33</v>
      </c>
      <c r="Q33">
        <v>37</v>
      </c>
      <c r="R33">
        <v>37</v>
      </c>
      <c r="S33">
        <v>37</v>
      </c>
      <c r="T33">
        <v>40</v>
      </c>
      <c r="U33">
        <v>38</v>
      </c>
      <c r="V33">
        <v>37</v>
      </c>
      <c r="W33">
        <v>36</v>
      </c>
      <c r="X33">
        <v>36</v>
      </c>
      <c r="Y33">
        <v>37</v>
      </c>
      <c r="Z33">
        <v>37</v>
      </c>
      <c r="AA33">
        <v>36</v>
      </c>
      <c r="AB33">
        <v>37</v>
      </c>
      <c r="AC33">
        <v>39</v>
      </c>
      <c r="AD33">
        <v>38</v>
      </c>
      <c r="AE33">
        <v>38</v>
      </c>
      <c r="AF33">
        <v>39</v>
      </c>
      <c r="AG33">
        <v>40</v>
      </c>
      <c r="AH33">
        <v>39</v>
      </c>
      <c r="AI33">
        <v>39</v>
      </c>
      <c r="AJ33">
        <v>27</v>
      </c>
      <c r="AK33">
        <v>31</v>
      </c>
      <c r="AL33">
        <v>30</v>
      </c>
      <c r="AM33">
        <v>29</v>
      </c>
      <c r="AN33">
        <v>37</v>
      </c>
      <c r="AO33">
        <v>41</v>
      </c>
      <c r="AP33">
        <v>44</v>
      </c>
      <c r="AQ33">
        <v>49</v>
      </c>
      <c r="AR33">
        <v>46</v>
      </c>
      <c r="AS33">
        <v>51</v>
      </c>
      <c r="AT33">
        <v>51</v>
      </c>
      <c r="AU33">
        <v>53</v>
      </c>
      <c r="AV33">
        <v>52</v>
      </c>
      <c r="AW33">
        <v>52</v>
      </c>
      <c r="AX33">
        <v>57</v>
      </c>
      <c r="AY33">
        <v>55</v>
      </c>
      <c r="AZ33">
        <v>55</v>
      </c>
      <c r="BA33">
        <v>58</v>
      </c>
      <c r="BB33">
        <v>56</v>
      </c>
      <c r="BC33">
        <v>56</v>
      </c>
    </row>
    <row r="34" spans="1:55" x14ac:dyDescent="0.25">
      <c r="A34" t="s">
        <v>3668</v>
      </c>
      <c r="B34" t="s">
        <v>137</v>
      </c>
      <c r="C34" t="s">
        <v>85</v>
      </c>
      <c r="D34">
        <v>2336</v>
      </c>
      <c r="E34">
        <v>34.880000000000003</v>
      </c>
      <c r="F34">
        <v>27</v>
      </c>
      <c r="G34">
        <v>27</v>
      </c>
      <c r="H34">
        <v>25</v>
      </c>
      <c r="I34">
        <v>24</v>
      </c>
      <c r="J34">
        <v>21</v>
      </c>
      <c r="K34">
        <v>23</v>
      </c>
      <c r="L34">
        <v>25</v>
      </c>
      <c r="M34">
        <v>23</v>
      </c>
      <c r="N34">
        <v>26</v>
      </c>
      <c r="O34">
        <v>28</v>
      </c>
      <c r="P34">
        <v>27</v>
      </c>
      <c r="Q34">
        <v>32</v>
      </c>
      <c r="R34">
        <v>31</v>
      </c>
      <c r="S34">
        <v>31</v>
      </c>
      <c r="T34">
        <v>33</v>
      </c>
      <c r="U34">
        <v>31</v>
      </c>
      <c r="V34">
        <v>29</v>
      </c>
      <c r="W34">
        <v>30</v>
      </c>
      <c r="X34">
        <v>31</v>
      </c>
      <c r="Y34">
        <v>31</v>
      </c>
      <c r="Z34">
        <v>31</v>
      </c>
      <c r="AA34">
        <v>31</v>
      </c>
      <c r="AB34">
        <v>32</v>
      </c>
      <c r="AC34">
        <v>34</v>
      </c>
      <c r="AD34">
        <v>34</v>
      </c>
      <c r="AE34">
        <v>35</v>
      </c>
      <c r="AF34">
        <v>35</v>
      </c>
      <c r="AG34">
        <v>36</v>
      </c>
      <c r="AH34">
        <v>35</v>
      </c>
      <c r="AI34">
        <v>36</v>
      </c>
      <c r="AJ34">
        <v>22</v>
      </c>
      <c r="AK34">
        <v>27</v>
      </c>
      <c r="AL34">
        <v>26</v>
      </c>
      <c r="AM34">
        <v>26</v>
      </c>
      <c r="AN34">
        <v>34</v>
      </c>
      <c r="AO34">
        <v>37</v>
      </c>
      <c r="AP34">
        <v>39</v>
      </c>
      <c r="AQ34">
        <v>45</v>
      </c>
      <c r="AR34">
        <v>41</v>
      </c>
      <c r="AS34">
        <v>46</v>
      </c>
      <c r="AT34">
        <v>48</v>
      </c>
      <c r="AU34">
        <v>48</v>
      </c>
      <c r="AV34">
        <v>48</v>
      </c>
      <c r="AW34">
        <v>49</v>
      </c>
      <c r="AX34">
        <v>53</v>
      </c>
      <c r="AY34">
        <v>51</v>
      </c>
      <c r="AZ34">
        <v>51</v>
      </c>
      <c r="BA34">
        <v>55</v>
      </c>
      <c r="BB34">
        <v>52</v>
      </c>
      <c r="BC34">
        <v>52</v>
      </c>
    </row>
    <row r="35" spans="1:55" x14ac:dyDescent="0.25">
      <c r="A35" t="s">
        <v>3669</v>
      </c>
      <c r="B35" t="s">
        <v>138</v>
      </c>
      <c r="C35" t="s">
        <v>85</v>
      </c>
      <c r="D35">
        <v>2668</v>
      </c>
      <c r="E35">
        <v>43.36</v>
      </c>
      <c r="F35">
        <v>38</v>
      </c>
      <c r="G35">
        <v>34</v>
      </c>
      <c r="H35">
        <v>35</v>
      </c>
      <c r="I35">
        <v>31</v>
      </c>
      <c r="J35">
        <v>30</v>
      </c>
      <c r="K35">
        <v>29</v>
      </c>
      <c r="L35">
        <v>36</v>
      </c>
      <c r="M35">
        <v>35</v>
      </c>
      <c r="N35">
        <v>34</v>
      </c>
      <c r="O35">
        <v>35</v>
      </c>
      <c r="P35">
        <v>37</v>
      </c>
      <c r="Q35">
        <v>41</v>
      </c>
      <c r="R35">
        <v>43</v>
      </c>
      <c r="S35">
        <v>42</v>
      </c>
      <c r="T35">
        <v>45</v>
      </c>
      <c r="U35">
        <v>43</v>
      </c>
      <c r="V35">
        <v>44</v>
      </c>
      <c r="W35">
        <v>41</v>
      </c>
      <c r="X35">
        <v>40</v>
      </c>
      <c r="Y35">
        <v>42</v>
      </c>
      <c r="Z35">
        <v>41</v>
      </c>
      <c r="AA35">
        <v>38</v>
      </c>
      <c r="AB35">
        <v>42</v>
      </c>
      <c r="AC35">
        <v>42</v>
      </c>
      <c r="AD35">
        <v>41</v>
      </c>
      <c r="AE35">
        <v>41</v>
      </c>
      <c r="AF35">
        <v>43</v>
      </c>
      <c r="AG35">
        <v>43</v>
      </c>
      <c r="AH35">
        <v>42</v>
      </c>
      <c r="AI35">
        <v>43</v>
      </c>
      <c r="AJ35">
        <v>31</v>
      </c>
      <c r="AK35">
        <v>34</v>
      </c>
      <c r="AL35">
        <v>32</v>
      </c>
      <c r="AM35">
        <v>31</v>
      </c>
      <c r="AN35">
        <v>40</v>
      </c>
      <c r="AO35">
        <v>44</v>
      </c>
      <c r="AP35">
        <v>49</v>
      </c>
      <c r="AQ35">
        <v>54</v>
      </c>
      <c r="AR35">
        <v>51</v>
      </c>
      <c r="AS35">
        <v>54</v>
      </c>
      <c r="AT35">
        <v>54</v>
      </c>
      <c r="AU35">
        <v>57</v>
      </c>
      <c r="AV35">
        <v>56</v>
      </c>
      <c r="AW35">
        <v>54</v>
      </c>
      <c r="AX35">
        <v>59</v>
      </c>
      <c r="AY35">
        <v>59</v>
      </c>
      <c r="AZ35">
        <v>58</v>
      </c>
      <c r="BA35">
        <v>61</v>
      </c>
      <c r="BB35">
        <v>60</v>
      </c>
      <c r="BC35">
        <v>59</v>
      </c>
    </row>
    <row r="36" spans="1:55" x14ac:dyDescent="0.25">
      <c r="A36" t="s">
        <v>3670</v>
      </c>
      <c r="B36" t="s">
        <v>139</v>
      </c>
      <c r="C36" t="s">
        <v>85</v>
      </c>
      <c r="D36">
        <v>10866</v>
      </c>
      <c r="E36">
        <v>42.42</v>
      </c>
      <c r="F36">
        <v>37</v>
      </c>
      <c r="G36">
        <v>36</v>
      </c>
      <c r="H36">
        <v>35</v>
      </c>
      <c r="I36">
        <v>33</v>
      </c>
      <c r="J36">
        <v>31</v>
      </c>
      <c r="K36">
        <v>32</v>
      </c>
      <c r="L36">
        <v>36</v>
      </c>
      <c r="M36">
        <v>34</v>
      </c>
      <c r="N36">
        <v>37</v>
      </c>
      <c r="O36">
        <v>39</v>
      </c>
      <c r="P36">
        <v>39</v>
      </c>
      <c r="Q36">
        <v>41</v>
      </c>
      <c r="R36">
        <v>42</v>
      </c>
      <c r="S36">
        <v>40</v>
      </c>
      <c r="T36">
        <v>43</v>
      </c>
      <c r="U36">
        <v>44</v>
      </c>
      <c r="V36">
        <v>42</v>
      </c>
      <c r="W36">
        <v>41</v>
      </c>
      <c r="X36">
        <v>40</v>
      </c>
      <c r="Y36">
        <v>40</v>
      </c>
      <c r="Z36">
        <v>41</v>
      </c>
      <c r="AA36">
        <v>40</v>
      </c>
      <c r="AB36">
        <v>41</v>
      </c>
      <c r="AC36">
        <v>42</v>
      </c>
      <c r="AD36">
        <v>42</v>
      </c>
      <c r="AE36">
        <v>41</v>
      </c>
      <c r="AF36">
        <v>43</v>
      </c>
      <c r="AG36">
        <v>42</v>
      </c>
      <c r="AH36">
        <v>41</v>
      </c>
      <c r="AI36">
        <v>42</v>
      </c>
      <c r="AJ36">
        <v>29</v>
      </c>
      <c r="AK36">
        <v>32</v>
      </c>
      <c r="AL36">
        <v>31</v>
      </c>
      <c r="AM36">
        <v>33</v>
      </c>
      <c r="AN36">
        <v>40</v>
      </c>
      <c r="AO36">
        <v>43</v>
      </c>
      <c r="AP36">
        <v>47</v>
      </c>
      <c r="AQ36">
        <v>50</v>
      </c>
      <c r="AR36">
        <v>48</v>
      </c>
      <c r="AS36">
        <v>52</v>
      </c>
      <c r="AT36">
        <v>52</v>
      </c>
      <c r="AU36">
        <v>52</v>
      </c>
      <c r="AV36">
        <v>52</v>
      </c>
      <c r="AW36">
        <v>53</v>
      </c>
      <c r="AX36">
        <v>54</v>
      </c>
      <c r="AY36">
        <v>55</v>
      </c>
      <c r="AZ36">
        <v>54</v>
      </c>
      <c r="BA36">
        <v>57</v>
      </c>
      <c r="BB36">
        <v>56</v>
      </c>
      <c r="BC36">
        <v>54</v>
      </c>
    </row>
    <row r="37" spans="1:55" x14ac:dyDescent="0.25">
      <c r="A37" t="s">
        <v>3671</v>
      </c>
      <c r="B37" t="s">
        <v>140</v>
      </c>
      <c r="C37" t="s">
        <v>85</v>
      </c>
      <c r="D37">
        <v>1355</v>
      </c>
      <c r="E37">
        <v>50.68</v>
      </c>
      <c r="F37">
        <v>41</v>
      </c>
      <c r="G37">
        <v>44</v>
      </c>
      <c r="H37">
        <v>42</v>
      </c>
      <c r="I37">
        <v>36</v>
      </c>
      <c r="J37">
        <v>37</v>
      </c>
      <c r="K37">
        <v>39</v>
      </c>
      <c r="L37">
        <v>41</v>
      </c>
      <c r="M37">
        <v>41</v>
      </c>
      <c r="N37">
        <v>43</v>
      </c>
      <c r="O37">
        <v>45</v>
      </c>
      <c r="P37">
        <v>47</v>
      </c>
      <c r="Q37">
        <v>50</v>
      </c>
      <c r="R37">
        <v>52</v>
      </c>
      <c r="S37">
        <v>49</v>
      </c>
      <c r="T37">
        <v>53</v>
      </c>
      <c r="U37">
        <v>53</v>
      </c>
      <c r="V37">
        <v>49</v>
      </c>
      <c r="W37">
        <v>47</v>
      </c>
      <c r="X37">
        <v>46</v>
      </c>
      <c r="Y37">
        <v>47</v>
      </c>
      <c r="Z37">
        <v>48</v>
      </c>
      <c r="AA37">
        <v>49</v>
      </c>
      <c r="AB37">
        <v>48</v>
      </c>
      <c r="AC37">
        <v>52</v>
      </c>
      <c r="AD37">
        <v>49</v>
      </c>
      <c r="AE37">
        <v>48</v>
      </c>
      <c r="AF37">
        <v>50</v>
      </c>
      <c r="AG37">
        <v>50</v>
      </c>
      <c r="AH37">
        <v>49</v>
      </c>
      <c r="AI37">
        <v>51</v>
      </c>
      <c r="AJ37">
        <v>36</v>
      </c>
      <c r="AK37">
        <v>41</v>
      </c>
      <c r="AL37">
        <v>40</v>
      </c>
      <c r="AM37">
        <v>43</v>
      </c>
      <c r="AN37">
        <v>51</v>
      </c>
      <c r="AO37">
        <v>54</v>
      </c>
      <c r="AP37">
        <v>57</v>
      </c>
      <c r="AQ37">
        <v>62</v>
      </c>
      <c r="AR37">
        <v>56</v>
      </c>
      <c r="AS37">
        <v>61</v>
      </c>
      <c r="AT37">
        <v>61</v>
      </c>
      <c r="AU37">
        <v>61</v>
      </c>
      <c r="AV37">
        <v>63</v>
      </c>
      <c r="AW37">
        <v>61</v>
      </c>
      <c r="AX37">
        <v>63</v>
      </c>
      <c r="AY37">
        <v>65</v>
      </c>
      <c r="AZ37">
        <v>66</v>
      </c>
      <c r="BA37">
        <v>70</v>
      </c>
      <c r="BB37">
        <v>63</v>
      </c>
      <c r="BC37">
        <v>64</v>
      </c>
    </row>
    <row r="38" spans="1:55" x14ac:dyDescent="0.25">
      <c r="A38" t="s">
        <v>3672</v>
      </c>
      <c r="B38" t="s">
        <v>141</v>
      </c>
      <c r="C38" t="s">
        <v>85</v>
      </c>
      <c r="D38">
        <v>708</v>
      </c>
      <c r="E38">
        <v>53.52</v>
      </c>
      <c r="F38">
        <v>48</v>
      </c>
      <c r="G38">
        <v>48</v>
      </c>
      <c r="H38">
        <v>43</v>
      </c>
      <c r="I38">
        <v>40</v>
      </c>
      <c r="J38">
        <v>42</v>
      </c>
      <c r="K38">
        <v>43</v>
      </c>
      <c r="L38">
        <v>43</v>
      </c>
      <c r="M38">
        <v>45</v>
      </c>
      <c r="N38">
        <v>45</v>
      </c>
      <c r="O38">
        <v>50</v>
      </c>
      <c r="P38">
        <v>51</v>
      </c>
      <c r="Q38">
        <v>53</v>
      </c>
      <c r="R38">
        <v>56</v>
      </c>
      <c r="S38">
        <v>55</v>
      </c>
      <c r="T38">
        <v>59</v>
      </c>
      <c r="U38">
        <v>59</v>
      </c>
      <c r="V38">
        <v>55</v>
      </c>
      <c r="W38">
        <v>50</v>
      </c>
      <c r="X38">
        <v>51</v>
      </c>
      <c r="Y38">
        <v>50</v>
      </c>
      <c r="Z38">
        <v>54</v>
      </c>
      <c r="AA38">
        <v>52</v>
      </c>
      <c r="AB38">
        <v>51</v>
      </c>
      <c r="AC38">
        <v>54</v>
      </c>
      <c r="AD38">
        <v>53</v>
      </c>
      <c r="AE38">
        <v>50</v>
      </c>
      <c r="AF38">
        <v>51</v>
      </c>
      <c r="AG38">
        <v>53</v>
      </c>
      <c r="AH38">
        <v>52</v>
      </c>
      <c r="AI38">
        <v>54</v>
      </c>
      <c r="AJ38">
        <v>41</v>
      </c>
      <c r="AK38">
        <v>44</v>
      </c>
      <c r="AL38">
        <v>43</v>
      </c>
      <c r="AM38">
        <v>45</v>
      </c>
      <c r="AN38">
        <v>53</v>
      </c>
      <c r="AO38">
        <v>54</v>
      </c>
      <c r="AP38">
        <v>58</v>
      </c>
      <c r="AQ38">
        <v>63</v>
      </c>
      <c r="AR38">
        <v>58</v>
      </c>
      <c r="AS38">
        <v>60</v>
      </c>
      <c r="AT38">
        <v>61</v>
      </c>
      <c r="AU38">
        <v>61</v>
      </c>
      <c r="AV38">
        <v>63</v>
      </c>
      <c r="AW38">
        <v>63</v>
      </c>
      <c r="AX38">
        <v>64</v>
      </c>
      <c r="AY38">
        <v>67</v>
      </c>
      <c r="AZ38">
        <v>68</v>
      </c>
      <c r="BA38">
        <v>71</v>
      </c>
      <c r="BB38">
        <v>63</v>
      </c>
      <c r="BC38">
        <v>66</v>
      </c>
    </row>
    <row r="39" spans="1:55" x14ac:dyDescent="0.25">
      <c r="A39" t="s">
        <v>3673</v>
      </c>
      <c r="B39" t="s">
        <v>142</v>
      </c>
      <c r="C39" t="s">
        <v>85</v>
      </c>
      <c r="D39">
        <v>583</v>
      </c>
      <c r="E39">
        <v>48.2</v>
      </c>
      <c r="F39">
        <v>36</v>
      </c>
      <c r="G39">
        <v>41</v>
      </c>
      <c r="H39">
        <v>42</v>
      </c>
      <c r="I39">
        <v>31</v>
      </c>
      <c r="J39">
        <v>32</v>
      </c>
      <c r="K39">
        <v>34</v>
      </c>
      <c r="L39">
        <v>40</v>
      </c>
      <c r="M39">
        <v>35</v>
      </c>
      <c r="N39">
        <v>40</v>
      </c>
      <c r="O39">
        <v>41</v>
      </c>
      <c r="P39">
        <v>42</v>
      </c>
      <c r="Q39">
        <v>48</v>
      </c>
      <c r="R39">
        <v>47</v>
      </c>
      <c r="S39">
        <v>42</v>
      </c>
      <c r="T39">
        <v>46</v>
      </c>
      <c r="U39">
        <v>47</v>
      </c>
      <c r="V39">
        <v>42</v>
      </c>
      <c r="W39">
        <v>46</v>
      </c>
      <c r="X39">
        <v>42</v>
      </c>
      <c r="Y39">
        <v>43</v>
      </c>
      <c r="Z39">
        <v>42</v>
      </c>
      <c r="AA39">
        <v>47</v>
      </c>
      <c r="AB39">
        <v>45</v>
      </c>
      <c r="AC39">
        <v>49</v>
      </c>
      <c r="AD39">
        <v>44</v>
      </c>
      <c r="AE39">
        <v>47</v>
      </c>
      <c r="AF39">
        <v>49</v>
      </c>
      <c r="AG39">
        <v>47</v>
      </c>
      <c r="AH39">
        <v>46</v>
      </c>
      <c r="AI39">
        <v>48</v>
      </c>
      <c r="AJ39">
        <v>33</v>
      </c>
      <c r="AK39">
        <v>40</v>
      </c>
      <c r="AL39">
        <v>36</v>
      </c>
      <c r="AM39">
        <v>42</v>
      </c>
      <c r="AN39">
        <v>51</v>
      </c>
      <c r="AO39">
        <v>55</v>
      </c>
      <c r="AP39">
        <v>57</v>
      </c>
      <c r="AQ39">
        <v>62</v>
      </c>
      <c r="AR39">
        <v>56</v>
      </c>
      <c r="AS39">
        <v>63</v>
      </c>
      <c r="AT39">
        <v>61</v>
      </c>
      <c r="AU39">
        <v>62</v>
      </c>
      <c r="AV39">
        <v>63</v>
      </c>
      <c r="AW39">
        <v>61</v>
      </c>
      <c r="AX39">
        <v>61</v>
      </c>
      <c r="AY39">
        <v>63</v>
      </c>
      <c r="AZ39">
        <v>66</v>
      </c>
      <c r="BA39">
        <v>70</v>
      </c>
      <c r="BB39">
        <v>64</v>
      </c>
      <c r="BC39">
        <v>63</v>
      </c>
    </row>
    <row r="40" spans="1:55" x14ac:dyDescent="0.25">
      <c r="A40" t="s">
        <v>3674</v>
      </c>
      <c r="B40" t="s">
        <v>143</v>
      </c>
      <c r="C40" t="s">
        <v>85</v>
      </c>
      <c r="D40">
        <v>2034</v>
      </c>
      <c r="E40">
        <v>59</v>
      </c>
      <c r="F40">
        <v>49</v>
      </c>
      <c r="G40">
        <v>48</v>
      </c>
      <c r="H40">
        <v>51</v>
      </c>
      <c r="I40">
        <v>46</v>
      </c>
      <c r="J40">
        <v>40</v>
      </c>
      <c r="K40">
        <v>43</v>
      </c>
      <c r="L40">
        <v>51</v>
      </c>
      <c r="M40">
        <v>42</v>
      </c>
      <c r="N40">
        <v>48</v>
      </c>
      <c r="O40">
        <v>51</v>
      </c>
      <c r="P40">
        <v>54</v>
      </c>
      <c r="Q40">
        <v>56</v>
      </c>
      <c r="R40">
        <v>57</v>
      </c>
      <c r="S40">
        <v>56</v>
      </c>
      <c r="T40">
        <v>65</v>
      </c>
      <c r="U40">
        <v>64</v>
      </c>
      <c r="V40">
        <v>63</v>
      </c>
      <c r="W40">
        <v>62</v>
      </c>
      <c r="X40">
        <v>61</v>
      </c>
      <c r="Y40">
        <v>61</v>
      </c>
      <c r="Z40">
        <v>62</v>
      </c>
      <c r="AA40">
        <v>60</v>
      </c>
      <c r="AB40">
        <v>60</v>
      </c>
      <c r="AC40">
        <v>61</v>
      </c>
      <c r="AD40">
        <v>60</v>
      </c>
      <c r="AE40">
        <v>60</v>
      </c>
      <c r="AF40">
        <v>63</v>
      </c>
      <c r="AG40">
        <v>58</v>
      </c>
      <c r="AH40">
        <v>59</v>
      </c>
      <c r="AI40">
        <v>62</v>
      </c>
      <c r="AJ40">
        <v>47</v>
      </c>
      <c r="AK40">
        <v>46</v>
      </c>
      <c r="AL40">
        <v>41</v>
      </c>
      <c r="AM40">
        <v>38</v>
      </c>
      <c r="AN40">
        <v>51</v>
      </c>
      <c r="AO40">
        <v>59</v>
      </c>
      <c r="AP40">
        <v>67</v>
      </c>
      <c r="AQ40">
        <v>63</v>
      </c>
      <c r="AR40">
        <v>64</v>
      </c>
      <c r="AS40">
        <v>68</v>
      </c>
      <c r="AT40">
        <v>67</v>
      </c>
      <c r="AU40">
        <v>71</v>
      </c>
      <c r="AV40">
        <v>67</v>
      </c>
      <c r="AW40">
        <v>74</v>
      </c>
      <c r="AX40">
        <v>73</v>
      </c>
      <c r="AY40">
        <v>77</v>
      </c>
      <c r="AZ40">
        <v>75</v>
      </c>
      <c r="BA40">
        <v>79</v>
      </c>
      <c r="BB40">
        <v>75</v>
      </c>
      <c r="BC40">
        <v>75</v>
      </c>
    </row>
    <row r="41" spans="1:55" x14ac:dyDescent="0.25">
      <c r="A41" t="s">
        <v>3675</v>
      </c>
      <c r="B41" t="s">
        <v>144</v>
      </c>
      <c r="C41" t="s">
        <v>85</v>
      </c>
      <c r="D41">
        <v>1273</v>
      </c>
      <c r="E41">
        <v>56.7</v>
      </c>
      <c r="F41">
        <v>43</v>
      </c>
      <c r="G41">
        <v>45</v>
      </c>
      <c r="H41">
        <v>48</v>
      </c>
      <c r="I41">
        <v>43</v>
      </c>
      <c r="J41">
        <v>39</v>
      </c>
      <c r="K41">
        <v>39</v>
      </c>
      <c r="L41">
        <v>47</v>
      </c>
      <c r="M41">
        <v>40</v>
      </c>
      <c r="N41">
        <v>45</v>
      </c>
      <c r="O41">
        <v>49</v>
      </c>
      <c r="P41">
        <v>51</v>
      </c>
      <c r="Q41">
        <v>53</v>
      </c>
      <c r="R41">
        <v>55</v>
      </c>
      <c r="S41">
        <v>53</v>
      </c>
      <c r="T41">
        <v>64</v>
      </c>
      <c r="U41">
        <v>62</v>
      </c>
      <c r="V41">
        <v>61</v>
      </c>
      <c r="W41">
        <v>61</v>
      </c>
      <c r="X41">
        <v>59</v>
      </c>
      <c r="Y41">
        <v>59</v>
      </c>
      <c r="Z41">
        <v>59</v>
      </c>
      <c r="AA41">
        <v>58</v>
      </c>
      <c r="AB41">
        <v>58</v>
      </c>
      <c r="AC41">
        <v>59</v>
      </c>
      <c r="AD41">
        <v>59</v>
      </c>
      <c r="AE41">
        <v>57</v>
      </c>
      <c r="AF41">
        <v>61</v>
      </c>
      <c r="AG41">
        <v>55</v>
      </c>
      <c r="AH41">
        <v>57</v>
      </c>
      <c r="AI41">
        <v>59</v>
      </c>
      <c r="AJ41">
        <v>41</v>
      </c>
      <c r="AK41">
        <v>43</v>
      </c>
      <c r="AL41">
        <v>39</v>
      </c>
      <c r="AM41">
        <v>35</v>
      </c>
      <c r="AN41">
        <v>47</v>
      </c>
      <c r="AO41">
        <v>58</v>
      </c>
      <c r="AP41">
        <v>66</v>
      </c>
      <c r="AQ41">
        <v>60</v>
      </c>
      <c r="AR41">
        <v>63</v>
      </c>
      <c r="AS41">
        <v>66</v>
      </c>
      <c r="AT41">
        <v>67</v>
      </c>
      <c r="AU41">
        <v>69</v>
      </c>
      <c r="AV41">
        <v>65</v>
      </c>
      <c r="AW41">
        <v>73</v>
      </c>
      <c r="AX41">
        <v>69</v>
      </c>
      <c r="AY41">
        <v>75</v>
      </c>
      <c r="AZ41">
        <v>74</v>
      </c>
      <c r="BA41">
        <v>79</v>
      </c>
      <c r="BB41">
        <v>74</v>
      </c>
      <c r="BC41">
        <v>74</v>
      </c>
    </row>
    <row r="42" spans="1:55" x14ac:dyDescent="0.25">
      <c r="A42" t="s">
        <v>3676</v>
      </c>
      <c r="B42" t="s">
        <v>145</v>
      </c>
      <c r="C42" t="s">
        <v>85</v>
      </c>
      <c r="D42">
        <v>761</v>
      </c>
      <c r="E42">
        <v>63.44</v>
      </c>
      <c r="F42">
        <v>59</v>
      </c>
      <c r="G42">
        <v>52</v>
      </c>
      <c r="H42">
        <v>56</v>
      </c>
      <c r="I42">
        <v>51</v>
      </c>
      <c r="J42">
        <v>43</v>
      </c>
      <c r="K42">
        <v>50</v>
      </c>
      <c r="L42">
        <v>59</v>
      </c>
      <c r="M42">
        <v>46</v>
      </c>
      <c r="N42">
        <v>54</v>
      </c>
      <c r="O42">
        <v>54</v>
      </c>
      <c r="P42">
        <v>58</v>
      </c>
      <c r="Q42">
        <v>60</v>
      </c>
      <c r="R42">
        <v>61</v>
      </c>
      <c r="S42">
        <v>62</v>
      </c>
      <c r="T42">
        <v>68</v>
      </c>
      <c r="U42">
        <v>68</v>
      </c>
      <c r="V42">
        <v>68</v>
      </c>
      <c r="W42">
        <v>66</v>
      </c>
      <c r="X42">
        <v>65</v>
      </c>
      <c r="Y42">
        <v>64</v>
      </c>
      <c r="Z42">
        <v>68</v>
      </c>
      <c r="AA42">
        <v>64</v>
      </c>
      <c r="AB42">
        <v>66</v>
      </c>
      <c r="AC42">
        <v>65</v>
      </c>
      <c r="AD42">
        <v>63</v>
      </c>
      <c r="AE42">
        <v>66</v>
      </c>
      <c r="AF42">
        <v>68</v>
      </c>
      <c r="AG42">
        <v>65</v>
      </c>
      <c r="AH42">
        <v>63</v>
      </c>
      <c r="AI42">
        <v>68</v>
      </c>
      <c r="AJ42">
        <v>52</v>
      </c>
      <c r="AK42">
        <v>52</v>
      </c>
      <c r="AL42">
        <v>47</v>
      </c>
      <c r="AM42">
        <v>43</v>
      </c>
      <c r="AN42">
        <v>57</v>
      </c>
      <c r="AO42">
        <v>61</v>
      </c>
      <c r="AP42">
        <v>69</v>
      </c>
      <c r="AQ42">
        <v>69</v>
      </c>
      <c r="AR42">
        <v>68</v>
      </c>
      <c r="AS42">
        <v>73</v>
      </c>
      <c r="AT42">
        <v>68</v>
      </c>
      <c r="AU42">
        <v>75</v>
      </c>
      <c r="AV42">
        <v>71</v>
      </c>
      <c r="AW42">
        <v>74</v>
      </c>
      <c r="AX42">
        <v>81</v>
      </c>
      <c r="AY42">
        <v>80</v>
      </c>
      <c r="AZ42">
        <v>77</v>
      </c>
      <c r="BA42">
        <v>80</v>
      </c>
      <c r="BB42">
        <v>77</v>
      </c>
      <c r="BC42">
        <v>78</v>
      </c>
    </row>
    <row r="43" spans="1:55" x14ac:dyDescent="0.25">
      <c r="A43" t="s">
        <v>3677</v>
      </c>
      <c r="B43" t="s">
        <v>146</v>
      </c>
      <c r="C43" t="s">
        <v>85</v>
      </c>
      <c r="D43">
        <v>83</v>
      </c>
      <c r="E43">
        <v>40.96</v>
      </c>
      <c r="F43">
        <v>42</v>
      </c>
      <c r="G43">
        <v>39</v>
      </c>
      <c r="H43">
        <v>36</v>
      </c>
      <c r="I43">
        <v>38</v>
      </c>
      <c r="J43">
        <v>39</v>
      </c>
      <c r="K43">
        <v>29</v>
      </c>
      <c r="L43">
        <v>34</v>
      </c>
      <c r="M43">
        <v>27</v>
      </c>
      <c r="N43">
        <v>31</v>
      </c>
      <c r="O43">
        <v>30</v>
      </c>
      <c r="P43">
        <v>33</v>
      </c>
      <c r="Q43">
        <v>38</v>
      </c>
      <c r="R43">
        <v>45</v>
      </c>
      <c r="S43">
        <v>33</v>
      </c>
      <c r="T43">
        <v>42</v>
      </c>
      <c r="U43">
        <v>43</v>
      </c>
      <c r="V43">
        <v>41</v>
      </c>
      <c r="W43">
        <v>35</v>
      </c>
      <c r="X43">
        <v>30</v>
      </c>
      <c r="Y43">
        <v>36</v>
      </c>
      <c r="Z43">
        <v>37</v>
      </c>
      <c r="AA43">
        <v>35</v>
      </c>
      <c r="AB43">
        <v>36</v>
      </c>
      <c r="AC43">
        <v>41</v>
      </c>
      <c r="AD43">
        <v>32</v>
      </c>
      <c r="AE43">
        <v>43</v>
      </c>
      <c r="AF43">
        <v>46</v>
      </c>
      <c r="AG43">
        <v>36</v>
      </c>
      <c r="AH43">
        <v>42</v>
      </c>
      <c r="AI43">
        <v>38</v>
      </c>
      <c r="AJ43">
        <v>33</v>
      </c>
      <c r="AK43">
        <v>31</v>
      </c>
      <c r="AL43">
        <v>30</v>
      </c>
      <c r="AM43">
        <v>26</v>
      </c>
      <c r="AN43">
        <v>42</v>
      </c>
      <c r="AO43">
        <v>45</v>
      </c>
      <c r="AP43">
        <v>43</v>
      </c>
      <c r="AQ43">
        <v>45</v>
      </c>
      <c r="AR43">
        <v>52</v>
      </c>
      <c r="AS43">
        <v>57</v>
      </c>
      <c r="AT43">
        <v>54</v>
      </c>
      <c r="AU43">
        <v>55</v>
      </c>
      <c r="AV43">
        <v>48</v>
      </c>
      <c r="AW43">
        <v>59</v>
      </c>
      <c r="AX43">
        <v>50</v>
      </c>
      <c r="AY43">
        <v>53</v>
      </c>
      <c r="AZ43">
        <v>51</v>
      </c>
      <c r="BA43">
        <v>56</v>
      </c>
      <c r="BB43">
        <v>57</v>
      </c>
      <c r="BC43">
        <v>54</v>
      </c>
    </row>
    <row r="44" spans="1:55" x14ac:dyDescent="0.25">
      <c r="A44" t="s">
        <v>3678</v>
      </c>
      <c r="B44" t="s">
        <v>147</v>
      </c>
      <c r="C44" t="s">
        <v>85</v>
      </c>
      <c r="D44">
        <v>108</v>
      </c>
      <c r="E44">
        <v>37.119999999999997</v>
      </c>
      <c r="F44">
        <v>22</v>
      </c>
      <c r="G44">
        <v>29</v>
      </c>
      <c r="H44">
        <v>30</v>
      </c>
      <c r="I44">
        <v>19</v>
      </c>
      <c r="J44">
        <v>18</v>
      </c>
      <c r="K44">
        <v>21</v>
      </c>
      <c r="L44">
        <v>20</v>
      </c>
      <c r="M44">
        <v>28</v>
      </c>
      <c r="N44">
        <v>29</v>
      </c>
      <c r="O44">
        <v>31</v>
      </c>
      <c r="P44">
        <v>41</v>
      </c>
      <c r="Q44">
        <v>30</v>
      </c>
      <c r="R44">
        <v>40</v>
      </c>
      <c r="S44">
        <v>28</v>
      </c>
      <c r="T44">
        <v>40</v>
      </c>
      <c r="U44">
        <v>44</v>
      </c>
      <c r="V44">
        <v>45</v>
      </c>
      <c r="W44">
        <v>35</v>
      </c>
      <c r="X44">
        <v>41</v>
      </c>
      <c r="Y44">
        <v>44</v>
      </c>
      <c r="Z44">
        <v>36</v>
      </c>
      <c r="AA44">
        <v>36</v>
      </c>
      <c r="AB44">
        <v>36</v>
      </c>
      <c r="AC44">
        <v>50</v>
      </c>
      <c r="AD44">
        <v>44</v>
      </c>
      <c r="AE44">
        <v>33</v>
      </c>
      <c r="AF44">
        <v>43</v>
      </c>
      <c r="AG44">
        <v>32</v>
      </c>
      <c r="AH44">
        <v>40</v>
      </c>
      <c r="AI44">
        <v>45</v>
      </c>
      <c r="AJ44">
        <v>22</v>
      </c>
      <c r="AK44">
        <v>18</v>
      </c>
      <c r="AL44">
        <v>30</v>
      </c>
      <c r="AM44">
        <v>26</v>
      </c>
      <c r="AN44">
        <v>31</v>
      </c>
      <c r="AO44">
        <v>37</v>
      </c>
      <c r="AP44">
        <v>38</v>
      </c>
      <c r="AQ44">
        <v>48</v>
      </c>
      <c r="AR44">
        <v>43</v>
      </c>
      <c r="AS44">
        <v>45</v>
      </c>
      <c r="AT44">
        <v>51</v>
      </c>
      <c r="AU44">
        <v>58</v>
      </c>
      <c r="AV44">
        <v>47</v>
      </c>
      <c r="AW44">
        <v>47</v>
      </c>
      <c r="AX44">
        <v>48</v>
      </c>
      <c r="AY44">
        <v>54</v>
      </c>
      <c r="AZ44">
        <v>41</v>
      </c>
      <c r="BA44">
        <v>51</v>
      </c>
      <c r="BB44">
        <v>44</v>
      </c>
      <c r="BC44">
        <v>47</v>
      </c>
    </row>
    <row r="45" spans="1:55" x14ac:dyDescent="0.25">
      <c r="A45" t="s">
        <v>3679</v>
      </c>
      <c r="B45" t="s">
        <v>148</v>
      </c>
      <c r="C45" t="s">
        <v>85</v>
      </c>
      <c r="D45">
        <v>817</v>
      </c>
      <c r="E45">
        <v>36.58</v>
      </c>
      <c r="F45">
        <v>35</v>
      </c>
      <c r="G45">
        <v>32</v>
      </c>
      <c r="H45">
        <v>29</v>
      </c>
      <c r="I45">
        <v>30</v>
      </c>
      <c r="J45">
        <v>29</v>
      </c>
      <c r="K45">
        <v>30</v>
      </c>
      <c r="L45">
        <v>31</v>
      </c>
      <c r="M45">
        <v>30</v>
      </c>
      <c r="N45">
        <v>32</v>
      </c>
      <c r="O45">
        <v>33</v>
      </c>
      <c r="P45">
        <v>34</v>
      </c>
      <c r="Q45">
        <v>37</v>
      </c>
      <c r="R45">
        <v>35</v>
      </c>
      <c r="S45">
        <v>35</v>
      </c>
      <c r="T45">
        <v>34</v>
      </c>
      <c r="U45">
        <v>35</v>
      </c>
      <c r="V45">
        <v>32</v>
      </c>
      <c r="W45">
        <v>36</v>
      </c>
      <c r="X45">
        <v>32</v>
      </c>
      <c r="Y45">
        <v>34</v>
      </c>
      <c r="Z45">
        <v>35</v>
      </c>
      <c r="AA45">
        <v>34</v>
      </c>
      <c r="AB45">
        <v>36</v>
      </c>
      <c r="AC45">
        <v>36</v>
      </c>
      <c r="AD45">
        <v>38</v>
      </c>
      <c r="AE45">
        <v>38</v>
      </c>
      <c r="AF45">
        <v>41</v>
      </c>
      <c r="AG45">
        <v>37</v>
      </c>
      <c r="AH45">
        <v>34</v>
      </c>
      <c r="AI45">
        <v>36</v>
      </c>
      <c r="AJ45">
        <v>21</v>
      </c>
      <c r="AK45">
        <v>25</v>
      </c>
      <c r="AL45">
        <v>26</v>
      </c>
      <c r="AM45">
        <v>29</v>
      </c>
      <c r="AN45">
        <v>32</v>
      </c>
      <c r="AO45">
        <v>37</v>
      </c>
      <c r="AP45">
        <v>40</v>
      </c>
      <c r="AQ45">
        <v>46</v>
      </c>
      <c r="AR45">
        <v>43</v>
      </c>
      <c r="AS45">
        <v>45</v>
      </c>
      <c r="AT45">
        <v>49</v>
      </c>
      <c r="AU45">
        <v>48</v>
      </c>
      <c r="AV45">
        <v>45</v>
      </c>
      <c r="AW45">
        <v>45</v>
      </c>
      <c r="AX45">
        <v>50</v>
      </c>
      <c r="AY45">
        <v>44</v>
      </c>
      <c r="AZ45">
        <v>45</v>
      </c>
      <c r="BA45">
        <v>48</v>
      </c>
      <c r="BB45">
        <v>47</v>
      </c>
      <c r="BC45">
        <v>44</v>
      </c>
    </row>
    <row r="46" spans="1:55" x14ac:dyDescent="0.25">
      <c r="A46" t="s">
        <v>3680</v>
      </c>
      <c r="B46" t="s">
        <v>149</v>
      </c>
      <c r="C46" t="s">
        <v>85</v>
      </c>
      <c r="D46">
        <v>66</v>
      </c>
      <c r="E46">
        <v>34.9</v>
      </c>
      <c r="F46">
        <v>26</v>
      </c>
      <c r="G46">
        <v>26</v>
      </c>
      <c r="H46">
        <v>42</v>
      </c>
      <c r="I46">
        <v>33</v>
      </c>
      <c r="J46">
        <v>28</v>
      </c>
      <c r="K46">
        <v>23</v>
      </c>
      <c r="L46">
        <v>32</v>
      </c>
      <c r="M46">
        <v>27</v>
      </c>
      <c r="N46">
        <v>26</v>
      </c>
      <c r="O46">
        <v>31</v>
      </c>
      <c r="P46">
        <v>40</v>
      </c>
      <c r="Q46">
        <v>41</v>
      </c>
      <c r="R46">
        <v>43</v>
      </c>
      <c r="S46">
        <v>32</v>
      </c>
      <c r="T46">
        <v>39</v>
      </c>
      <c r="U46">
        <v>34</v>
      </c>
      <c r="V46">
        <v>25</v>
      </c>
      <c r="W46">
        <v>35</v>
      </c>
      <c r="X46">
        <v>40</v>
      </c>
      <c r="Y46">
        <v>24</v>
      </c>
      <c r="Z46">
        <v>37</v>
      </c>
      <c r="AA46">
        <v>35</v>
      </c>
      <c r="AB46">
        <v>36</v>
      </c>
      <c r="AC46">
        <v>25</v>
      </c>
      <c r="AD46">
        <v>31</v>
      </c>
      <c r="AE46">
        <v>25</v>
      </c>
      <c r="AF46">
        <v>34</v>
      </c>
      <c r="AG46">
        <v>34</v>
      </c>
      <c r="AH46">
        <v>33</v>
      </c>
      <c r="AI46">
        <v>36</v>
      </c>
      <c r="AJ46">
        <v>26</v>
      </c>
      <c r="AK46">
        <v>28</v>
      </c>
      <c r="AL46">
        <v>33</v>
      </c>
      <c r="AM46">
        <v>27</v>
      </c>
      <c r="AN46">
        <v>34</v>
      </c>
      <c r="AO46">
        <v>30</v>
      </c>
      <c r="AP46">
        <v>50</v>
      </c>
      <c r="AQ46">
        <v>44</v>
      </c>
      <c r="AR46">
        <v>35</v>
      </c>
      <c r="AS46">
        <v>40</v>
      </c>
      <c r="AT46">
        <v>51</v>
      </c>
      <c r="AU46">
        <v>44</v>
      </c>
      <c r="AV46">
        <v>48</v>
      </c>
      <c r="AW46">
        <v>43</v>
      </c>
      <c r="AX46">
        <v>39</v>
      </c>
      <c r="AY46">
        <v>40</v>
      </c>
      <c r="AZ46">
        <v>39</v>
      </c>
      <c r="BA46">
        <v>45</v>
      </c>
      <c r="BB46">
        <v>45</v>
      </c>
      <c r="BC46">
        <v>31</v>
      </c>
    </row>
    <row r="47" spans="1:55" x14ac:dyDescent="0.25">
      <c r="A47" t="s">
        <v>3681</v>
      </c>
      <c r="B47" t="s">
        <v>150</v>
      </c>
      <c r="C47" t="s">
        <v>85</v>
      </c>
      <c r="D47">
        <v>981</v>
      </c>
      <c r="E47">
        <v>28.18</v>
      </c>
      <c r="F47">
        <v>31</v>
      </c>
      <c r="G47">
        <v>23</v>
      </c>
      <c r="H47">
        <v>23</v>
      </c>
      <c r="I47">
        <v>21</v>
      </c>
      <c r="J47">
        <v>17</v>
      </c>
      <c r="K47">
        <v>19</v>
      </c>
      <c r="L47">
        <v>23</v>
      </c>
      <c r="M47">
        <v>22</v>
      </c>
      <c r="N47">
        <v>27</v>
      </c>
      <c r="O47">
        <v>28</v>
      </c>
      <c r="P47">
        <v>26</v>
      </c>
      <c r="Q47">
        <v>30</v>
      </c>
      <c r="R47">
        <v>28</v>
      </c>
      <c r="S47">
        <v>25</v>
      </c>
      <c r="T47">
        <v>29</v>
      </c>
      <c r="U47">
        <v>29</v>
      </c>
      <c r="V47">
        <v>30</v>
      </c>
      <c r="W47">
        <v>30</v>
      </c>
      <c r="X47">
        <v>30</v>
      </c>
      <c r="Y47">
        <v>28</v>
      </c>
      <c r="Z47">
        <v>29</v>
      </c>
      <c r="AA47">
        <v>24</v>
      </c>
      <c r="AB47">
        <v>29</v>
      </c>
      <c r="AC47">
        <v>28</v>
      </c>
      <c r="AD47">
        <v>27</v>
      </c>
      <c r="AE47">
        <v>25</v>
      </c>
      <c r="AF47">
        <v>26</v>
      </c>
      <c r="AG47">
        <v>27</v>
      </c>
      <c r="AH47">
        <v>26</v>
      </c>
      <c r="AI47">
        <v>25</v>
      </c>
      <c r="AJ47">
        <v>17</v>
      </c>
      <c r="AK47">
        <v>23</v>
      </c>
      <c r="AL47">
        <v>21</v>
      </c>
      <c r="AM47">
        <v>21</v>
      </c>
      <c r="AN47">
        <v>27</v>
      </c>
      <c r="AO47">
        <v>27</v>
      </c>
      <c r="AP47">
        <v>29</v>
      </c>
      <c r="AQ47">
        <v>32</v>
      </c>
      <c r="AR47">
        <v>32</v>
      </c>
      <c r="AS47">
        <v>36</v>
      </c>
      <c r="AT47">
        <v>33</v>
      </c>
      <c r="AU47">
        <v>34</v>
      </c>
      <c r="AV47">
        <v>32</v>
      </c>
      <c r="AW47">
        <v>35</v>
      </c>
      <c r="AX47">
        <v>35</v>
      </c>
      <c r="AY47">
        <v>35</v>
      </c>
      <c r="AZ47">
        <v>39</v>
      </c>
      <c r="BA47">
        <v>40</v>
      </c>
      <c r="BB47">
        <v>41</v>
      </c>
      <c r="BC47">
        <v>35</v>
      </c>
    </row>
    <row r="48" spans="1:55" x14ac:dyDescent="0.25">
      <c r="A48" t="s">
        <v>3682</v>
      </c>
      <c r="B48" t="s">
        <v>151</v>
      </c>
      <c r="C48" t="s">
        <v>85</v>
      </c>
      <c r="D48">
        <v>409</v>
      </c>
      <c r="E48">
        <v>28.08</v>
      </c>
      <c r="F48">
        <v>30</v>
      </c>
      <c r="G48">
        <v>23</v>
      </c>
      <c r="H48">
        <v>19</v>
      </c>
      <c r="I48">
        <v>18</v>
      </c>
      <c r="J48">
        <v>14</v>
      </c>
      <c r="K48">
        <v>16</v>
      </c>
      <c r="L48">
        <v>25</v>
      </c>
      <c r="M48">
        <v>23</v>
      </c>
      <c r="N48">
        <v>28</v>
      </c>
      <c r="O48">
        <v>29</v>
      </c>
      <c r="P48">
        <v>29</v>
      </c>
      <c r="Q48">
        <v>32</v>
      </c>
      <c r="R48">
        <v>31</v>
      </c>
      <c r="S48">
        <v>26</v>
      </c>
      <c r="T48">
        <v>32</v>
      </c>
      <c r="U48">
        <v>31</v>
      </c>
      <c r="V48">
        <v>33</v>
      </c>
      <c r="W48">
        <v>33</v>
      </c>
      <c r="X48">
        <v>33</v>
      </c>
      <c r="Y48">
        <v>29</v>
      </c>
      <c r="Z48">
        <v>29</v>
      </c>
      <c r="AA48">
        <v>26</v>
      </c>
      <c r="AB48">
        <v>29</v>
      </c>
      <c r="AC48">
        <v>29</v>
      </c>
      <c r="AD48">
        <v>30</v>
      </c>
      <c r="AE48">
        <v>27</v>
      </c>
      <c r="AF48">
        <v>28</v>
      </c>
      <c r="AG48">
        <v>28</v>
      </c>
      <c r="AH48">
        <v>26</v>
      </c>
      <c r="AI48">
        <v>26</v>
      </c>
      <c r="AJ48">
        <v>14</v>
      </c>
      <c r="AK48">
        <v>25</v>
      </c>
      <c r="AL48">
        <v>20</v>
      </c>
      <c r="AM48">
        <v>23</v>
      </c>
      <c r="AN48">
        <v>27</v>
      </c>
      <c r="AO48">
        <v>25</v>
      </c>
      <c r="AP48">
        <v>28</v>
      </c>
      <c r="AQ48">
        <v>29</v>
      </c>
      <c r="AR48">
        <v>32</v>
      </c>
      <c r="AS48">
        <v>36</v>
      </c>
      <c r="AT48">
        <v>32</v>
      </c>
      <c r="AU48">
        <v>31</v>
      </c>
      <c r="AV48">
        <v>33</v>
      </c>
      <c r="AW48">
        <v>35</v>
      </c>
      <c r="AX48">
        <v>34</v>
      </c>
      <c r="AY48">
        <v>33</v>
      </c>
      <c r="AZ48">
        <v>32</v>
      </c>
      <c r="BA48">
        <v>33</v>
      </c>
      <c r="BB48">
        <v>39</v>
      </c>
      <c r="BC48">
        <v>31</v>
      </c>
    </row>
    <row r="49" spans="1:55" x14ac:dyDescent="0.25">
      <c r="A49" t="s">
        <v>3683</v>
      </c>
      <c r="B49" t="s">
        <v>152</v>
      </c>
      <c r="C49" t="s">
        <v>85</v>
      </c>
      <c r="D49">
        <v>57</v>
      </c>
      <c r="E49">
        <v>26.7</v>
      </c>
      <c r="F49">
        <v>27</v>
      </c>
      <c r="G49">
        <v>22</v>
      </c>
      <c r="H49">
        <v>23</v>
      </c>
      <c r="I49">
        <v>25</v>
      </c>
      <c r="J49">
        <v>25</v>
      </c>
      <c r="K49">
        <v>25</v>
      </c>
      <c r="L49">
        <v>22</v>
      </c>
      <c r="M49">
        <v>20</v>
      </c>
      <c r="N49">
        <v>24</v>
      </c>
      <c r="O49">
        <v>23</v>
      </c>
      <c r="P49">
        <v>20</v>
      </c>
      <c r="Q49">
        <v>23</v>
      </c>
      <c r="R49">
        <v>26</v>
      </c>
      <c r="S49">
        <v>26</v>
      </c>
      <c r="T49">
        <v>19</v>
      </c>
      <c r="U49">
        <v>25</v>
      </c>
      <c r="V49">
        <v>25</v>
      </c>
      <c r="W49">
        <v>26</v>
      </c>
      <c r="X49">
        <v>23</v>
      </c>
      <c r="Y49">
        <v>27</v>
      </c>
      <c r="Z49">
        <v>32</v>
      </c>
      <c r="AA49">
        <v>19</v>
      </c>
      <c r="AB49">
        <v>26</v>
      </c>
      <c r="AC49">
        <v>27</v>
      </c>
      <c r="AD49">
        <v>18</v>
      </c>
      <c r="AE49">
        <v>23</v>
      </c>
      <c r="AF49">
        <v>18</v>
      </c>
      <c r="AG49">
        <v>20</v>
      </c>
      <c r="AH49">
        <v>20</v>
      </c>
      <c r="AI49">
        <v>23</v>
      </c>
      <c r="AJ49">
        <v>6</v>
      </c>
      <c r="AK49">
        <v>15</v>
      </c>
      <c r="AL49">
        <v>15</v>
      </c>
      <c r="AM49">
        <v>15</v>
      </c>
      <c r="AN49">
        <v>30</v>
      </c>
      <c r="AO49">
        <v>30</v>
      </c>
      <c r="AP49">
        <v>32</v>
      </c>
      <c r="AQ49">
        <v>32</v>
      </c>
      <c r="AR49">
        <v>34</v>
      </c>
      <c r="AS49">
        <v>38</v>
      </c>
      <c r="AT49">
        <v>35</v>
      </c>
      <c r="AU49">
        <v>37</v>
      </c>
      <c r="AV49">
        <v>29</v>
      </c>
      <c r="AW49">
        <v>34</v>
      </c>
      <c r="AX49">
        <v>46</v>
      </c>
      <c r="AY49">
        <v>35</v>
      </c>
      <c r="AZ49">
        <v>39</v>
      </c>
      <c r="BA49">
        <v>52</v>
      </c>
      <c r="BB49">
        <v>44</v>
      </c>
      <c r="BC49">
        <v>35</v>
      </c>
    </row>
    <row r="50" spans="1:55" x14ac:dyDescent="0.25">
      <c r="A50" t="s">
        <v>3684</v>
      </c>
      <c r="B50" t="s">
        <v>153</v>
      </c>
      <c r="C50" t="s">
        <v>85</v>
      </c>
      <c r="D50">
        <v>968</v>
      </c>
      <c r="E50">
        <v>29.38</v>
      </c>
      <c r="F50">
        <v>27</v>
      </c>
      <c r="G50">
        <v>19</v>
      </c>
      <c r="H50">
        <v>22</v>
      </c>
      <c r="I50">
        <v>19</v>
      </c>
      <c r="J50">
        <v>19</v>
      </c>
      <c r="K50">
        <v>20</v>
      </c>
      <c r="L50">
        <v>20</v>
      </c>
      <c r="M50">
        <v>20</v>
      </c>
      <c r="N50">
        <v>26</v>
      </c>
      <c r="O50">
        <v>24</v>
      </c>
      <c r="P50">
        <v>24</v>
      </c>
      <c r="Q50">
        <v>24</v>
      </c>
      <c r="R50">
        <v>25</v>
      </c>
      <c r="S50">
        <v>22</v>
      </c>
      <c r="T50">
        <v>27</v>
      </c>
      <c r="U50">
        <v>26</v>
      </c>
      <c r="V50">
        <v>25</v>
      </c>
      <c r="W50">
        <v>26</v>
      </c>
      <c r="X50">
        <v>28</v>
      </c>
      <c r="Y50">
        <v>25</v>
      </c>
      <c r="Z50">
        <v>25</v>
      </c>
      <c r="AA50">
        <v>28</v>
      </c>
      <c r="AB50">
        <v>27</v>
      </c>
      <c r="AC50">
        <v>28</v>
      </c>
      <c r="AD50">
        <v>32</v>
      </c>
      <c r="AE50">
        <v>31</v>
      </c>
      <c r="AF50">
        <v>31</v>
      </c>
      <c r="AG50">
        <v>33</v>
      </c>
      <c r="AH50">
        <v>30</v>
      </c>
      <c r="AI50">
        <v>31</v>
      </c>
      <c r="AJ50">
        <v>19</v>
      </c>
      <c r="AK50">
        <v>25</v>
      </c>
      <c r="AL50">
        <v>23</v>
      </c>
      <c r="AM50">
        <v>26</v>
      </c>
      <c r="AN50">
        <v>31</v>
      </c>
      <c r="AO50">
        <v>32</v>
      </c>
      <c r="AP50">
        <v>38</v>
      </c>
      <c r="AQ50">
        <v>35</v>
      </c>
      <c r="AR50">
        <v>34</v>
      </c>
      <c r="AS50">
        <v>37</v>
      </c>
      <c r="AT50">
        <v>35</v>
      </c>
      <c r="AU50">
        <v>38</v>
      </c>
      <c r="AV50">
        <v>41</v>
      </c>
      <c r="AW50">
        <v>41</v>
      </c>
      <c r="AX50">
        <v>40</v>
      </c>
      <c r="AY50">
        <v>41</v>
      </c>
      <c r="AZ50">
        <v>41</v>
      </c>
      <c r="BA50">
        <v>44</v>
      </c>
      <c r="BB50">
        <v>44</v>
      </c>
      <c r="BC50">
        <v>40</v>
      </c>
    </row>
    <row r="51" spans="1:55" x14ac:dyDescent="0.25">
      <c r="A51" t="s">
        <v>3685</v>
      </c>
      <c r="B51" t="s">
        <v>154</v>
      </c>
      <c r="C51" t="s">
        <v>85</v>
      </c>
      <c r="D51">
        <v>109</v>
      </c>
      <c r="E51">
        <v>32.54</v>
      </c>
      <c r="F51">
        <v>27</v>
      </c>
      <c r="G51">
        <v>28</v>
      </c>
      <c r="H51">
        <v>29</v>
      </c>
      <c r="I51">
        <v>21</v>
      </c>
      <c r="J51">
        <v>17</v>
      </c>
      <c r="K51">
        <v>23</v>
      </c>
      <c r="L51">
        <v>32</v>
      </c>
      <c r="M51">
        <v>20</v>
      </c>
      <c r="N51">
        <v>26</v>
      </c>
      <c r="O51">
        <v>28</v>
      </c>
      <c r="P51">
        <v>25</v>
      </c>
      <c r="Q51">
        <v>29</v>
      </c>
      <c r="R51">
        <v>26</v>
      </c>
      <c r="S51">
        <v>24</v>
      </c>
      <c r="T51">
        <v>33</v>
      </c>
      <c r="U51">
        <v>27</v>
      </c>
      <c r="V51">
        <v>28</v>
      </c>
      <c r="W51">
        <v>28</v>
      </c>
      <c r="X51">
        <v>31</v>
      </c>
      <c r="Y51">
        <v>27</v>
      </c>
      <c r="Z51">
        <v>28</v>
      </c>
      <c r="AA51">
        <v>25</v>
      </c>
      <c r="AB51">
        <v>22</v>
      </c>
      <c r="AC51">
        <v>34</v>
      </c>
      <c r="AD51">
        <v>33</v>
      </c>
      <c r="AE51">
        <v>22</v>
      </c>
      <c r="AF51">
        <v>28</v>
      </c>
      <c r="AG51">
        <v>38</v>
      </c>
      <c r="AH51">
        <v>36</v>
      </c>
      <c r="AI51">
        <v>43</v>
      </c>
      <c r="AJ51">
        <v>28</v>
      </c>
      <c r="AK51">
        <v>32</v>
      </c>
      <c r="AL51">
        <v>27</v>
      </c>
      <c r="AM51">
        <v>32</v>
      </c>
      <c r="AN51">
        <v>33</v>
      </c>
      <c r="AO51">
        <v>28</v>
      </c>
      <c r="AP51">
        <v>38</v>
      </c>
      <c r="AQ51">
        <v>44</v>
      </c>
      <c r="AR51">
        <v>39</v>
      </c>
      <c r="AS51">
        <v>47</v>
      </c>
      <c r="AT51">
        <v>41</v>
      </c>
      <c r="AU51">
        <v>43</v>
      </c>
      <c r="AV51">
        <v>49</v>
      </c>
      <c r="AW51">
        <v>44</v>
      </c>
      <c r="AX51">
        <v>42</v>
      </c>
      <c r="AY51">
        <v>44</v>
      </c>
      <c r="AZ51">
        <v>44</v>
      </c>
      <c r="BA51">
        <v>43</v>
      </c>
      <c r="BB51">
        <v>51</v>
      </c>
      <c r="BC51">
        <v>40</v>
      </c>
    </row>
    <row r="52" spans="1:55" x14ac:dyDescent="0.25">
      <c r="A52" t="s">
        <v>3686</v>
      </c>
      <c r="B52" t="s">
        <v>155</v>
      </c>
      <c r="C52" t="s">
        <v>85</v>
      </c>
      <c r="D52">
        <v>248</v>
      </c>
      <c r="E52">
        <v>42.92</v>
      </c>
      <c r="F52">
        <v>42</v>
      </c>
      <c r="G52">
        <v>42</v>
      </c>
      <c r="H52">
        <v>39</v>
      </c>
      <c r="I52">
        <v>42</v>
      </c>
      <c r="J52">
        <v>34</v>
      </c>
      <c r="K52">
        <v>31</v>
      </c>
      <c r="L52">
        <v>34</v>
      </c>
      <c r="M52">
        <v>39</v>
      </c>
      <c r="N52">
        <v>36</v>
      </c>
      <c r="O52">
        <v>41</v>
      </c>
      <c r="P52">
        <v>40</v>
      </c>
      <c r="Q52">
        <v>42</v>
      </c>
      <c r="R52">
        <v>47</v>
      </c>
      <c r="S52">
        <v>41</v>
      </c>
      <c r="T52">
        <v>45</v>
      </c>
      <c r="U52">
        <v>46</v>
      </c>
      <c r="V52">
        <v>45</v>
      </c>
      <c r="W52">
        <v>46</v>
      </c>
      <c r="X52">
        <v>46</v>
      </c>
      <c r="Y52">
        <v>44</v>
      </c>
      <c r="Z52">
        <v>43</v>
      </c>
      <c r="AA52">
        <v>46</v>
      </c>
      <c r="AB52">
        <v>49</v>
      </c>
      <c r="AC52">
        <v>40</v>
      </c>
      <c r="AD52">
        <v>43</v>
      </c>
      <c r="AE52">
        <v>42</v>
      </c>
      <c r="AF52">
        <v>46</v>
      </c>
      <c r="AG52">
        <v>38</v>
      </c>
      <c r="AH52">
        <v>45</v>
      </c>
      <c r="AI52">
        <v>45</v>
      </c>
      <c r="AJ52">
        <v>27</v>
      </c>
      <c r="AK52">
        <v>31</v>
      </c>
      <c r="AL52">
        <v>31</v>
      </c>
      <c r="AM52">
        <v>29</v>
      </c>
      <c r="AN52">
        <v>38</v>
      </c>
      <c r="AO52">
        <v>39</v>
      </c>
      <c r="AP52">
        <v>44</v>
      </c>
      <c r="AQ52">
        <v>46</v>
      </c>
      <c r="AR52">
        <v>51</v>
      </c>
      <c r="AS52">
        <v>49</v>
      </c>
      <c r="AT52">
        <v>53</v>
      </c>
      <c r="AU52">
        <v>50</v>
      </c>
      <c r="AV52">
        <v>42</v>
      </c>
      <c r="AW52">
        <v>50</v>
      </c>
      <c r="AX52">
        <v>47</v>
      </c>
      <c r="AY52">
        <v>50</v>
      </c>
      <c r="AZ52">
        <v>50</v>
      </c>
      <c r="BA52">
        <v>53</v>
      </c>
      <c r="BB52">
        <v>55</v>
      </c>
      <c r="BC52">
        <v>52</v>
      </c>
    </row>
    <row r="53" spans="1:55" x14ac:dyDescent="0.25">
      <c r="A53" t="s">
        <v>3687</v>
      </c>
      <c r="B53" t="s">
        <v>156</v>
      </c>
      <c r="C53" t="s">
        <v>85</v>
      </c>
      <c r="D53">
        <v>127</v>
      </c>
      <c r="E53">
        <v>41.12</v>
      </c>
      <c r="F53">
        <v>29</v>
      </c>
      <c r="G53">
        <v>29</v>
      </c>
      <c r="H53">
        <v>39</v>
      </c>
      <c r="I53">
        <v>38</v>
      </c>
      <c r="J53">
        <v>31</v>
      </c>
      <c r="K53">
        <v>34</v>
      </c>
      <c r="L53">
        <v>43</v>
      </c>
      <c r="M53">
        <v>38</v>
      </c>
      <c r="N53">
        <v>35</v>
      </c>
      <c r="O53">
        <v>48</v>
      </c>
      <c r="P53">
        <v>37</v>
      </c>
      <c r="Q53">
        <v>33</v>
      </c>
      <c r="R53">
        <v>37</v>
      </c>
      <c r="S53">
        <v>32</v>
      </c>
      <c r="T53">
        <v>43</v>
      </c>
      <c r="U53">
        <v>43</v>
      </c>
      <c r="V53">
        <v>38</v>
      </c>
      <c r="W53">
        <v>39</v>
      </c>
      <c r="X53">
        <v>36</v>
      </c>
      <c r="Y53">
        <v>45</v>
      </c>
      <c r="Z53">
        <v>37</v>
      </c>
      <c r="AA53">
        <v>32</v>
      </c>
      <c r="AB53">
        <v>42</v>
      </c>
      <c r="AC53">
        <v>41</v>
      </c>
      <c r="AD53">
        <v>35</v>
      </c>
      <c r="AE53">
        <v>43</v>
      </c>
      <c r="AF53">
        <v>42</v>
      </c>
      <c r="AG53">
        <v>32</v>
      </c>
      <c r="AH53">
        <v>36</v>
      </c>
      <c r="AI53">
        <v>34</v>
      </c>
      <c r="AJ53">
        <v>24</v>
      </c>
      <c r="AK53">
        <v>26</v>
      </c>
      <c r="AL53">
        <v>37</v>
      </c>
      <c r="AM53">
        <v>35</v>
      </c>
      <c r="AN53">
        <v>36</v>
      </c>
      <c r="AO53">
        <v>40</v>
      </c>
      <c r="AP53">
        <v>45</v>
      </c>
      <c r="AQ53">
        <v>50</v>
      </c>
      <c r="AR53">
        <v>48</v>
      </c>
      <c r="AS53">
        <v>53</v>
      </c>
      <c r="AT53">
        <v>52</v>
      </c>
      <c r="AU53">
        <v>51</v>
      </c>
      <c r="AV53">
        <v>50</v>
      </c>
      <c r="AW53">
        <v>52</v>
      </c>
      <c r="AX53">
        <v>54</v>
      </c>
      <c r="AY53">
        <v>50</v>
      </c>
      <c r="AZ53">
        <v>56</v>
      </c>
      <c r="BA53">
        <v>60</v>
      </c>
      <c r="BB53">
        <v>58</v>
      </c>
      <c r="BC53">
        <v>58</v>
      </c>
    </row>
    <row r="54" spans="1:55" x14ac:dyDescent="0.25">
      <c r="A54" t="s">
        <v>3688</v>
      </c>
      <c r="B54" t="s">
        <v>157</v>
      </c>
      <c r="C54" t="s">
        <v>85</v>
      </c>
      <c r="D54">
        <v>112</v>
      </c>
      <c r="E54">
        <v>49.98</v>
      </c>
      <c r="F54">
        <v>48</v>
      </c>
      <c r="G54">
        <v>41</v>
      </c>
      <c r="H54">
        <v>41</v>
      </c>
      <c r="I54">
        <v>35</v>
      </c>
      <c r="J54">
        <v>37</v>
      </c>
      <c r="K54">
        <v>39</v>
      </c>
      <c r="L54">
        <v>46</v>
      </c>
      <c r="M54">
        <v>60</v>
      </c>
      <c r="N54">
        <v>56</v>
      </c>
      <c r="O54">
        <v>58</v>
      </c>
      <c r="P54">
        <v>49</v>
      </c>
      <c r="Q54">
        <v>59</v>
      </c>
      <c r="R54">
        <v>58</v>
      </c>
      <c r="S54">
        <v>53</v>
      </c>
      <c r="T54">
        <v>53</v>
      </c>
      <c r="U54">
        <v>52</v>
      </c>
      <c r="V54">
        <v>49</v>
      </c>
      <c r="W54">
        <v>44</v>
      </c>
      <c r="X54">
        <v>49</v>
      </c>
      <c r="Y54">
        <v>46</v>
      </c>
      <c r="Z54">
        <v>51</v>
      </c>
      <c r="AA54">
        <v>44</v>
      </c>
      <c r="AB54">
        <v>39</v>
      </c>
      <c r="AC54">
        <v>48</v>
      </c>
      <c r="AD54">
        <v>44</v>
      </c>
      <c r="AE54">
        <v>37</v>
      </c>
      <c r="AF54">
        <v>37</v>
      </c>
      <c r="AG54">
        <v>40</v>
      </c>
      <c r="AH54">
        <v>38</v>
      </c>
      <c r="AI54">
        <v>48</v>
      </c>
      <c r="AJ54">
        <v>24</v>
      </c>
      <c r="AK54">
        <v>33</v>
      </c>
      <c r="AL54">
        <v>33</v>
      </c>
      <c r="AM54">
        <v>38</v>
      </c>
      <c r="AN54">
        <v>44</v>
      </c>
      <c r="AO54">
        <v>45</v>
      </c>
      <c r="AP54">
        <v>53</v>
      </c>
      <c r="AQ54">
        <v>58</v>
      </c>
      <c r="AR54">
        <v>56</v>
      </c>
      <c r="AS54">
        <v>55</v>
      </c>
      <c r="AT54">
        <v>68</v>
      </c>
      <c r="AU54">
        <v>58</v>
      </c>
      <c r="AV54">
        <v>64</v>
      </c>
      <c r="AW54">
        <v>72</v>
      </c>
      <c r="AX54">
        <v>68</v>
      </c>
      <c r="AY54">
        <v>68</v>
      </c>
      <c r="AZ54">
        <v>63</v>
      </c>
      <c r="BA54">
        <v>67</v>
      </c>
      <c r="BB54">
        <v>63</v>
      </c>
      <c r="BC54">
        <v>70</v>
      </c>
    </row>
    <row r="55" spans="1:55" x14ac:dyDescent="0.25">
      <c r="A55" t="s">
        <v>3689</v>
      </c>
      <c r="B55" t="s">
        <v>158</v>
      </c>
      <c r="C55" t="s">
        <v>85</v>
      </c>
      <c r="D55">
        <v>308</v>
      </c>
      <c r="E55">
        <v>33.26</v>
      </c>
      <c r="F55">
        <v>38</v>
      </c>
      <c r="G55">
        <v>30</v>
      </c>
      <c r="H55">
        <v>33</v>
      </c>
      <c r="I55">
        <v>25</v>
      </c>
      <c r="J55">
        <v>26</v>
      </c>
      <c r="K55">
        <v>26</v>
      </c>
      <c r="L55">
        <v>34</v>
      </c>
      <c r="M55">
        <v>32</v>
      </c>
      <c r="N55">
        <v>31</v>
      </c>
      <c r="O55">
        <v>39</v>
      </c>
      <c r="P55">
        <v>34</v>
      </c>
      <c r="Q55">
        <v>37</v>
      </c>
      <c r="R55">
        <v>34</v>
      </c>
      <c r="S55">
        <v>37</v>
      </c>
      <c r="T55">
        <v>35</v>
      </c>
      <c r="U55">
        <v>32</v>
      </c>
      <c r="V55">
        <v>31</v>
      </c>
      <c r="W55">
        <v>35</v>
      </c>
      <c r="X55">
        <v>30</v>
      </c>
      <c r="Y55">
        <v>24</v>
      </c>
      <c r="Z55">
        <v>32</v>
      </c>
      <c r="AA55">
        <v>30</v>
      </c>
      <c r="AB55">
        <v>29</v>
      </c>
      <c r="AC55">
        <v>36</v>
      </c>
      <c r="AD55">
        <v>34</v>
      </c>
      <c r="AE55">
        <v>30</v>
      </c>
      <c r="AF55">
        <v>41</v>
      </c>
      <c r="AG55">
        <v>39</v>
      </c>
      <c r="AH55">
        <v>33</v>
      </c>
      <c r="AI55">
        <v>25</v>
      </c>
      <c r="AJ55">
        <v>24</v>
      </c>
      <c r="AK55">
        <v>25</v>
      </c>
      <c r="AL55">
        <v>27</v>
      </c>
      <c r="AM55">
        <v>23</v>
      </c>
      <c r="AN55">
        <v>27</v>
      </c>
      <c r="AO55">
        <v>28</v>
      </c>
      <c r="AP55">
        <v>32</v>
      </c>
      <c r="AQ55">
        <v>37</v>
      </c>
      <c r="AR55">
        <v>37</v>
      </c>
      <c r="AS55">
        <v>41</v>
      </c>
      <c r="AT55">
        <v>38</v>
      </c>
      <c r="AU55">
        <v>35</v>
      </c>
      <c r="AV55">
        <v>41</v>
      </c>
      <c r="AW55">
        <v>37</v>
      </c>
      <c r="AX55">
        <v>41</v>
      </c>
      <c r="AY55">
        <v>38</v>
      </c>
      <c r="AZ55">
        <v>39</v>
      </c>
      <c r="BA55">
        <v>45</v>
      </c>
      <c r="BB55">
        <v>37</v>
      </c>
      <c r="BC55">
        <v>39</v>
      </c>
    </row>
    <row r="56" spans="1:55" x14ac:dyDescent="0.25">
      <c r="A56" t="s">
        <v>3690</v>
      </c>
      <c r="B56" t="s">
        <v>159</v>
      </c>
      <c r="C56" t="s">
        <v>85</v>
      </c>
      <c r="D56">
        <v>231</v>
      </c>
      <c r="E56">
        <v>41.3</v>
      </c>
      <c r="F56">
        <v>37</v>
      </c>
      <c r="G56">
        <v>42</v>
      </c>
      <c r="H56">
        <v>35</v>
      </c>
      <c r="I56">
        <v>40</v>
      </c>
      <c r="J56">
        <v>35</v>
      </c>
      <c r="K56">
        <v>29</v>
      </c>
      <c r="L56">
        <v>35</v>
      </c>
      <c r="M56">
        <v>32</v>
      </c>
      <c r="N56">
        <v>34</v>
      </c>
      <c r="O56">
        <v>35</v>
      </c>
      <c r="P56">
        <v>36</v>
      </c>
      <c r="Q56">
        <v>39</v>
      </c>
      <c r="R56">
        <v>42</v>
      </c>
      <c r="S56">
        <v>36</v>
      </c>
      <c r="T56">
        <v>37</v>
      </c>
      <c r="U56">
        <v>41</v>
      </c>
      <c r="V56">
        <v>39</v>
      </c>
      <c r="W56">
        <v>37</v>
      </c>
      <c r="X56">
        <v>35</v>
      </c>
      <c r="Y56">
        <v>40</v>
      </c>
      <c r="Z56">
        <v>41</v>
      </c>
      <c r="AA56">
        <v>40</v>
      </c>
      <c r="AB56">
        <v>45</v>
      </c>
      <c r="AC56">
        <v>44</v>
      </c>
      <c r="AD56">
        <v>43</v>
      </c>
      <c r="AE56">
        <v>39</v>
      </c>
      <c r="AF56">
        <v>45</v>
      </c>
      <c r="AG56">
        <v>35</v>
      </c>
      <c r="AH56">
        <v>39</v>
      </c>
      <c r="AI56">
        <v>41</v>
      </c>
      <c r="AJ56">
        <v>31</v>
      </c>
      <c r="AK56">
        <v>32</v>
      </c>
      <c r="AL56">
        <v>31</v>
      </c>
      <c r="AM56">
        <v>39</v>
      </c>
      <c r="AN56">
        <v>41</v>
      </c>
      <c r="AO56">
        <v>41</v>
      </c>
      <c r="AP56">
        <v>46</v>
      </c>
      <c r="AQ56">
        <v>59</v>
      </c>
      <c r="AR56">
        <v>48</v>
      </c>
      <c r="AS56">
        <v>54</v>
      </c>
      <c r="AT56">
        <v>50</v>
      </c>
      <c r="AU56">
        <v>54</v>
      </c>
      <c r="AV56">
        <v>44</v>
      </c>
      <c r="AW56">
        <v>50</v>
      </c>
      <c r="AX56">
        <v>49</v>
      </c>
      <c r="AY56">
        <v>49</v>
      </c>
      <c r="AZ56">
        <v>47</v>
      </c>
      <c r="BA56">
        <v>54</v>
      </c>
      <c r="BB56">
        <v>47</v>
      </c>
      <c r="BC56">
        <v>51</v>
      </c>
    </row>
    <row r="57" spans="1:55" x14ac:dyDescent="0.25">
      <c r="A57" t="s">
        <v>3691</v>
      </c>
      <c r="B57" t="s">
        <v>160</v>
      </c>
      <c r="C57" t="s">
        <v>85</v>
      </c>
      <c r="D57">
        <v>723</v>
      </c>
      <c r="E57">
        <v>29.28</v>
      </c>
      <c r="F57">
        <v>26</v>
      </c>
      <c r="G57">
        <v>27</v>
      </c>
      <c r="H57">
        <v>25</v>
      </c>
      <c r="I57">
        <v>24</v>
      </c>
      <c r="J57">
        <v>23</v>
      </c>
      <c r="K57">
        <v>19</v>
      </c>
      <c r="L57">
        <v>25</v>
      </c>
      <c r="M57">
        <v>23</v>
      </c>
      <c r="N57">
        <v>23</v>
      </c>
      <c r="O57">
        <v>26</v>
      </c>
      <c r="P57">
        <v>27</v>
      </c>
      <c r="Q57">
        <v>28</v>
      </c>
      <c r="R57">
        <v>27</v>
      </c>
      <c r="S57">
        <v>29</v>
      </c>
      <c r="T57">
        <v>27</v>
      </c>
      <c r="U57">
        <v>30</v>
      </c>
      <c r="V57">
        <v>26</v>
      </c>
      <c r="W57">
        <v>28</v>
      </c>
      <c r="X57">
        <v>27</v>
      </c>
      <c r="Y57">
        <v>27</v>
      </c>
      <c r="Z57">
        <v>29</v>
      </c>
      <c r="AA57">
        <v>27</v>
      </c>
      <c r="AB57">
        <v>29</v>
      </c>
      <c r="AC57">
        <v>27</v>
      </c>
      <c r="AD57">
        <v>30</v>
      </c>
      <c r="AE57">
        <v>31</v>
      </c>
      <c r="AF57">
        <v>33</v>
      </c>
      <c r="AG57">
        <v>30</v>
      </c>
      <c r="AH57">
        <v>29</v>
      </c>
      <c r="AI57">
        <v>27</v>
      </c>
      <c r="AJ57">
        <v>19</v>
      </c>
      <c r="AK57">
        <v>21</v>
      </c>
      <c r="AL57">
        <v>19</v>
      </c>
      <c r="AM57">
        <v>22</v>
      </c>
      <c r="AN57">
        <v>28</v>
      </c>
      <c r="AO57">
        <v>28</v>
      </c>
      <c r="AP57">
        <v>31</v>
      </c>
      <c r="AQ57">
        <v>36</v>
      </c>
      <c r="AR57">
        <v>32</v>
      </c>
      <c r="AS57">
        <v>37</v>
      </c>
      <c r="AT57">
        <v>36</v>
      </c>
      <c r="AU57">
        <v>37</v>
      </c>
      <c r="AV57">
        <v>38</v>
      </c>
      <c r="AW57">
        <v>38</v>
      </c>
      <c r="AX57">
        <v>41</v>
      </c>
      <c r="AY57">
        <v>37</v>
      </c>
      <c r="AZ57">
        <v>39</v>
      </c>
      <c r="BA57">
        <v>39</v>
      </c>
      <c r="BB57">
        <v>41</v>
      </c>
      <c r="BC57">
        <v>36</v>
      </c>
    </row>
    <row r="58" spans="1:55" x14ac:dyDescent="0.25">
      <c r="A58" t="s">
        <v>3692</v>
      </c>
      <c r="B58" t="s">
        <v>244</v>
      </c>
      <c r="C58" t="s">
        <v>85</v>
      </c>
      <c r="D58">
        <v>838</v>
      </c>
      <c r="E58">
        <v>37.04</v>
      </c>
      <c r="F58">
        <v>31</v>
      </c>
      <c r="G58">
        <v>31</v>
      </c>
      <c r="H58">
        <v>31</v>
      </c>
      <c r="I58">
        <v>31</v>
      </c>
      <c r="J58">
        <v>27</v>
      </c>
      <c r="K58">
        <v>26</v>
      </c>
      <c r="L58">
        <v>32</v>
      </c>
      <c r="M58">
        <v>30</v>
      </c>
      <c r="N58">
        <v>34</v>
      </c>
      <c r="O58">
        <v>34</v>
      </c>
      <c r="P58">
        <v>34</v>
      </c>
      <c r="Q58">
        <v>34</v>
      </c>
      <c r="R58">
        <v>33</v>
      </c>
      <c r="S58">
        <v>32</v>
      </c>
      <c r="T58">
        <v>34</v>
      </c>
      <c r="U58">
        <v>37</v>
      </c>
      <c r="V58">
        <v>36</v>
      </c>
      <c r="W58">
        <v>33</v>
      </c>
      <c r="X58">
        <v>32</v>
      </c>
      <c r="Y58">
        <v>34</v>
      </c>
      <c r="Z58">
        <v>33</v>
      </c>
      <c r="AA58">
        <v>32</v>
      </c>
      <c r="AB58">
        <v>32</v>
      </c>
      <c r="AC58">
        <v>39</v>
      </c>
      <c r="AD58">
        <v>37</v>
      </c>
      <c r="AE58">
        <v>34</v>
      </c>
      <c r="AF58">
        <v>36</v>
      </c>
      <c r="AG58">
        <v>37</v>
      </c>
      <c r="AH58">
        <v>35</v>
      </c>
      <c r="AI58">
        <v>36</v>
      </c>
      <c r="AJ58">
        <v>23</v>
      </c>
      <c r="AK58">
        <v>24</v>
      </c>
      <c r="AL58">
        <v>28</v>
      </c>
      <c r="AM58">
        <v>33</v>
      </c>
      <c r="AN58">
        <v>36</v>
      </c>
      <c r="AO58">
        <v>38</v>
      </c>
      <c r="AP58">
        <v>42</v>
      </c>
      <c r="AQ58">
        <v>47</v>
      </c>
      <c r="AR58">
        <v>46</v>
      </c>
      <c r="AS58">
        <v>48</v>
      </c>
      <c r="AT58">
        <v>48</v>
      </c>
      <c r="AU58">
        <v>47</v>
      </c>
      <c r="AV58">
        <v>45</v>
      </c>
      <c r="AW58">
        <v>45</v>
      </c>
      <c r="AX58">
        <v>50</v>
      </c>
      <c r="AY58">
        <v>51</v>
      </c>
      <c r="AZ58">
        <v>49</v>
      </c>
      <c r="BA58">
        <v>52</v>
      </c>
      <c r="BB58">
        <v>52</v>
      </c>
      <c r="BC58">
        <v>51</v>
      </c>
    </row>
    <row r="59" spans="1:55" x14ac:dyDescent="0.25">
      <c r="A59" t="s">
        <v>3693</v>
      </c>
      <c r="B59" t="s">
        <v>245</v>
      </c>
      <c r="C59" t="s">
        <v>85</v>
      </c>
      <c r="D59">
        <v>180</v>
      </c>
      <c r="E59">
        <v>33.6</v>
      </c>
      <c r="F59">
        <v>33</v>
      </c>
      <c r="G59">
        <v>29</v>
      </c>
      <c r="H59">
        <v>28</v>
      </c>
      <c r="I59">
        <v>29</v>
      </c>
      <c r="J59">
        <v>26</v>
      </c>
      <c r="K59">
        <v>22</v>
      </c>
      <c r="L59">
        <v>28</v>
      </c>
      <c r="M59">
        <v>23</v>
      </c>
      <c r="N59">
        <v>29</v>
      </c>
      <c r="O59">
        <v>40</v>
      </c>
      <c r="P59">
        <v>32</v>
      </c>
      <c r="Q59">
        <v>31</v>
      </c>
      <c r="R59">
        <v>31</v>
      </c>
      <c r="S59">
        <v>33</v>
      </c>
      <c r="T59">
        <v>36</v>
      </c>
      <c r="U59">
        <v>33</v>
      </c>
      <c r="V59">
        <v>29</v>
      </c>
      <c r="W59">
        <v>31</v>
      </c>
      <c r="X59">
        <v>31</v>
      </c>
      <c r="Y59">
        <v>34</v>
      </c>
      <c r="Z59">
        <v>26</v>
      </c>
      <c r="AA59">
        <v>30</v>
      </c>
      <c r="AB59">
        <v>29</v>
      </c>
      <c r="AC59">
        <v>32</v>
      </c>
      <c r="AD59">
        <v>24</v>
      </c>
      <c r="AE59">
        <v>31</v>
      </c>
      <c r="AF59">
        <v>31</v>
      </c>
      <c r="AG59">
        <v>35</v>
      </c>
      <c r="AH59">
        <v>30</v>
      </c>
      <c r="AI59">
        <v>33</v>
      </c>
      <c r="AJ59">
        <v>14</v>
      </c>
      <c r="AK59">
        <v>16</v>
      </c>
      <c r="AL59">
        <v>24</v>
      </c>
      <c r="AM59">
        <v>32</v>
      </c>
      <c r="AN59">
        <v>33</v>
      </c>
      <c r="AO59">
        <v>39</v>
      </c>
      <c r="AP59">
        <v>36</v>
      </c>
      <c r="AQ59">
        <v>45</v>
      </c>
      <c r="AR59">
        <v>44</v>
      </c>
      <c r="AS59">
        <v>45</v>
      </c>
      <c r="AT59">
        <v>43</v>
      </c>
      <c r="AU59">
        <v>43</v>
      </c>
      <c r="AV59">
        <v>38</v>
      </c>
      <c r="AW59">
        <v>45</v>
      </c>
      <c r="AX59">
        <v>46</v>
      </c>
      <c r="AY59">
        <v>47</v>
      </c>
      <c r="AZ59">
        <v>49</v>
      </c>
      <c r="BA59">
        <v>44</v>
      </c>
      <c r="BB59">
        <v>48</v>
      </c>
      <c r="BC59">
        <v>40</v>
      </c>
    </row>
    <row r="60" spans="1:55" x14ac:dyDescent="0.25">
      <c r="A60" t="s">
        <v>3694</v>
      </c>
      <c r="B60" t="s">
        <v>246</v>
      </c>
      <c r="C60" t="s">
        <v>85</v>
      </c>
      <c r="D60">
        <v>314</v>
      </c>
      <c r="E60">
        <v>40.6</v>
      </c>
      <c r="F60">
        <v>33</v>
      </c>
      <c r="G60">
        <v>38</v>
      </c>
      <c r="H60">
        <v>33</v>
      </c>
      <c r="I60">
        <v>37</v>
      </c>
      <c r="J60">
        <v>32</v>
      </c>
      <c r="K60">
        <v>35</v>
      </c>
      <c r="L60">
        <v>34</v>
      </c>
      <c r="M60">
        <v>35</v>
      </c>
      <c r="N60">
        <v>38</v>
      </c>
      <c r="O60">
        <v>37</v>
      </c>
      <c r="P60">
        <v>35</v>
      </c>
      <c r="Q60">
        <v>38</v>
      </c>
      <c r="R60">
        <v>35</v>
      </c>
      <c r="S60">
        <v>36</v>
      </c>
      <c r="T60">
        <v>39</v>
      </c>
      <c r="U60">
        <v>37</v>
      </c>
      <c r="V60">
        <v>41</v>
      </c>
      <c r="W60">
        <v>39</v>
      </c>
      <c r="X60">
        <v>36</v>
      </c>
      <c r="Y60">
        <v>37</v>
      </c>
      <c r="Z60">
        <v>41</v>
      </c>
      <c r="AA60">
        <v>33</v>
      </c>
      <c r="AB60">
        <v>41</v>
      </c>
      <c r="AC60">
        <v>42</v>
      </c>
      <c r="AD60">
        <v>37</v>
      </c>
      <c r="AE60">
        <v>41</v>
      </c>
      <c r="AF60">
        <v>42</v>
      </c>
      <c r="AG60">
        <v>38</v>
      </c>
      <c r="AH60">
        <v>41</v>
      </c>
      <c r="AI60">
        <v>41</v>
      </c>
      <c r="AJ60">
        <v>27</v>
      </c>
      <c r="AK60">
        <v>30</v>
      </c>
      <c r="AL60">
        <v>28</v>
      </c>
      <c r="AM60">
        <v>28</v>
      </c>
      <c r="AN60">
        <v>34</v>
      </c>
      <c r="AO60">
        <v>44</v>
      </c>
      <c r="AP60">
        <v>46</v>
      </c>
      <c r="AQ60">
        <v>50</v>
      </c>
      <c r="AR60">
        <v>47</v>
      </c>
      <c r="AS60">
        <v>50</v>
      </c>
      <c r="AT60">
        <v>51</v>
      </c>
      <c r="AU60">
        <v>51</v>
      </c>
      <c r="AV60">
        <v>50</v>
      </c>
      <c r="AW60">
        <v>48</v>
      </c>
      <c r="AX60">
        <v>56</v>
      </c>
      <c r="AY60">
        <v>55</v>
      </c>
      <c r="AZ60">
        <v>53</v>
      </c>
      <c r="BA60">
        <v>57</v>
      </c>
      <c r="BB60">
        <v>50</v>
      </c>
      <c r="BC60">
        <v>53</v>
      </c>
    </row>
    <row r="61" spans="1:55" x14ac:dyDescent="0.25">
      <c r="A61" t="s">
        <v>3695</v>
      </c>
      <c r="B61" t="s">
        <v>164</v>
      </c>
      <c r="C61" t="s">
        <v>85</v>
      </c>
      <c r="D61">
        <v>61</v>
      </c>
      <c r="E61">
        <v>63.1</v>
      </c>
      <c r="F61">
        <v>65</v>
      </c>
      <c r="G61">
        <v>59</v>
      </c>
      <c r="H61">
        <v>61</v>
      </c>
      <c r="I61">
        <v>68</v>
      </c>
      <c r="J61">
        <v>62</v>
      </c>
      <c r="K61">
        <v>55</v>
      </c>
      <c r="L61">
        <v>64</v>
      </c>
      <c r="M61">
        <v>68</v>
      </c>
      <c r="N61">
        <v>67</v>
      </c>
      <c r="O61">
        <v>75</v>
      </c>
      <c r="P61">
        <v>66</v>
      </c>
      <c r="Q61">
        <v>75</v>
      </c>
      <c r="R61">
        <v>66</v>
      </c>
      <c r="S61">
        <v>67</v>
      </c>
      <c r="T61">
        <v>62</v>
      </c>
      <c r="U61">
        <v>63</v>
      </c>
      <c r="V61">
        <v>51</v>
      </c>
      <c r="W61">
        <v>59</v>
      </c>
      <c r="X61">
        <v>50</v>
      </c>
      <c r="Y61">
        <v>64</v>
      </c>
      <c r="Z61">
        <v>57</v>
      </c>
      <c r="AA61">
        <v>50</v>
      </c>
      <c r="AB61">
        <v>52</v>
      </c>
      <c r="AC61">
        <v>57</v>
      </c>
      <c r="AD61">
        <v>57</v>
      </c>
      <c r="AE61">
        <v>60</v>
      </c>
      <c r="AF61">
        <v>68</v>
      </c>
      <c r="AG61">
        <v>59</v>
      </c>
      <c r="AH61">
        <v>50</v>
      </c>
      <c r="AI61">
        <v>59</v>
      </c>
      <c r="AJ61">
        <v>53</v>
      </c>
      <c r="AK61">
        <v>55</v>
      </c>
      <c r="AL61">
        <v>52</v>
      </c>
      <c r="AM61">
        <v>46</v>
      </c>
      <c r="AN61">
        <v>67</v>
      </c>
      <c r="AO61">
        <v>65</v>
      </c>
      <c r="AP61">
        <v>65</v>
      </c>
      <c r="AQ61">
        <v>77</v>
      </c>
      <c r="AR61">
        <v>73</v>
      </c>
      <c r="AS61">
        <v>65</v>
      </c>
      <c r="AT61">
        <v>70</v>
      </c>
      <c r="AU61">
        <v>65</v>
      </c>
      <c r="AV61">
        <v>59</v>
      </c>
      <c r="AW61">
        <v>65</v>
      </c>
      <c r="AX61">
        <v>76</v>
      </c>
      <c r="AY61">
        <v>71</v>
      </c>
      <c r="AZ61">
        <v>83</v>
      </c>
      <c r="BA61">
        <v>70</v>
      </c>
      <c r="BB61">
        <v>69</v>
      </c>
      <c r="BC61">
        <v>73</v>
      </c>
    </row>
    <row r="62" spans="1:55" x14ac:dyDescent="0.25">
      <c r="A62" t="s">
        <v>3696</v>
      </c>
      <c r="B62" t="s">
        <v>165</v>
      </c>
      <c r="C62" t="s">
        <v>85</v>
      </c>
      <c r="D62">
        <v>269</v>
      </c>
      <c r="E62">
        <v>57.28</v>
      </c>
      <c r="F62">
        <v>60</v>
      </c>
      <c r="G62">
        <v>61</v>
      </c>
      <c r="H62">
        <v>52</v>
      </c>
      <c r="I62">
        <v>53</v>
      </c>
      <c r="J62">
        <v>48</v>
      </c>
      <c r="K62">
        <v>53</v>
      </c>
      <c r="L62">
        <v>55</v>
      </c>
      <c r="M62">
        <v>54</v>
      </c>
      <c r="N62">
        <v>58</v>
      </c>
      <c r="O62">
        <v>57</v>
      </c>
      <c r="P62">
        <v>55</v>
      </c>
      <c r="Q62">
        <v>64</v>
      </c>
      <c r="R62">
        <v>66</v>
      </c>
      <c r="S62">
        <v>58</v>
      </c>
      <c r="T62">
        <v>59</v>
      </c>
      <c r="U62">
        <v>53</v>
      </c>
      <c r="V62">
        <v>53</v>
      </c>
      <c r="W62">
        <v>54</v>
      </c>
      <c r="X62">
        <v>47</v>
      </c>
      <c r="Y62">
        <v>52</v>
      </c>
      <c r="Z62">
        <v>58</v>
      </c>
      <c r="AA62">
        <v>53</v>
      </c>
      <c r="AB62">
        <v>58</v>
      </c>
      <c r="AC62">
        <v>62</v>
      </c>
      <c r="AD62">
        <v>52</v>
      </c>
      <c r="AE62">
        <v>56</v>
      </c>
      <c r="AF62">
        <v>54</v>
      </c>
      <c r="AG62">
        <v>51</v>
      </c>
      <c r="AH62">
        <v>51</v>
      </c>
      <c r="AI62">
        <v>58</v>
      </c>
      <c r="AJ62">
        <v>45</v>
      </c>
      <c r="AK62">
        <v>46</v>
      </c>
      <c r="AL62">
        <v>41</v>
      </c>
      <c r="AM62">
        <v>52</v>
      </c>
      <c r="AN62">
        <v>47</v>
      </c>
      <c r="AO62">
        <v>55</v>
      </c>
      <c r="AP62">
        <v>59</v>
      </c>
      <c r="AQ62">
        <v>67</v>
      </c>
      <c r="AR62">
        <v>60</v>
      </c>
      <c r="AS62">
        <v>65</v>
      </c>
      <c r="AT62">
        <v>62</v>
      </c>
      <c r="AU62">
        <v>66</v>
      </c>
      <c r="AV62">
        <v>62</v>
      </c>
      <c r="AW62">
        <v>64</v>
      </c>
      <c r="AX62">
        <v>66</v>
      </c>
      <c r="AY62">
        <v>72</v>
      </c>
      <c r="AZ62">
        <v>65</v>
      </c>
      <c r="BA62">
        <v>69</v>
      </c>
      <c r="BB62">
        <v>69</v>
      </c>
      <c r="BC62">
        <v>67</v>
      </c>
    </row>
    <row r="63" spans="1:55" x14ac:dyDescent="0.25">
      <c r="A63" t="s">
        <v>3697</v>
      </c>
      <c r="B63" t="s">
        <v>166</v>
      </c>
      <c r="C63" t="s">
        <v>85</v>
      </c>
      <c r="D63">
        <v>135</v>
      </c>
      <c r="E63">
        <v>37.64</v>
      </c>
      <c r="F63">
        <v>35</v>
      </c>
      <c r="G63">
        <v>31</v>
      </c>
      <c r="H63">
        <v>23</v>
      </c>
      <c r="I63">
        <v>24</v>
      </c>
      <c r="J63">
        <v>25</v>
      </c>
      <c r="K63">
        <v>33</v>
      </c>
      <c r="L63">
        <v>34</v>
      </c>
      <c r="M63">
        <v>28</v>
      </c>
      <c r="N63">
        <v>33</v>
      </c>
      <c r="O63">
        <v>39</v>
      </c>
      <c r="P63">
        <v>42</v>
      </c>
      <c r="Q63">
        <v>36</v>
      </c>
      <c r="R63">
        <v>45</v>
      </c>
      <c r="S63">
        <v>38</v>
      </c>
      <c r="T63">
        <v>34</v>
      </c>
      <c r="U63">
        <v>52</v>
      </c>
      <c r="V63">
        <v>36</v>
      </c>
      <c r="W63">
        <v>27</v>
      </c>
      <c r="X63">
        <v>32</v>
      </c>
      <c r="Y63">
        <v>34</v>
      </c>
      <c r="Z63">
        <v>44</v>
      </c>
      <c r="AA63">
        <v>40</v>
      </c>
      <c r="AB63">
        <v>42</v>
      </c>
      <c r="AC63">
        <v>33</v>
      </c>
      <c r="AD63">
        <v>32</v>
      </c>
      <c r="AE63">
        <v>31</v>
      </c>
      <c r="AF63">
        <v>37</v>
      </c>
      <c r="AG63">
        <v>31</v>
      </c>
      <c r="AH63">
        <v>33</v>
      </c>
      <c r="AI63">
        <v>29</v>
      </c>
      <c r="AJ63">
        <v>37</v>
      </c>
      <c r="AK63">
        <v>27</v>
      </c>
      <c r="AL63">
        <v>27</v>
      </c>
      <c r="AM63">
        <v>26</v>
      </c>
      <c r="AN63">
        <v>37</v>
      </c>
      <c r="AO63">
        <v>35</v>
      </c>
      <c r="AP63">
        <v>39</v>
      </c>
      <c r="AQ63">
        <v>51</v>
      </c>
      <c r="AR63">
        <v>40</v>
      </c>
      <c r="AS63">
        <v>44</v>
      </c>
      <c r="AT63">
        <v>48</v>
      </c>
      <c r="AU63">
        <v>50</v>
      </c>
      <c r="AV63">
        <v>46</v>
      </c>
      <c r="AW63">
        <v>48</v>
      </c>
      <c r="AX63">
        <v>40</v>
      </c>
      <c r="AY63">
        <v>48</v>
      </c>
      <c r="AZ63">
        <v>49</v>
      </c>
      <c r="BA63">
        <v>50</v>
      </c>
      <c r="BB63">
        <v>54</v>
      </c>
      <c r="BC63">
        <v>53</v>
      </c>
    </row>
    <row r="64" spans="1:55" x14ac:dyDescent="0.25">
      <c r="A64" t="s">
        <v>3698</v>
      </c>
      <c r="B64" t="s">
        <v>167</v>
      </c>
      <c r="C64" t="s">
        <v>85</v>
      </c>
      <c r="D64">
        <v>285</v>
      </c>
      <c r="E64">
        <v>49.52</v>
      </c>
      <c r="F64">
        <v>61</v>
      </c>
      <c r="G64">
        <v>42</v>
      </c>
      <c r="H64">
        <v>52</v>
      </c>
      <c r="I64">
        <v>43</v>
      </c>
      <c r="J64">
        <v>43</v>
      </c>
      <c r="K64">
        <v>45</v>
      </c>
      <c r="L64">
        <v>51</v>
      </c>
      <c r="M64">
        <v>51</v>
      </c>
      <c r="N64">
        <v>47</v>
      </c>
      <c r="O64">
        <v>53</v>
      </c>
      <c r="P64">
        <v>54</v>
      </c>
      <c r="Q64">
        <v>53</v>
      </c>
      <c r="R64">
        <v>57</v>
      </c>
      <c r="S64">
        <v>51</v>
      </c>
      <c r="T64">
        <v>56</v>
      </c>
      <c r="U64">
        <v>50</v>
      </c>
      <c r="V64">
        <v>48</v>
      </c>
      <c r="W64">
        <v>45</v>
      </c>
      <c r="X64">
        <v>44</v>
      </c>
      <c r="Y64">
        <v>40</v>
      </c>
      <c r="Z64">
        <v>47</v>
      </c>
      <c r="AA64">
        <v>43</v>
      </c>
      <c r="AB64">
        <v>43</v>
      </c>
      <c r="AC64">
        <v>40</v>
      </c>
      <c r="AD64">
        <v>47</v>
      </c>
      <c r="AE64">
        <v>43</v>
      </c>
      <c r="AF64">
        <v>49</v>
      </c>
      <c r="AG64">
        <v>46</v>
      </c>
      <c r="AH64">
        <v>43</v>
      </c>
      <c r="AI64">
        <v>45</v>
      </c>
      <c r="AJ64">
        <v>36</v>
      </c>
      <c r="AK64">
        <v>37</v>
      </c>
      <c r="AL64">
        <v>38</v>
      </c>
      <c r="AM64">
        <v>37</v>
      </c>
      <c r="AN64">
        <v>40</v>
      </c>
      <c r="AO64">
        <v>43</v>
      </c>
      <c r="AP64">
        <v>55</v>
      </c>
      <c r="AQ64">
        <v>62</v>
      </c>
      <c r="AR64">
        <v>53</v>
      </c>
      <c r="AS64">
        <v>60</v>
      </c>
      <c r="AT64">
        <v>60</v>
      </c>
      <c r="AU64">
        <v>61</v>
      </c>
      <c r="AV64">
        <v>60</v>
      </c>
      <c r="AW64">
        <v>51</v>
      </c>
      <c r="AX64">
        <v>64</v>
      </c>
      <c r="AY64">
        <v>62</v>
      </c>
      <c r="AZ64">
        <v>51</v>
      </c>
      <c r="BA64">
        <v>53</v>
      </c>
      <c r="BB64">
        <v>61</v>
      </c>
      <c r="BC64">
        <v>60</v>
      </c>
    </row>
    <row r="65" spans="1:55" x14ac:dyDescent="0.25">
      <c r="A65" t="s">
        <v>3699</v>
      </c>
      <c r="B65" t="s">
        <v>247</v>
      </c>
      <c r="C65" t="s">
        <v>85</v>
      </c>
      <c r="D65">
        <v>240</v>
      </c>
      <c r="E65">
        <v>49.04</v>
      </c>
      <c r="F65">
        <v>39</v>
      </c>
      <c r="G65">
        <v>41</v>
      </c>
      <c r="H65">
        <v>34</v>
      </c>
      <c r="I65">
        <v>36</v>
      </c>
      <c r="J65">
        <v>36</v>
      </c>
      <c r="K65">
        <v>38</v>
      </c>
      <c r="L65">
        <v>37</v>
      </c>
      <c r="M65">
        <v>36</v>
      </c>
      <c r="N65">
        <v>39</v>
      </c>
      <c r="O65">
        <v>41</v>
      </c>
      <c r="P65">
        <v>38</v>
      </c>
      <c r="Q65">
        <v>41</v>
      </c>
      <c r="R65">
        <v>46</v>
      </c>
      <c r="S65">
        <v>45</v>
      </c>
      <c r="T65">
        <v>58</v>
      </c>
      <c r="U65">
        <v>58</v>
      </c>
      <c r="V65">
        <v>50</v>
      </c>
      <c r="W65">
        <v>47</v>
      </c>
      <c r="X65">
        <v>49</v>
      </c>
      <c r="Y65">
        <v>56</v>
      </c>
      <c r="Z65">
        <v>52</v>
      </c>
      <c r="AA65">
        <v>47</v>
      </c>
      <c r="AB65">
        <v>54</v>
      </c>
      <c r="AC65">
        <v>46</v>
      </c>
      <c r="AD65">
        <v>45</v>
      </c>
      <c r="AE65">
        <v>49</v>
      </c>
      <c r="AF65">
        <v>52</v>
      </c>
      <c r="AG65">
        <v>60</v>
      </c>
      <c r="AH65">
        <v>46</v>
      </c>
      <c r="AI65">
        <v>49</v>
      </c>
      <c r="AJ65">
        <v>38</v>
      </c>
      <c r="AK65">
        <v>31</v>
      </c>
      <c r="AL65">
        <v>35</v>
      </c>
      <c r="AM65">
        <v>33</v>
      </c>
      <c r="AN65">
        <v>46</v>
      </c>
      <c r="AO65">
        <v>52</v>
      </c>
      <c r="AP65">
        <v>57</v>
      </c>
      <c r="AQ65">
        <v>49</v>
      </c>
      <c r="AR65">
        <v>60</v>
      </c>
      <c r="AS65">
        <v>56</v>
      </c>
      <c r="AT65">
        <v>68</v>
      </c>
      <c r="AU65">
        <v>68</v>
      </c>
      <c r="AV65">
        <v>67</v>
      </c>
      <c r="AW65">
        <v>61</v>
      </c>
      <c r="AX65">
        <v>62</v>
      </c>
      <c r="AY65">
        <v>60</v>
      </c>
      <c r="AZ65">
        <v>59</v>
      </c>
      <c r="BA65">
        <v>59</v>
      </c>
      <c r="BB65">
        <v>61</v>
      </c>
      <c r="BC65">
        <v>65</v>
      </c>
    </row>
    <row r="66" spans="1:55" x14ac:dyDescent="0.25">
      <c r="A66" t="s">
        <v>3700</v>
      </c>
      <c r="B66" t="s">
        <v>169</v>
      </c>
      <c r="C66" t="s">
        <v>85</v>
      </c>
      <c r="D66">
        <v>146</v>
      </c>
      <c r="E66">
        <v>48.24</v>
      </c>
      <c r="F66">
        <v>42</v>
      </c>
      <c r="G66">
        <v>38</v>
      </c>
      <c r="H66">
        <v>46</v>
      </c>
      <c r="I66">
        <v>49</v>
      </c>
      <c r="J66">
        <v>49</v>
      </c>
      <c r="K66">
        <v>46</v>
      </c>
      <c r="L66">
        <v>41</v>
      </c>
      <c r="M66">
        <v>34</v>
      </c>
      <c r="N66">
        <v>49</v>
      </c>
      <c r="O66">
        <v>42</v>
      </c>
      <c r="P66">
        <v>43</v>
      </c>
      <c r="Q66">
        <v>54</v>
      </c>
      <c r="R66">
        <v>52</v>
      </c>
      <c r="S66">
        <v>50</v>
      </c>
      <c r="T66">
        <v>58</v>
      </c>
      <c r="U66">
        <v>54</v>
      </c>
      <c r="V66">
        <v>53</v>
      </c>
      <c r="W66">
        <v>53</v>
      </c>
      <c r="X66">
        <v>51</v>
      </c>
      <c r="Y66">
        <v>52</v>
      </c>
      <c r="Z66">
        <v>49</v>
      </c>
      <c r="AA66">
        <v>44</v>
      </c>
      <c r="AB66">
        <v>45</v>
      </c>
      <c r="AC66">
        <v>42</v>
      </c>
      <c r="AD66">
        <v>45</v>
      </c>
      <c r="AE66">
        <v>46</v>
      </c>
      <c r="AF66">
        <v>48</v>
      </c>
      <c r="AG66">
        <v>43</v>
      </c>
      <c r="AH66">
        <v>42</v>
      </c>
      <c r="AI66">
        <v>45</v>
      </c>
      <c r="AJ66">
        <v>35</v>
      </c>
      <c r="AK66">
        <v>38</v>
      </c>
      <c r="AL66">
        <v>32</v>
      </c>
      <c r="AM66">
        <v>41</v>
      </c>
      <c r="AN66">
        <v>52</v>
      </c>
      <c r="AO66">
        <v>49</v>
      </c>
      <c r="AP66">
        <v>43</v>
      </c>
      <c r="AQ66">
        <v>57</v>
      </c>
      <c r="AR66">
        <v>47</v>
      </c>
      <c r="AS66">
        <v>55</v>
      </c>
      <c r="AT66">
        <v>48</v>
      </c>
      <c r="AU66">
        <v>54</v>
      </c>
      <c r="AV66">
        <v>56</v>
      </c>
      <c r="AW66">
        <v>52</v>
      </c>
      <c r="AX66">
        <v>58</v>
      </c>
      <c r="AY66">
        <v>60</v>
      </c>
      <c r="AZ66">
        <v>53</v>
      </c>
      <c r="BA66">
        <v>59</v>
      </c>
      <c r="BB66">
        <v>60</v>
      </c>
      <c r="BC66">
        <v>58</v>
      </c>
    </row>
    <row r="67" spans="1:55" x14ac:dyDescent="0.25">
      <c r="A67" t="s">
        <v>3701</v>
      </c>
      <c r="B67" t="s">
        <v>170</v>
      </c>
      <c r="C67" t="s">
        <v>85</v>
      </c>
      <c r="D67">
        <v>1097</v>
      </c>
      <c r="E67">
        <v>37.119999999999997</v>
      </c>
      <c r="F67">
        <v>33</v>
      </c>
      <c r="G67">
        <v>32</v>
      </c>
      <c r="H67">
        <v>31</v>
      </c>
      <c r="I67">
        <v>30</v>
      </c>
      <c r="J67">
        <v>29</v>
      </c>
      <c r="K67">
        <v>29</v>
      </c>
      <c r="L67">
        <v>30</v>
      </c>
      <c r="M67">
        <v>29</v>
      </c>
      <c r="N67">
        <v>32</v>
      </c>
      <c r="O67">
        <v>32</v>
      </c>
      <c r="P67">
        <v>35</v>
      </c>
      <c r="Q67">
        <v>37</v>
      </c>
      <c r="R67">
        <v>38</v>
      </c>
      <c r="S67">
        <v>34</v>
      </c>
      <c r="T67">
        <v>36</v>
      </c>
      <c r="U67">
        <v>37</v>
      </c>
      <c r="V67">
        <v>35</v>
      </c>
      <c r="W67">
        <v>36</v>
      </c>
      <c r="X67">
        <v>34</v>
      </c>
      <c r="Y67">
        <v>34</v>
      </c>
      <c r="Z67">
        <v>36</v>
      </c>
      <c r="AA67">
        <v>35</v>
      </c>
      <c r="AB67">
        <v>36</v>
      </c>
      <c r="AC67">
        <v>38</v>
      </c>
      <c r="AD67">
        <v>37</v>
      </c>
      <c r="AE67">
        <v>37</v>
      </c>
      <c r="AF67">
        <v>41</v>
      </c>
      <c r="AG67">
        <v>37</v>
      </c>
      <c r="AH67">
        <v>36</v>
      </c>
      <c r="AI67">
        <v>37</v>
      </c>
      <c r="AJ67">
        <v>23</v>
      </c>
      <c r="AK67">
        <v>26</v>
      </c>
      <c r="AL67">
        <v>28</v>
      </c>
      <c r="AM67">
        <v>28</v>
      </c>
      <c r="AN67">
        <v>33</v>
      </c>
      <c r="AO67">
        <v>38</v>
      </c>
      <c r="AP67">
        <v>41</v>
      </c>
      <c r="AQ67">
        <v>46</v>
      </c>
      <c r="AR67">
        <v>43</v>
      </c>
      <c r="AS67">
        <v>46</v>
      </c>
      <c r="AT67">
        <v>50</v>
      </c>
      <c r="AU67">
        <v>49</v>
      </c>
      <c r="AV67">
        <v>46</v>
      </c>
      <c r="AW67">
        <v>46</v>
      </c>
      <c r="AX67">
        <v>49</v>
      </c>
      <c r="AY67">
        <v>45</v>
      </c>
      <c r="AZ67">
        <v>45</v>
      </c>
      <c r="BA67">
        <v>49</v>
      </c>
      <c r="BB67">
        <v>48</v>
      </c>
      <c r="BC67">
        <v>44</v>
      </c>
    </row>
    <row r="68" spans="1:55" x14ac:dyDescent="0.25">
      <c r="A68" t="s">
        <v>3702</v>
      </c>
      <c r="B68" t="s">
        <v>45</v>
      </c>
      <c r="C68" t="s">
        <v>89</v>
      </c>
    </row>
    <row r="69" spans="1:55" x14ac:dyDescent="0.25">
      <c r="A69" t="s">
        <v>3703</v>
      </c>
      <c r="B69" t="s">
        <v>110</v>
      </c>
      <c r="C69" t="s">
        <v>89</v>
      </c>
      <c r="D69">
        <v>5680</v>
      </c>
      <c r="E69">
        <v>32.06</v>
      </c>
      <c r="F69">
        <v>40</v>
      </c>
      <c r="G69">
        <v>26</v>
      </c>
      <c r="H69">
        <v>22</v>
      </c>
      <c r="I69">
        <v>19</v>
      </c>
      <c r="J69">
        <v>31</v>
      </c>
      <c r="K69">
        <v>33</v>
      </c>
      <c r="L69">
        <v>30</v>
      </c>
      <c r="M69">
        <v>38</v>
      </c>
      <c r="N69">
        <v>34</v>
      </c>
      <c r="O69">
        <v>34</v>
      </c>
      <c r="P69">
        <v>33</v>
      </c>
      <c r="Q69">
        <v>29</v>
      </c>
      <c r="R69">
        <v>30</v>
      </c>
      <c r="S69">
        <v>39</v>
      </c>
      <c r="T69">
        <v>37</v>
      </c>
      <c r="U69">
        <v>31</v>
      </c>
      <c r="V69">
        <v>39</v>
      </c>
      <c r="W69">
        <v>36</v>
      </c>
      <c r="X69">
        <v>35</v>
      </c>
      <c r="Y69">
        <v>35</v>
      </c>
      <c r="Z69">
        <v>31</v>
      </c>
      <c r="AA69">
        <v>30</v>
      </c>
      <c r="AB69">
        <v>26</v>
      </c>
      <c r="AC69">
        <v>22</v>
      </c>
      <c r="AD69">
        <v>24</v>
      </c>
      <c r="AE69">
        <v>26</v>
      </c>
      <c r="AF69">
        <v>30</v>
      </c>
      <c r="AG69">
        <v>34</v>
      </c>
      <c r="AH69">
        <v>39</v>
      </c>
      <c r="AI69">
        <v>36</v>
      </c>
      <c r="AJ69">
        <v>54</v>
      </c>
      <c r="AK69">
        <v>49</v>
      </c>
      <c r="AL69">
        <v>39</v>
      </c>
      <c r="AM69">
        <v>29</v>
      </c>
      <c r="AN69">
        <v>21</v>
      </c>
      <c r="AO69">
        <v>19</v>
      </c>
      <c r="AP69">
        <v>26</v>
      </c>
      <c r="AQ69">
        <v>28</v>
      </c>
      <c r="AR69">
        <v>26</v>
      </c>
      <c r="AS69">
        <v>25</v>
      </c>
      <c r="AT69">
        <v>33</v>
      </c>
      <c r="AU69">
        <v>31</v>
      </c>
      <c r="AV69">
        <v>32</v>
      </c>
      <c r="AW69">
        <v>37</v>
      </c>
      <c r="AX69">
        <v>34</v>
      </c>
      <c r="AY69">
        <v>37</v>
      </c>
      <c r="AZ69">
        <v>36</v>
      </c>
      <c r="BA69">
        <v>35</v>
      </c>
      <c r="BB69">
        <v>34</v>
      </c>
      <c r="BC69">
        <v>29</v>
      </c>
    </row>
    <row r="70" spans="1:55" x14ac:dyDescent="0.25">
      <c r="A70" t="s">
        <v>3704</v>
      </c>
      <c r="B70" t="s">
        <v>111</v>
      </c>
      <c r="C70" t="s">
        <v>89</v>
      </c>
      <c r="D70">
        <v>64</v>
      </c>
      <c r="E70">
        <v>10.3</v>
      </c>
      <c r="F70">
        <v>20</v>
      </c>
      <c r="G70">
        <v>13</v>
      </c>
      <c r="H70">
        <v>14</v>
      </c>
      <c r="I70">
        <v>14</v>
      </c>
      <c r="J70">
        <v>14</v>
      </c>
      <c r="K70">
        <v>13</v>
      </c>
      <c r="L70">
        <v>8</v>
      </c>
      <c r="M70">
        <v>14</v>
      </c>
      <c r="N70">
        <v>17</v>
      </c>
      <c r="O70">
        <v>10</v>
      </c>
      <c r="P70">
        <v>7</v>
      </c>
      <c r="Q70">
        <v>11</v>
      </c>
      <c r="R70">
        <v>14</v>
      </c>
      <c r="S70">
        <v>11</v>
      </c>
      <c r="T70">
        <v>11</v>
      </c>
      <c r="U70">
        <v>11</v>
      </c>
      <c r="V70">
        <v>10</v>
      </c>
      <c r="W70">
        <v>12</v>
      </c>
      <c r="X70">
        <v>10</v>
      </c>
      <c r="Y70">
        <v>11</v>
      </c>
      <c r="Z70">
        <v>7</v>
      </c>
      <c r="AA70">
        <v>2</v>
      </c>
      <c r="AB70">
        <v>6</v>
      </c>
      <c r="AC70">
        <v>4</v>
      </c>
      <c r="AD70">
        <v>7</v>
      </c>
      <c r="AE70">
        <v>4</v>
      </c>
      <c r="AF70">
        <v>6</v>
      </c>
      <c r="AG70">
        <v>6</v>
      </c>
      <c r="AH70">
        <v>12</v>
      </c>
      <c r="AI70">
        <v>8</v>
      </c>
      <c r="AJ70">
        <v>21</v>
      </c>
      <c r="AK70">
        <v>11</v>
      </c>
      <c r="AL70">
        <v>14</v>
      </c>
      <c r="AM70">
        <v>9</v>
      </c>
      <c r="AN70">
        <v>6</v>
      </c>
      <c r="AO70">
        <v>6</v>
      </c>
      <c r="AP70">
        <v>8</v>
      </c>
      <c r="AQ70">
        <v>9</v>
      </c>
      <c r="AR70">
        <v>7</v>
      </c>
      <c r="AS70">
        <v>11</v>
      </c>
      <c r="AT70">
        <v>9</v>
      </c>
      <c r="AU70">
        <v>12</v>
      </c>
      <c r="AV70">
        <v>12</v>
      </c>
      <c r="AW70">
        <v>11</v>
      </c>
      <c r="AX70">
        <v>6</v>
      </c>
      <c r="AY70">
        <v>9</v>
      </c>
      <c r="AZ70">
        <v>9</v>
      </c>
      <c r="BA70">
        <v>8</v>
      </c>
      <c r="BB70">
        <v>13</v>
      </c>
      <c r="BC70">
        <v>17</v>
      </c>
    </row>
    <row r="71" spans="1:55" x14ac:dyDescent="0.25">
      <c r="A71" t="s">
        <v>3705</v>
      </c>
      <c r="B71" t="s">
        <v>112</v>
      </c>
      <c r="C71" t="s">
        <v>89</v>
      </c>
      <c r="D71">
        <v>221</v>
      </c>
      <c r="E71">
        <v>15.04</v>
      </c>
      <c r="F71">
        <v>22</v>
      </c>
      <c r="G71">
        <v>13</v>
      </c>
      <c r="H71">
        <v>9</v>
      </c>
      <c r="I71">
        <v>7</v>
      </c>
      <c r="J71">
        <v>13</v>
      </c>
      <c r="K71">
        <v>12</v>
      </c>
      <c r="L71">
        <v>13</v>
      </c>
      <c r="M71">
        <v>15</v>
      </c>
      <c r="N71">
        <v>10</v>
      </c>
      <c r="O71">
        <v>17</v>
      </c>
      <c r="P71">
        <v>12</v>
      </c>
      <c r="Q71">
        <v>11</v>
      </c>
      <c r="R71">
        <v>14</v>
      </c>
      <c r="S71">
        <v>19</v>
      </c>
      <c r="T71">
        <v>20</v>
      </c>
      <c r="U71">
        <v>13</v>
      </c>
      <c r="V71">
        <v>18</v>
      </c>
      <c r="W71">
        <v>15</v>
      </c>
      <c r="X71">
        <v>14</v>
      </c>
      <c r="Y71">
        <v>15</v>
      </c>
      <c r="Z71">
        <v>12</v>
      </c>
      <c r="AA71">
        <v>14</v>
      </c>
      <c r="AB71">
        <v>9</v>
      </c>
      <c r="AC71">
        <v>10</v>
      </c>
      <c r="AD71">
        <v>10</v>
      </c>
      <c r="AE71">
        <v>15</v>
      </c>
      <c r="AF71">
        <v>15</v>
      </c>
      <c r="AG71">
        <v>16</v>
      </c>
      <c r="AH71">
        <v>15</v>
      </c>
      <c r="AI71">
        <v>14</v>
      </c>
      <c r="AJ71">
        <v>31</v>
      </c>
      <c r="AK71">
        <v>27</v>
      </c>
      <c r="AL71">
        <v>22</v>
      </c>
      <c r="AM71">
        <v>19</v>
      </c>
      <c r="AN71">
        <v>15</v>
      </c>
      <c r="AO71">
        <v>9</v>
      </c>
      <c r="AP71">
        <v>17</v>
      </c>
      <c r="AQ71">
        <v>16</v>
      </c>
      <c r="AR71">
        <v>16</v>
      </c>
      <c r="AS71">
        <v>13</v>
      </c>
      <c r="AT71">
        <v>14</v>
      </c>
      <c r="AU71">
        <v>14</v>
      </c>
      <c r="AV71">
        <v>13</v>
      </c>
      <c r="AW71">
        <v>14</v>
      </c>
      <c r="AX71">
        <v>16</v>
      </c>
      <c r="AY71">
        <v>19</v>
      </c>
      <c r="AZ71">
        <v>17</v>
      </c>
      <c r="BA71">
        <v>14</v>
      </c>
      <c r="BB71">
        <v>18</v>
      </c>
      <c r="BC71">
        <v>16</v>
      </c>
    </row>
    <row r="72" spans="1:55" x14ac:dyDescent="0.25">
      <c r="A72" t="s">
        <v>3706</v>
      </c>
      <c r="B72" t="s">
        <v>113</v>
      </c>
      <c r="C72" t="s">
        <v>89</v>
      </c>
      <c r="D72">
        <v>106</v>
      </c>
      <c r="E72">
        <v>12.6</v>
      </c>
      <c r="F72">
        <v>8</v>
      </c>
      <c r="G72">
        <v>4</v>
      </c>
      <c r="H72">
        <v>11</v>
      </c>
      <c r="I72">
        <v>5</v>
      </c>
      <c r="J72">
        <v>11</v>
      </c>
      <c r="K72">
        <v>9</v>
      </c>
      <c r="L72">
        <v>9</v>
      </c>
      <c r="M72">
        <v>13</v>
      </c>
      <c r="N72">
        <v>7</v>
      </c>
      <c r="O72">
        <v>12</v>
      </c>
      <c r="P72">
        <v>9</v>
      </c>
      <c r="Q72">
        <v>10</v>
      </c>
      <c r="R72">
        <v>20</v>
      </c>
      <c r="S72">
        <v>20</v>
      </c>
      <c r="T72">
        <v>18</v>
      </c>
      <c r="U72">
        <v>18</v>
      </c>
      <c r="V72">
        <v>15</v>
      </c>
      <c r="W72">
        <v>17</v>
      </c>
      <c r="X72">
        <v>11</v>
      </c>
      <c r="Y72">
        <v>13</v>
      </c>
      <c r="Z72">
        <v>10</v>
      </c>
      <c r="AA72">
        <v>10</v>
      </c>
      <c r="AB72">
        <v>6</v>
      </c>
      <c r="AC72">
        <v>11</v>
      </c>
      <c r="AD72">
        <v>9</v>
      </c>
      <c r="AE72">
        <v>12</v>
      </c>
      <c r="AF72">
        <v>11</v>
      </c>
      <c r="AG72">
        <v>9</v>
      </c>
      <c r="AH72">
        <v>9</v>
      </c>
      <c r="AI72">
        <v>8</v>
      </c>
      <c r="AJ72">
        <v>26</v>
      </c>
      <c r="AK72">
        <v>26</v>
      </c>
      <c r="AL72">
        <v>27</v>
      </c>
      <c r="AM72">
        <v>17</v>
      </c>
      <c r="AN72">
        <v>12</v>
      </c>
      <c r="AO72">
        <v>9</v>
      </c>
      <c r="AP72">
        <v>16</v>
      </c>
      <c r="AQ72">
        <v>12</v>
      </c>
      <c r="AR72">
        <v>15</v>
      </c>
      <c r="AS72">
        <v>9</v>
      </c>
      <c r="AT72">
        <v>11</v>
      </c>
      <c r="AU72">
        <v>12</v>
      </c>
      <c r="AV72">
        <v>10</v>
      </c>
      <c r="AW72">
        <v>15</v>
      </c>
      <c r="AX72">
        <v>10</v>
      </c>
      <c r="AY72">
        <v>10</v>
      </c>
      <c r="AZ72">
        <v>14</v>
      </c>
      <c r="BA72">
        <v>14</v>
      </c>
      <c r="BB72">
        <v>17</v>
      </c>
      <c r="BC72">
        <v>13</v>
      </c>
    </row>
    <row r="73" spans="1:55" x14ac:dyDescent="0.25">
      <c r="A73" t="s">
        <v>3707</v>
      </c>
      <c r="B73" t="s">
        <v>114</v>
      </c>
      <c r="C73" t="s">
        <v>89</v>
      </c>
      <c r="D73">
        <v>222</v>
      </c>
      <c r="E73">
        <v>37.119999999999997</v>
      </c>
      <c r="F73">
        <v>47</v>
      </c>
      <c r="G73">
        <v>29</v>
      </c>
      <c r="H73">
        <v>23</v>
      </c>
      <c r="I73">
        <v>18</v>
      </c>
      <c r="J73">
        <v>32</v>
      </c>
      <c r="K73">
        <v>39</v>
      </c>
      <c r="L73">
        <v>28</v>
      </c>
      <c r="M73">
        <v>41</v>
      </c>
      <c r="N73">
        <v>39</v>
      </c>
      <c r="O73">
        <v>35</v>
      </c>
      <c r="P73">
        <v>38</v>
      </c>
      <c r="Q73">
        <v>29</v>
      </c>
      <c r="R73">
        <v>28</v>
      </c>
      <c r="S73">
        <v>43</v>
      </c>
      <c r="T73">
        <v>42</v>
      </c>
      <c r="U73">
        <v>32</v>
      </c>
      <c r="V73">
        <v>42</v>
      </c>
      <c r="W73">
        <v>36</v>
      </c>
      <c r="X73">
        <v>36</v>
      </c>
      <c r="Y73">
        <v>37</v>
      </c>
      <c r="Z73">
        <v>36</v>
      </c>
      <c r="AA73">
        <v>37</v>
      </c>
      <c r="AB73">
        <v>32</v>
      </c>
      <c r="AC73">
        <v>27</v>
      </c>
      <c r="AD73">
        <v>33</v>
      </c>
      <c r="AE73">
        <v>32</v>
      </c>
      <c r="AF73">
        <v>32</v>
      </c>
      <c r="AG73">
        <v>37</v>
      </c>
      <c r="AH73">
        <v>45</v>
      </c>
      <c r="AI73">
        <v>38</v>
      </c>
      <c r="AJ73">
        <v>68</v>
      </c>
      <c r="AK73">
        <v>58</v>
      </c>
      <c r="AL73">
        <v>53</v>
      </c>
      <c r="AM73">
        <v>42</v>
      </c>
      <c r="AN73">
        <v>27</v>
      </c>
      <c r="AO73">
        <v>22</v>
      </c>
      <c r="AP73">
        <v>37</v>
      </c>
      <c r="AQ73">
        <v>39</v>
      </c>
      <c r="AR73">
        <v>34</v>
      </c>
      <c r="AS73">
        <v>28</v>
      </c>
      <c r="AT73">
        <v>37</v>
      </c>
      <c r="AU73">
        <v>38</v>
      </c>
      <c r="AV73">
        <v>36</v>
      </c>
      <c r="AW73">
        <v>45</v>
      </c>
      <c r="AX73">
        <v>41</v>
      </c>
      <c r="AY73">
        <v>45</v>
      </c>
      <c r="AZ73">
        <v>45</v>
      </c>
      <c r="BA73">
        <v>46</v>
      </c>
      <c r="BB73">
        <v>41</v>
      </c>
      <c r="BC73">
        <v>31</v>
      </c>
    </row>
    <row r="74" spans="1:55" x14ac:dyDescent="0.25">
      <c r="A74" t="s">
        <v>3708</v>
      </c>
      <c r="B74" t="s">
        <v>115</v>
      </c>
      <c r="C74" t="s">
        <v>89</v>
      </c>
      <c r="D74">
        <v>139</v>
      </c>
      <c r="E74">
        <v>36.340000000000003</v>
      </c>
      <c r="F74">
        <v>47</v>
      </c>
      <c r="G74">
        <v>26</v>
      </c>
      <c r="H74">
        <v>26</v>
      </c>
      <c r="I74">
        <v>18</v>
      </c>
      <c r="J74">
        <v>31</v>
      </c>
      <c r="K74">
        <v>41</v>
      </c>
      <c r="L74">
        <v>29</v>
      </c>
      <c r="M74">
        <v>42</v>
      </c>
      <c r="N74">
        <v>39</v>
      </c>
      <c r="O74">
        <v>33</v>
      </c>
      <c r="P74">
        <v>36</v>
      </c>
      <c r="Q74">
        <v>29</v>
      </c>
      <c r="R74">
        <v>30</v>
      </c>
      <c r="S74">
        <v>39</v>
      </c>
      <c r="T74">
        <v>37</v>
      </c>
      <c r="U74">
        <v>30</v>
      </c>
      <c r="V74">
        <v>40</v>
      </c>
      <c r="W74">
        <v>31</v>
      </c>
      <c r="X74">
        <v>33</v>
      </c>
      <c r="Y74">
        <v>44</v>
      </c>
      <c r="Z74">
        <v>37</v>
      </c>
      <c r="AA74">
        <v>34</v>
      </c>
      <c r="AB74">
        <v>32</v>
      </c>
      <c r="AC74">
        <v>24</v>
      </c>
      <c r="AD74">
        <v>31</v>
      </c>
      <c r="AE74">
        <v>31</v>
      </c>
      <c r="AF74">
        <v>30</v>
      </c>
      <c r="AG74">
        <v>39</v>
      </c>
      <c r="AH74">
        <v>43</v>
      </c>
      <c r="AI74">
        <v>39</v>
      </c>
      <c r="AJ74">
        <v>67</v>
      </c>
      <c r="AK74">
        <v>60</v>
      </c>
      <c r="AL74">
        <v>50</v>
      </c>
      <c r="AM74">
        <v>36</v>
      </c>
      <c r="AN74">
        <v>25</v>
      </c>
      <c r="AO74">
        <v>19</v>
      </c>
      <c r="AP74">
        <v>35</v>
      </c>
      <c r="AQ74">
        <v>36</v>
      </c>
      <c r="AR74">
        <v>33</v>
      </c>
      <c r="AS74">
        <v>29</v>
      </c>
      <c r="AT74">
        <v>36</v>
      </c>
      <c r="AU74">
        <v>37</v>
      </c>
      <c r="AV74">
        <v>40</v>
      </c>
      <c r="AW74">
        <v>42</v>
      </c>
      <c r="AX74">
        <v>40</v>
      </c>
      <c r="AY74">
        <v>44</v>
      </c>
      <c r="AZ74">
        <v>48</v>
      </c>
      <c r="BA74">
        <v>44</v>
      </c>
      <c r="BB74">
        <v>42</v>
      </c>
      <c r="BC74">
        <v>33</v>
      </c>
    </row>
    <row r="75" spans="1:55" x14ac:dyDescent="0.25">
      <c r="A75" t="s">
        <v>3709</v>
      </c>
      <c r="B75" t="s">
        <v>116</v>
      </c>
      <c r="C75" t="s">
        <v>89</v>
      </c>
      <c r="D75">
        <v>151</v>
      </c>
      <c r="E75">
        <v>23.46</v>
      </c>
      <c r="F75">
        <v>41</v>
      </c>
      <c r="G75">
        <v>20</v>
      </c>
      <c r="H75">
        <v>16</v>
      </c>
      <c r="I75">
        <v>21</v>
      </c>
      <c r="J75">
        <v>25</v>
      </c>
      <c r="K75">
        <v>26</v>
      </c>
      <c r="L75">
        <v>25</v>
      </c>
      <c r="M75">
        <v>33</v>
      </c>
      <c r="N75">
        <v>30</v>
      </c>
      <c r="O75">
        <v>27</v>
      </c>
      <c r="P75">
        <v>26</v>
      </c>
      <c r="Q75">
        <v>24</v>
      </c>
      <c r="R75">
        <v>22</v>
      </c>
      <c r="S75">
        <v>33</v>
      </c>
      <c r="T75">
        <v>30</v>
      </c>
      <c r="U75">
        <v>21</v>
      </c>
      <c r="V75">
        <v>21</v>
      </c>
      <c r="W75">
        <v>27</v>
      </c>
      <c r="X75">
        <v>26</v>
      </c>
      <c r="Y75">
        <v>22</v>
      </c>
      <c r="Z75">
        <v>21</v>
      </c>
      <c r="AA75">
        <v>21</v>
      </c>
      <c r="AB75">
        <v>20</v>
      </c>
      <c r="AC75">
        <v>13</v>
      </c>
      <c r="AD75">
        <v>17</v>
      </c>
      <c r="AE75">
        <v>18</v>
      </c>
      <c r="AF75">
        <v>21</v>
      </c>
      <c r="AG75">
        <v>23</v>
      </c>
      <c r="AH75">
        <v>27</v>
      </c>
      <c r="AI75">
        <v>23</v>
      </c>
      <c r="AJ75">
        <v>48</v>
      </c>
      <c r="AK75">
        <v>26</v>
      </c>
      <c r="AL75">
        <v>22</v>
      </c>
      <c r="AM75">
        <v>7</v>
      </c>
      <c r="AN75">
        <v>14</v>
      </c>
      <c r="AO75">
        <v>12</v>
      </c>
      <c r="AP75">
        <v>18</v>
      </c>
      <c r="AQ75">
        <v>25</v>
      </c>
      <c r="AR75">
        <v>22</v>
      </c>
      <c r="AS75">
        <v>18</v>
      </c>
      <c r="AT75">
        <v>27</v>
      </c>
      <c r="AU75">
        <v>21</v>
      </c>
      <c r="AV75">
        <v>22</v>
      </c>
      <c r="AW75">
        <v>28</v>
      </c>
      <c r="AX75">
        <v>25</v>
      </c>
      <c r="AY75">
        <v>27</v>
      </c>
      <c r="AZ75">
        <v>21</v>
      </c>
      <c r="BA75">
        <v>24</v>
      </c>
      <c r="BB75">
        <v>24</v>
      </c>
      <c r="BC75">
        <v>22</v>
      </c>
    </row>
    <row r="76" spans="1:55" x14ac:dyDescent="0.25">
      <c r="A76" t="s">
        <v>3710</v>
      </c>
      <c r="B76" t="s">
        <v>117</v>
      </c>
      <c r="C76" t="s">
        <v>89</v>
      </c>
      <c r="D76">
        <v>135</v>
      </c>
      <c r="E76">
        <v>31.02</v>
      </c>
      <c r="F76">
        <v>36</v>
      </c>
      <c r="G76">
        <v>20</v>
      </c>
      <c r="H76">
        <v>14</v>
      </c>
      <c r="I76">
        <v>18</v>
      </c>
      <c r="J76">
        <v>31</v>
      </c>
      <c r="K76">
        <v>34</v>
      </c>
      <c r="L76">
        <v>28</v>
      </c>
      <c r="M76">
        <v>39</v>
      </c>
      <c r="N76">
        <v>31</v>
      </c>
      <c r="O76">
        <v>36</v>
      </c>
      <c r="P76">
        <v>29</v>
      </c>
      <c r="Q76">
        <v>18</v>
      </c>
      <c r="R76">
        <v>29</v>
      </c>
      <c r="S76">
        <v>37</v>
      </c>
      <c r="T76">
        <v>36</v>
      </c>
      <c r="U76">
        <v>27</v>
      </c>
      <c r="V76">
        <v>36</v>
      </c>
      <c r="W76">
        <v>29</v>
      </c>
      <c r="X76">
        <v>33</v>
      </c>
      <c r="Y76">
        <v>33</v>
      </c>
      <c r="Z76">
        <v>18</v>
      </c>
      <c r="AA76">
        <v>28</v>
      </c>
      <c r="AB76">
        <v>27</v>
      </c>
      <c r="AC76">
        <v>17</v>
      </c>
      <c r="AD76">
        <v>21</v>
      </c>
      <c r="AE76">
        <v>24</v>
      </c>
      <c r="AF76">
        <v>30</v>
      </c>
      <c r="AG76">
        <v>33</v>
      </c>
      <c r="AH76">
        <v>39</v>
      </c>
      <c r="AI76">
        <v>32</v>
      </c>
      <c r="AJ76">
        <v>51</v>
      </c>
      <c r="AK76">
        <v>53</v>
      </c>
      <c r="AL76">
        <v>34</v>
      </c>
      <c r="AM76">
        <v>30</v>
      </c>
      <c r="AN76">
        <v>13</v>
      </c>
      <c r="AO76">
        <v>15</v>
      </c>
      <c r="AP76">
        <v>29</v>
      </c>
      <c r="AQ76">
        <v>40</v>
      </c>
      <c r="AR76">
        <v>36</v>
      </c>
      <c r="AS76">
        <v>36</v>
      </c>
      <c r="AT76">
        <v>34</v>
      </c>
      <c r="AU76">
        <v>40</v>
      </c>
      <c r="AV76">
        <v>35</v>
      </c>
      <c r="AW76">
        <v>35</v>
      </c>
      <c r="AX76">
        <v>31</v>
      </c>
      <c r="AY76">
        <v>38</v>
      </c>
      <c r="AZ76">
        <v>32</v>
      </c>
      <c r="BA76">
        <v>38</v>
      </c>
      <c r="BB76">
        <v>38</v>
      </c>
      <c r="BC76">
        <v>30</v>
      </c>
    </row>
    <row r="77" spans="1:55" x14ac:dyDescent="0.25">
      <c r="A77" t="s">
        <v>3711</v>
      </c>
      <c r="B77" t="s">
        <v>118</v>
      </c>
      <c r="C77" t="s">
        <v>89</v>
      </c>
      <c r="D77">
        <v>141</v>
      </c>
      <c r="E77">
        <v>10.26</v>
      </c>
      <c r="F77">
        <v>11</v>
      </c>
      <c r="G77">
        <v>6</v>
      </c>
      <c r="H77">
        <v>8</v>
      </c>
      <c r="I77">
        <v>7</v>
      </c>
      <c r="J77">
        <v>8</v>
      </c>
      <c r="K77">
        <v>13</v>
      </c>
      <c r="L77">
        <v>10</v>
      </c>
      <c r="M77">
        <v>12</v>
      </c>
      <c r="N77">
        <v>10</v>
      </c>
      <c r="O77">
        <v>10</v>
      </c>
      <c r="P77">
        <v>11</v>
      </c>
      <c r="Q77">
        <v>9</v>
      </c>
      <c r="R77">
        <v>11</v>
      </c>
      <c r="S77">
        <v>14</v>
      </c>
      <c r="T77">
        <v>12</v>
      </c>
      <c r="U77">
        <v>11</v>
      </c>
      <c r="V77">
        <v>10</v>
      </c>
      <c r="W77">
        <v>10</v>
      </c>
      <c r="X77">
        <v>8</v>
      </c>
      <c r="Y77">
        <v>12</v>
      </c>
      <c r="Z77">
        <v>9</v>
      </c>
      <c r="AA77">
        <v>7</v>
      </c>
      <c r="AB77">
        <v>7</v>
      </c>
      <c r="AC77">
        <v>8</v>
      </c>
      <c r="AD77">
        <v>8</v>
      </c>
      <c r="AE77">
        <v>8</v>
      </c>
      <c r="AF77">
        <v>7</v>
      </c>
      <c r="AG77">
        <v>9</v>
      </c>
      <c r="AH77">
        <v>9</v>
      </c>
      <c r="AI77">
        <v>11</v>
      </c>
      <c r="AJ77">
        <v>20</v>
      </c>
      <c r="AK77">
        <v>19</v>
      </c>
      <c r="AL77">
        <v>15</v>
      </c>
      <c r="AM77">
        <v>13</v>
      </c>
      <c r="AN77">
        <v>6</v>
      </c>
      <c r="AO77">
        <v>6</v>
      </c>
      <c r="AP77">
        <v>10</v>
      </c>
      <c r="AQ77">
        <v>10</v>
      </c>
      <c r="AR77">
        <v>9</v>
      </c>
      <c r="AS77">
        <v>10</v>
      </c>
      <c r="AT77">
        <v>10</v>
      </c>
      <c r="AU77">
        <v>9</v>
      </c>
      <c r="AV77">
        <v>12</v>
      </c>
      <c r="AW77">
        <v>10</v>
      </c>
      <c r="AX77">
        <v>9</v>
      </c>
      <c r="AY77">
        <v>13</v>
      </c>
      <c r="AZ77">
        <v>10</v>
      </c>
      <c r="BA77">
        <v>12</v>
      </c>
      <c r="BB77">
        <v>14</v>
      </c>
      <c r="BC77">
        <v>10</v>
      </c>
    </row>
    <row r="78" spans="1:55" x14ac:dyDescent="0.25">
      <c r="A78" t="s">
        <v>3712</v>
      </c>
      <c r="B78" t="s">
        <v>119</v>
      </c>
      <c r="C78" t="s">
        <v>89</v>
      </c>
      <c r="D78">
        <v>231</v>
      </c>
      <c r="E78">
        <v>39.979999999999997</v>
      </c>
      <c r="F78">
        <v>47</v>
      </c>
      <c r="G78">
        <v>30</v>
      </c>
      <c r="H78">
        <v>24</v>
      </c>
      <c r="I78">
        <v>19</v>
      </c>
      <c r="J78">
        <v>38</v>
      </c>
      <c r="K78">
        <v>40</v>
      </c>
      <c r="L78">
        <v>34</v>
      </c>
      <c r="M78">
        <v>44</v>
      </c>
      <c r="N78">
        <v>42</v>
      </c>
      <c r="O78">
        <v>42</v>
      </c>
      <c r="P78">
        <v>43</v>
      </c>
      <c r="Q78">
        <v>36</v>
      </c>
      <c r="R78">
        <v>44</v>
      </c>
      <c r="S78">
        <v>51</v>
      </c>
      <c r="T78">
        <v>48</v>
      </c>
      <c r="U78">
        <v>37</v>
      </c>
      <c r="V78">
        <v>51</v>
      </c>
      <c r="W78">
        <v>45</v>
      </c>
      <c r="X78">
        <v>48</v>
      </c>
      <c r="Y78">
        <v>48</v>
      </c>
      <c r="Z78">
        <v>40</v>
      </c>
      <c r="AA78">
        <v>37</v>
      </c>
      <c r="AB78">
        <v>41</v>
      </c>
      <c r="AC78">
        <v>27</v>
      </c>
      <c r="AD78">
        <v>31</v>
      </c>
      <c r="AE78">
        <v>37</v>
      </c>
      <c r="AF78">
        <v>38</v>
      </c>
      <c r="AG78">
        <v>45</v>
      </c>
      <c r="AH78">
        <v>46</v>
      </c>
      <c r="AI78">
        <v>42</v>
      </c>
      <c r="AJ78">
        <v>63</v>
      </c>
      <c r="AK78">
        <v>59</v>
      </c>
      <c r="AL78">
        <v>49</v>
      </c>
      <c r="AM78">
        <v>32</v>
      </c>
      <c r="AN78">
        <v>26</v>
      </c>
      <c r="AO78">
        <v>24</v>
      </c>
      <c r="AP78">
        <v>38</v>
      </c>
      <c r="AQ78">
        <v>41</v>
      </c>
      <c r="AR78">
        <v>40</v>
      </c>
      <c r="AS78">
        <v>40</v>
      </c>
      <c r="AT78">
        <v>44</v>
      </c>
      <c r="AU78">
        <v>36</v>
      </c>
      <c r="AV78">
        <v>35</v>
      </c>
      <c r="AW78">
        <v>43</v>
      </c>
      <c r="AX78">
        <v>39</v>
      </c>
      <c r="AY78">
        <v>41</v>
      </c>
      <c r="AZ78">
        <v>41</v>
      </c>
      <c r="BA78">
        <v>41</v>
      </c>
      <c r="BB78">
        <v>40</v>
      </c>
      <c r="BC78">
        <v>32</v>
      </c>
    </row>
    <row r="79" spans="1:55" x14ac:dyDescent="0.25">
      <c r="A79" t="s">
        <v>3713</v>
      </c>
      <c r="B79" t="s">
        <v>120</v>
      </c>
      <c r="C79" t="s">
        <v>89</v>
      </c>
      <c r="D79">
        <v>61</v>
      </c>
      <c r="E79">
        <v>33.26</v>
      </c>
      <c r="F79">
        <v>35</v>
      </c>
      <c r="G79">
        <v>24</v>
      </c>
      <c r="H79">
        <v>28</v>
      </c>
      <c r="I79">
        <v>22</v>
      </c>
      <c r="J79">
        <v>32</v>
      </c>
      <c r="K79">
        <v>23</v>
      </c>
      <c r="L79">
        <v>30</v>
      </c>
      <c r="M79">
        <v>27</v>
      </c>
      <c r="N79">
        <v>27</v>
      </c>
      <c r="O79">
        <v>26</v>
      </c>
      <c r="P79">
        <v>28</v>
      </c>
      <c r="Q79">
        <v>34</v>
      </c>
      <c r="R79">
        <v>26</v>
      </c>
      <c r="S79">
        <v>34</v>
      </c>
      <c r="T79">
        <v>37</v>
      </c>
      <c r="U79">
        <v>38</v>
      </c>
      <c r="V79">
        <v>33</v>
      </c>
      <c r="W79">
        <v>32</v>
      </c>
      <c r="X79">
        <v>36</v>
      </c>
      <c r="Y79">
        <v>39</v>
      </c>
      <c r="Z79">
        <v>44</v>
      </c>
      <c r="AA79">
        <v>35</v>
      </c>
      <c r="AB79">
        <v>31</v>
      </c>
      <c r="AC79">
        <v>35</v>
      </c>
      <c r="AD79">
        <v>30</v>
      </c>
      <c r="AE79">
        <v>31</v>
      </c>
      <c r="AF79">
        <v>32</v>
      </c>
      <c r="AG79">
        <v>41</v>
      </c>
      <c r="AH79">
        <v>42</v>
      </c>
      <c r="AI79">
        <v>40</v>
      </c>
      <c r="AJ79">
        <v>51</v>
      </c>
      <c r="AK79">
        <v>53</v>
      </c>
      <c r="AL79">
        <v>36</v>
      </c>
      <c r="AM79">
        <v>38</v>
      </c>
      <c r="AN79">
        <v>37</v>
      </c>
      <c r="AO79">
        <v>34</v>
      </c>
      <c r="AP79">
        <v>30</v>
      </c>
      <c r="AQ79">
        <v>32</v>
      </c>
      <c r="AR79">
        <v>28</v>
      </c>
      <c r="AS79">
        <v>20</v>
      </c>
      <c r="AT79">
        <v>27</v>
      </c>
      <c r="AU79">
        <v>39</v>
      </c>
      <c r="AV79">
        <v>40</v>
      </c>
      <c r="AW79">
        <v>34</v>
      </c>
      <c r="AX79">
        <v>28</v>
      </c>
      <c r="AY79">
        <v>32</v>
      </c>
      <c r="AZ79">
        <v>39</v>
      </c>
      <c r="BA79">
        <v>23</v>
      </c>
      <c r="BB79">
        <v>33</v>
      </c>
      <c r="BC79">
        <v>37</v>
      </c>
    </row>
    <row r="80" spans="1:55" x14ac:dyDescent="0.25">
      <c r="A80" t="s">
        <v>3714</v>
      </c>
      <c r="B80" t="s">
        <v>121</v>
      </c>
      <c r="C80" t="s">
        <v>89</v>
      </c>
      <c r="D80">
        <v>429</v>
      </c>
      <c r="E80">
        <v>33.700000000000003</v>
      </c>
      <c r="F80">
        <v>38</v>
      </c>
      <c r="G80">
        <v>20</v>
      </c>
      <c r="H80">
        <v>17</v>
      </c>
      <c r="I80">
        <v>16</v>
      </c>
      <c r="J80">
        <v>31</v>
      </c>
      <c r="K80">
        <v>35</v>
      </c>
      <c r="L80">
        <v>32</v>
      </c>
      <c r="M80">
        <v>42</v>
      </c>
      <c r="N80">
        <v>34</v>
      </c>
      <c r="O80">
        <v>35</v>
      </c>
      <c r="P80">
        <v>32</v>
      </c>
      <c r="Q80">
        <v>27</v>
      </c>
      <c r="R80">
        <v>27</v>
      </c>
      <c r="S80">
        <v>41</v>
      </c>
      <c r="T80">
        <v>39</v>
      </c>
      <c r="U80">
        <v>26</v>
      </c>
      <c r="V80">
        <v>39</v>
      </c>
      <c r="W80">
        <v>35</v>
      </c>
      <c r="X80">
        <v>36</v>
      </c>
      <c r="Y80">
        <v>32</v>
      </c>
      <c r="Z80">
        <v>34</v>
      </c>
      <c r="AA80">
        <v>29</v>
      </c>
      <c r="AB80">
        <v>26</v>
      </c>
      <c r="AC80">
        <v>21</v>
      </c>
      <c r="AD80">
        <v>23</v>
      </c>
      <c r="AE80">
        <v>28</v>
      </c>
      <c r="AF80">
        <v>32</v>
      </c>
      <c r="AG80">
        <v>38</v>
      </c>
      <c r="AH80">
        <v>48</v>
      </c>
      <c r="AI80">
        <v>39</v>
      </c>
      <c r="AJ80">
        <v>66</v>
      </c>
      <c r="AK80">
        <v>52</v>
      </c>
      <c r="AL80">
        <v>41</v>
      </c>
      <c r="AM80">
        <v>28</v>
      </c>
      <c r="AN80">
        <v>23</v>
      </c>
      <c r="AO80">
        <v>16</v>
      </c>
      <c r="AP80">
        <v>31</v>
      </c>
      <c r="AQ80">
        <v>31</v>
      </c>
      <c r="AR80">
        <v>31</v>
      </c>
      <c r="AS80">
        <v>32</v>
      </c>
      <c r="AT80">
        <v>38</v>
      </c>
      <c r="AU80">
        <v>35</v>
      </c>
      <c r="AV80">
        <v>39</v>
      </c>
      <c r="AW80">
        <v>42</v>
      </c>
      <c r="AX80">
        <v>38</v>
      </c>
      <c r="AY80">
        <v>40</v>
      </c>
      <c r="AZ80">
        <v>41</v>
      </c>
      <c r="BA80">
        <v>41</v>
      </c>
      <c r="BB80">
        <v>34</v>
      </c>
      <c r="BC80">
        <v>34</v>
      </c>
    </row>
    <row r="81" spans="1:55" x14ac:dyDescent="0.25">
      <c r="A81" t="s">
        <v>3715</v>
      </c>
      <c r="B81" t="s">
        <v>122</v>
      </c>
      <c r="C81" t="s">
        <v>89</v>
      </c>
      <c r="D81">
        <v>249</v>
      </c>
      <c r="E81">
        <v>23.06</v>
      </c>
      <c r="F81">
        <v>30</v>
      </c>
      <c r="G81">
        <v>24</v>
      </c>
      <c r="H81">
        <v>15</v>
      </c>
      <c r="I81">
        <v>17</v>
      </c>
      <c r="J81">
        <v>22</v>
      </c>
      <c r="K81">
        <v>25</v>
      </c>
      <c r="L81">
        <v>24</v>
      </c>
      <c r="M81">
        <v>30</v>
      </c>
      <c r="N81">
        <v>26</v>
      </c>
      <c r="O81">
        <v>28</v>
      </c>
      <c r="P81">
        <v>24</v>
      </c>
      <c r="Q81">
        <v>27</v>
      </c>
      <c r="R81">
        <v>23</v>
      </c>
      <c r="S81">
        <v>29</v>
      </c>
      <c r="T81">
        <v>33</v>
      </c>
      <c r="U81">
        <v>29</v>
      </c>
      <c r="V81">
        <v>31</v>
      </c>
      <c r="W81">
        <v>27</v>
      </c>
      <c r="X81">
        <v>25</v>
      </c>
      <c r="Y81">
        <v>26</v>
      </c>
      <c r="Z81">
        <v>21</v>
      </c>
      <c r="AA81">
        <v>22</v>
      </c>
      <c r="AB81">
        <v>19</v>
      </c>
      <c r="AC81">
        <v>16</v>
      </c>
      <c r="AD81">
        <v>17</v>
      </c>
      <c r="AE81">
        <v>18</v>
      </c>
      <c r="AF81">
        <v>18</v>
      </c>
      <c r="AG81">
        <v>23</v>
      </c>
      <c r="AH81">
        <v>22</v>
      </c>
      <c r="AI81">
        <v>23</v>
      </c>
      <c r="AJ81">
        <v>34</v>
      </c>
      <c r="AK81">
        <v>31</v>
      </c>
      <c r="AL81">
        <v>27</v>
      </c>
      <c r="AM81">
        <v>20</v>
      </c>
      <c r="AN81">
        <v>14</v>
      </c>
      <c r="AO81">
        <v>14</v>
      </c>
      <c r="AP81">
        <v>15</v>
      </c>
      <c r="AQ81">
        <v>22</v>
      </c>
      <c r="AR81">
        <v>17</v>
      </c>
      <c r="AS81">
        <v>11</v>
      </c>
      <c r="AT81">
        <v>27</v>
      </c>
      <c r="AU81">
        <v>21</v>
      </c>
      <c r="AV81">
        <v>17</v>
      </c>
      <c r="AW81">
        <v>28</v>
      </c>
      <c r="AX81">
        <v>24</v>
      </c>
      <c r="AY81">
        <v>24</v>
      </c>
      <c r="AZ81">
        <v>25</v>
      </c>
      <c r="BA81">
        <v>24</v>
      </c>
      <c r="BB81">
        <v>23</v>
      </c>
      <c r="BC81">
        <v>21</v>
      </c>
    </row>
    <row r="82" spans="1:55" x14ac:dyDescent="0.25">
      <c r="A82" t="s">
        <v>3716</v>
      </c>
      <c r="B82" t="s">
        <v>123</v>
      </c>
      <c r="C82" t="s">
        <v>89</v>
      </c>
      <c r="D82">
        <v>210</v>
      </c>
      <c r="E82">
        <v>36.299999999999997</v>
      </c>
      <c r="F82">
        <v>49</v>
      </c>
      <c r="G82">
        <v>28</v>
      </c>
      <c r="H82">
        <v>23</v>
      </c>
      <c r="I82">
        <v>17</v>
      </c>
      <c r="J82">
        <v>38</v>
      </c>
      <c r="K82">
        <v>42</v>
      </c>
      <c r="L82">
        <v>36</v>
      </c>
      <c r="M82">
        <v>50</v>
      </c>
      <c r="N82">
        <v>48</v>
      </c>
      <c r="O82">
        <v>43</v>
      </c>
      <c r="P82">
        <v>40</v>
      </c>
      <c r="Q82">
        <v>28</v>
      </c>
      <c r="R82">
        <v>31</v>
      </c>
      <c r="S82">
        <v>41</v>
      </c>
      <c r="T82">
        <v>48</v>
      </c>
      <c r="U82">
        <v>31</v>
      </c>
      <c r="V82">
        <v>49</v>
      </c>
      <c r="W82">
        <v>46</v>
      </c>
      <c r="X82">
        <v>46</v>
      </c>
      <c r="Y82">
        <v>41</v>
      </c>
      <c r="Z82">
        <v>38</v>
      </c>
      <c r="AA82">
        <v>33</v>
      </c>
      <c r="AB82">
        <v>28</v>
      </c>
      <c r="AC82">
        <v>23</v>
      </c>
      <c r="AD82">
        <v>26</v>
      </c>
      <c r="AE82">
        <v>25</v>
      </c>
      <c r="AF82">
        <v>31</v>
      </c>
      <c r="AG82">
        <v>46</v>
      </c>
      <c r="AH82">
        <v>45</v>
      </c>
      <c r="AI82">
        <v>43</v>
      </c>
      <c r="AJ82">
        <v>59</v>
      </c>
      <c r="AK82">
        <v>53</v>
      </c>
      <c r="AL82">
        <v>38</v>
      </c>
      <c r="AM82">
        <v>26</v>
      </c>
      <c r="AN82">
        <v>17</v>
      </c>
      <c r="AO82">
        <v>17</v>
      </c>
      <c r="AP82">
        <v>25</v>
      </c>
      <c r="AQ82">
        <v>28</v>
      </c>
      <c r="AR82">
        <v>25</v>
      </c>
      <c r="AS82">
        <v>26</v>
      </c>
      <c r="AT82">
        <v>38</v>
      </c>
      <c r="AU82">
        <v>34</v>
      </c>
      <c r="AV82">
        <v>40</v>
      </c>
      <c r="AW82">
        <v>43</v>
      </c>
      <c r="AX82">
        <v>46</v>
      </c>
      <c r="AY82">
        <v>43</v>
      </c>
      <c r="AZ82">
        <v>42</v>
      </c>
      <c r="BA82">
        <v>38</v>
      </c>
      <c r="BB82">
        <v>35</v>
      </c>
      <c r="BC82">
        <v>29</v>
      </c>
    </row>
    <row r="83" spans="1:55" x14ac:dyDescent="0.25">
      <c r="A83" t="s">
        <v>3717</v>
      </c>
      <c r="B83" t="s">
        <v>124</v>
      </c>
      <c r="C83" t="s">
        <v>89</v>
      </c>
      <c r="D83">
        <v>970</v>
      </c>
      <c r="E83">
        <v>33.18</v>
      </c>
      <c r="F83">
        <v>39</v>
      </c>
      <c r="G83">
        <v>26</v>
      </c>
      <c r="H83">
        <v>22</v>
      </c>
      <c r="I83">
        <v>18</v>
      </c>
      <c r="J83">
        <v>35</v>
      </c>
      <c r="K83">
        <v>35</v>
      </c>
      <c r="L83">
        <v>30</v>
      </c>
      <c r="M83">
        <v>41</v>
      </c>
      <c r="N83">
        <v>39</v>
      </c>
      <c r="O83">
        <v>33</v>
      </c>
      <c r="P83">
        <v>33</v>
      </c>
      <c r="Q83">
        <v>29</v>
      </c>
      <c r="R83">
        <v>29</v>
      </c>
      <c r="S83">
        <v>40</v>
      </c>
      <c r="T83">
        <v>37</v>
      </c>
      <c r="U83">
        <v>31</v>
      </c>
      <c r="V83">
        <v>41</v>
      </c>
      <c r="W83">
        <v>38</v>
      </c>
      <c r="X83">
        <v>36</v>
      </c>
      <c r="Y83">
        <v>34</v>
      </c>
      <c r="Z83">
        <v>31</v>
      </c>
      <c r="AA83">
        <v>30</v>
      </c>
      <c r="AB83">
        <v>23</v>
      </c>
      <c r="AC83">
        <v>20</v>
      </c>
      <c r="AD83">
        <v>22</v>
      </c>
      <c r="AE83">
        <v>23</v>
      </c>
      <c r="AF83">
        <v>31</v>
      </c>
      <c r="AG83">
        <v>37</v>
      </c>
      <c r="AH83">
        <v>45</v>
      </c>
      <c r="AI83">
        <v>40</v>
      </c>
      <c r="AJ83">
        <v>59</v>
      </c>
      <c r="AK83">
        <v>51</v>
      </c>
      <c r="AL83">
        <v>39</v>
      </c>
      <c r="AM83">
        <v>28</v>
      </c>
      <c r="AN83">
        <v>19</v>
      </c>
      <c r="AO83">
        <v>18</v>
      </c>
      <c r="AP83">
        <v>29</v>
      </c>
      <c r="AQ83">
        <v>30</v>
      </c>
      <c r="AR83">
        <v>25</v>
      </c>
      <c r="AS83">
        <v>25</v>
      </c>
      <c r="AT83">
        <v>37</v>
      </c>
      <c r="AU83">
        <v>33</v>
      </c>
      <c r="AV83">
        <v>33</v>
      </c>
      <c r="AW83">
        <v>39</v>
      </c>
      <c r="AX83">
        <v>39</v>
      </c>
      <c r="AY83">
        <v>40</v>
      </c>
      <c r="AZ83">
        <v>39</v>
      </c>
      <c r="BA83">
        <v>38</v>
      </c>
      <c r="BB83">
        <v>39</v>
      </c>
      <c r="BC83">
        <v>31</v>
      </c>
    </row>
    <row r="84" spans="1:55" x14ac:dyDescent="0.25">
      <c r="A84" t="s">
        <v>3718</v>
      </c>
      <c r="B84" t="s">
        <v>125</v>
      </c>
      <c r="C84" t="s">
        <v>89</v>
      </c>
      <c r="D84">
        <v>665</v>
      </c>
      <c r="E84">
        <v>41.02</v>
      </c>
      <c r="F84">
        <v>50</v>
      </c>
      <c r="G84">
        <v>35</v>
      </c>
      <c r="H84">
        <v>26</v>
      </c>
      <c r="I84">
        <v>24</v>
      </c>
      <c r="J84">
        <v>40</v>
      </c>
      <c r="K84">
        <v>42</v>
      </c>
      <c r="L84">
        <v>41</v>
      </c>
      <c r="M84">
        <v>49</v>
      </c>
      <c r="N84">
        <v>44</v>
      </c>
      <c r="O84">
        <v>44</v>
      </c>
      <c r="P84">
        <v>43</v>
      </c>
      <c r="Q84">
        <v>39</v>
      </c>
      <c r="R84">
        <v>40</v>
      </c>
      <c r="S84">
        <v>50</v>
      </c>
      <c r="T84">
        <v>43</v>
      </c>
      <c r="U84">
        <v>39</v>
      </c>
      <c r="V84">
        <v>51</v>
      </c>
      <c r="W84">
        <v>48</v>
      </c>
      <c r="X84">
        <v>45</v>
      </c>
      <c r="Y84">
        <v>46</v>
      </c>
      <c r="Z84">
        <v>40</v>
      </c>
      <c r="AA84">
        <v>39</v>
      </c>
      <c r="AB84">
        <v>34</v>
      </c>
      <c r="AC84">
        <v>29</v>
      </c>
      <c r="AD84">
        <v>33</v>
      </c>
      <c r="AE84">
        <v>37</v>
      </c>
      <c r="AF84">
        <v>41</v>
      </c>
      <c r="AG84">
        <v>43</v>
      </c>
      <c r="AH84">
        <v>50</v>
      </c>
      <c r="AI84">
        <v>45</v>
      </c>
      <c r="AJ84">
        <v>60</v>
      </c>
      <c r="AK84">
        <v>65</v>
      </c>
      <c r="AL84">
        <v>51</v>
      </c>
      <c r="AM84">
        <v>35</v>
      </c>
      <c r="AN84">
        <v>28</v>
      </c>
      <c r="AO84">
        <v>27</v>
      </c>
      <c r="AP84">
        <v>32</v>
      </c>
      <c r="AQ84">
        <v>32</v>
      </c>
      <c r="AR84">
        <v>28</v>
      </c>
      <c r="AS84">
        <v>32</v>
      </c>
      <c r="AT84">
        <v>42</v>
      </c>
      <c r="AU84">
        <v>39</v>
      </c>
      <c r="AV84">
        <v>40</v>
      </c>
      <c r="AW84">
        <v>48</v>
      </c>
      <c r="AX84">
        <v>44</v>
      </c>
      <c r="AY84">
        <v>48</v>
      </c>
      <c r="AZ84">
        <v>48</v>
      </c>
      <c r="BA84">
        <v>42</v>
      </c>
      <c r="BB84">
        <v>43</v>
      </c>
      <c r="BC84">
        <v>37</v>
      </c>
    </row>
    <row r="85" spans="1:55" x14ac:dyDescent="0.25">
      <c r="A85" t="s">
        <v>3719</v>
      </c>
      <c r="B85" t="s">
        <v>71</v>
      </c>
      <c r="C85" t="s">
        <v>89</v>
      </c>
      <c r="D85">
        <v>412</v>
      </c>
      <c r="E85">
        <v>41.04</v>
      </c>
      <c r="F85">
        <v>48</v>
      </c>
      <c r="G85">
        <v>35</v>
      </c>
      <c r="H85">
        <v>26</v>
      </c>
      <c r="I85">
        <v>25</v>
      </c>
      <c r="J85">
        <v>39</v>
      </c>
      <c r="K85">
        <v>42</v>
      </c>
      <c r="L85">
        <v>40</v>
      </c>
      <c r="M85">
        <v>49</v>
      </c>
      <c r="N85">
        <v>43</v>
      </c>
      <c r="O85">
        <v>42</v>
      </c>
      <c r="P85">
        <v>44</v>
      </c>
      <c r="Q85">
        <v>40</v>
      </c>
      <c r="R85">
        <v>38</v>
      </c>
      <c r="S85">
        <v>48</v>
      </c>
      <c r="T85">
        <v>43</v>
      </c>
      <c r="U85">
        <v>37</v>
      </c>
      <c r="V85">
        <v>49</v>
      </c>
      <c r="W85">
        <v>48</v>
      </c>
      <c r="X85">
        <v>44</v>
      </c>
      <c r="Y85">
        <v>47</v>
      </c>
      <c r="Z85">
        <v>42</v>
      </c>
      <c r="AA85">
        <v>39</v>
      </c>
      <c r="AB85">
        <v>33</v>
      </c>
      <c r="AC85">
        <v>29</v>
      </c>
      <c r="AD85">
        <v>33</v>
      </c>
      <c r="AE85">
        <v>38</v>
      </c>
      <c r="AF85">
        <v>40</v>
      </c>
      <c r="AG85">
        <v>42</v>
      </c>
      <c r="AH85">
        <v>49</v>
      </c>
      <c r="AI85">
        <v>44</v>
      </c>
      <c r="AJ85">
        <v>58</v>
      </c>
      <c r="AK85">
        <v>66</v>
      </c>
      <c r="AL85">
        <v>53</v>
      </c>
      <c r="AM85">
        <v>35</v>
      </c>
      <c r="AN85">
        <v>29</v>
      </c>
      <c r="AO85">
        <v>28</v>
      </c>
      <c r="AP85">
        <v>33</v>
      </c>
      <c r="AQ85">
        <v>29</v>
      </c>
      <c r="AR85">
        <v>29</v>
      </c>
      <c r="AS85">
        <v>33</v>
      </c>
      <c r="AT85">
        <v>42</v>
      </c>
      <c r="AU85">
        <v>40</v>
      </c>
      <c r="AV85">
        <v>43</v>
      </c>
      <c r="AW85">
        <v>52</v>
      </c>
      <c r="AX85">
        <v>44</v>
      </c>
      <c r="AY85">
        <v>50</v>
      </c>
      <c r="AZ85">
        <v>49</v>
      </c>
      <c r="BA85">
        <v>41</v>
      </c>
      <c r="BB85">
        <v>44</v>
      </c>
      <c r="BC85">
        <v>38</v>
      </c>
    </row>
    <row r="86" spans="1:55" x14ac:dyDescent="0.25">
      <c r="A86" t="s">
        <v>3720</v>
      </c>
      <c r="B86" t="s">
        <v>127</v>
      </c>
      <c r="C86" t="s">
        <v>89</v>
      </c>
      <c r="D86">
        <v>253</v>
      </c>
      <c r="E86">
        <v>41</v>
      </c>
      <c r="F86">
        <v>53</v>
      </c>
      <c r="G86">
        <v>35</v>
      </c>
      <c r="H86">
        <v>26</v>
      </c>
      <c r="I86">
        <v>23</v>
      </c>
      <c r="J86">
        <v>41</v>
      </c>
      <c r="K86">
        <v>42</v>
      </c>
      <c r="L86">
        <v>43</v>
      </c>
      <c r="M86">
        <v>49</v>
      </c>
      <c r="N86">
        <v>45</v>
      </c>
      <c r="O86">
        <v>47</v>
      </c>
      <c r="P86">
        <v>42</v>
      </c>
      <c r="Q86">
        <v>38</v>
      </c>
      <c r="R86">
        <v>43</v>
      </c>
      <c r="S86">
        <v>53</v>
      </c>
      <c r="T86">
        <v>43</v>
      </c>
      <c r="U86">
        <v>42</v>
      </c>
      <c r="V86">
        <v>53</v>
      </c>
      <c r="W86">
        <v>48</v>
      </c>
      <c r="X86">
        <v>46</v>
      </c>
      <c r="Y86">
        <v>46</v>
      </c>
      <c r="Z86">
        <v>36</v>
      </c>
      <c r="AA86">
        <v>40</v>
      </c>
      <c r="AB86">
        <v>36</v>
      </c>
      <c r="AC86">
        <v>29</v>
      </c>
      <c r="AD86">
        <v>33</v>
      </c>
      <c r="AE86">
        <v>36</v>
      </c>
      <c r="AF86">
        <v>42</v>
      </c>
      <c r="AG86">
        <v>44</v>
      </c>
      <c r="AH86">
        <v>51</v>
      </c>
      <c r="AI86">
        <v>46</v>
      </c>
      <c r="AJ86">
        <v>63</v>
      </c>
      <c r="AK86">
        <v>65</v>
      </c>
      <c r="AL86">
        <v>46</v>
      </c>
      <c r="AM86">
        <v>34</v>
      </c>
      <c r="AN86">
        <v>26</v>
      </c>
      <c r="AO86">
        <v>27</v>
      </c>
      <c r="AP86">
        <v>31</v>
      </c>
      <c r="AQ86">
        <v>35</v>
      </c>
      <c r="AR86">
        <v>27</v>
      </c>
      <c r="AS86">
        <v>31</v>
      </c>
      <c r="AT86">
        <v>41</v>
      </c>
      <c r="AU86">
        <v>38</v>
      </c>
      <c r="AV86">
        <v>36</v>
      </c>
      <c r="AW86">
        <v>43</v>
      </c>
      <c r="AX86">
        <v>43</v>
      </c>
      <c r="AY86">
        <v>46</v>
      </c>
      <c r="AZ86">
        <v>46</v>
      </c>
      <c r="BA86">
        <v>43</v>
      </c>
      <c r="BB86">
        <v>42</v>
      </c>
      <c r="BC86">
        <v>36</v>
      </c>
    </row>
    <row r="87" spans="1:55" x14ac:dyDescent="0.25">
      <c r="A87" t="s">
        <v>3721</v>
      </c>
      <c r="B87" t="s">
        <v>128</v>
      </c>
      <c r="C87" t="s">
        <v>89</v>
      </c>
      <c r="D87">
        <v>917</v>
      </c>
      <c r="E87">
        <v>43.96</v>
      </c>
      <c r="F87">
        <v>56</v>
      </c>
      <c r="G87">
        <v>37</v>
      </c>
      <c r="H87">
        <v>33</v>
      </c>
      <c r="I87">
        <v>28</v>
      </c>
      <c r="J87">
        <v>42</v>
      </c>
      <c r="K87">
        <v>42</v>
      </c>
      <c r="L87">
        <v>41</v>
      </c>
      <c r="M87">
        <v>49</v>
      </c>
      <c r="N87">
        <v>46</v>
      </c>
      <c r="O87">
        <v>48</v>
      </c>
      <c r="P87">
        <v>45</v>
      </c>
      <c r="Q87">
        <v>43</v>
      </c>
      <c r="R87">
        <v>43</v>
      </c>
      <c r="S87">
        <v>54</v>
      </c>
      <c r="T87">
        <v>51</v>
      </c>
      <c r="U87">
        <v>46</v>
      </c>
      <c r="V87">
        <v>54</v>
      </c>
      <c r="W87">
        <v>51</v>
      </c>
      <c r="X87">
        <v>48</v>
      </c>
      <c r="Y87">
        <v>50</v>
      </c>
      <c r="Z87">
        <v>47</v>
      </c>
      <c r="AA87">
        <v>43</v>
      </c>
      <c r="AB87">
        <v>39</v>
      </c>
      <c r="AC87">
        <v>31</v>
      </c>
      <c r="AD87">
        <v>34</v>
      </c>
      <c r="AE87">
        <v>36</v>
      </c>
      <c r="AF87">
        <v>42</v>
      </c>
      <c r="AG87">
        <v>47</v>
      </c>
      <c r="AH87">
        <v>54</v>
      </c>
      <c r="AI87">
        <v>52</v>
      </c>
      <c r="AJ87">
        <v>70</v>
      </c>
      <c r="AK87">
        <v>66</v>
      </c>
      <c r="AL87">
        <v>55</v>
      </c>
      <c r="AM87">
        <v>40</v>
      </c>
      <c r="AN87">
        <v>28</v>
      </c>
      <c r="AO87">
        <v>25</v>
      </c>
      <c r="AP87">
        <v>32</v>
      </c>
      <c r="AQ87">
        <v>35</v>
      </c>
      <c r="AR87">
        <v>33</v>
      </c>
      <c r="AS87">
        <v>31</v>
      </c>
      <c r="AT87">
        <v>42</v>
      </c>
      <c r="AU87">
        <v>39</v>
      </c>
      <c r="AV87">
        <v>43</v>
      </c>
      <c r="AW87">
        <v>46</v>
      </c>
      <c r="AX87">
        <v>45</v>
      </c>
      <c r="AY87">
        <v>50</v>
      </c>
      <c r="AZ87">
        <v>50</v>
      </c>
      <c r="BA87">
        <v>49</v>
      </c>
      <c r="BB87">
        <v>47</v>
      </c>
      <c r="BC87">
        <v>40</v>
      </c>
    </row>
    <row r="88" spans="1:55" x14ac:dyDescent="0.25">
      <c r="A88" t="s">
        <v>3722</v>
      </c>
      <c r="B88" t="s">
        <v>72</v>
      </c>
      <c r="C88" t="s">
        <v>89</v>
      </c>
      <c r="D88">
        <v>122</v>
      </c>
      <c r="E88">
        <v>43.02</v>
      </c>
      <c r="F88">
        <v>55</v>
      </c>
      <c r="G88">
        <v>34</v>
      </c>
      <c r="H88">
        <v>25</v>
      </c>
      <c r="I88">
        <v>27</v>
      </c>
      <c r="J88">
        <v>41</v>
      </c>
      <c r="K88">
        <v>48</v>
      </c>
      <c r="L88">
        <v>45</v>
      </c>
      <c r="M88">
        <v>61</v>
      </c>
      <c r="N88">
        <v>44</v>
      </c>
      <c r="O88">
        <v>43</v>
      </c>
      <c r="P88">
        <v>44</v>
      </c>
      <c r="Q88">
        <v>40</v>
      </c>
      <c r="R88">
        <v>40</v>
      </c>
      <c r="S88">
        <v>48</v>
      </c>
      <c r="T88">
        <v>50</v>
      </c>
      <c r="U88">
        <v>45</v>
      </c>
      <c r="V88">
        <v>55</v>
      </c>
      <c r="W88">
        <v>54</v>
      </c>
      <c r="X88">
        <v>51</v>
      </c>
      <c r="Y88">
        <v>46</v>
      </c>
      <c r="Z88">
        <v>41</v>
      </c>
      <c r="AA88">
        <v>34</v>
      </c>
      <c r="AB88">
        <v>30</v>
      </c>
      <c r="AC88">
        <v>26</v>
      </c>
      <c r="AD88">
        <v>24</v>
      </c>
      <c r="AE88">
        <v>29</v>
      </c>
      <c r="AF88">
        <v>35</v>
      </c>
      <c r="AG88">
        <v>42</v>
      </c>
      <c r="AH88">
        <v>50</v>
      </c>
      <c r="AI88">
        <v>46</v>
      </c>
      <c r="AJ88">
        <v>70</v>
      </c>
      <c r="AK88">
        <v>57</v>
      </c>
      <c r="AL88">
        <v>46</v>
      </c>
      <c r="AM88">
        <v>39</v>
      </c>
      <c r="AN88">
        <v>32</v>
      </c>
      <c r="AO88">
        <v>32</v>
      </c>
      <c r="AP88">
        <v>35</v>
      </c>
      <c r="AQ88">
        <v>37</v>
      </c>
      <c r="AR88">
        <v>32</v>
      </c>
      <c r="AS88">
        <v>31</v>
      </c>
      <c r="AT88">
        <v>39</v>
      </c>
      <c r="AU88">
        <v>46</v>
      </c>
      <c r="AV88">
        <v>48</v>
      </c>
      <c r="AW88">
        <v>66</v>
      </c>
      <c r="AX88">
        <v>53</v>
      </c>
      <c r="AY88">
        <v>50</v>
      </c>
      <c r="AZ88">
        <v>59</v>
      </c>
      <c r="BA88">
        <v>44</v>
      </c>
      <c r="BB88">
        <v>48</v>
      </c>
      <c r="BC88">
        <v>34</v>
      </c>
    </row>
    <row r="89" spans="1:55" x14ac:dyDescent="0.25">
      <c r="A89" t="s">
        <v>3723</v>
      </c>
      <c r="B89" t="s">
        <v>240</v>
      </c>
      <c r="C89" t="s">
        <v>89</v>
      </c>
      <c r="D89">
        <v>46</v>
      </c>
      <c r="E89">
        <v>34.76</v>
      </c>
      <c r="F89">
        <v>49</v>
      </c>
      <c r="G89">
        <v>37</v>
      </c>
      <c r="H89">
        <v>29</v>
      </c>
      <c r="I89">
        <v>32</v>
      </c>
      <c r="J89">
        <v>28</v>
      </c>
      <c r="K89">
        <v>31</v>
      </c>
      <c r="L89">
        <v>30</v>
      </c>
      <c r="M89">
        <v>43</v>
      </c>
      <c r="N89">
        <v>37</v>
      </c>
      <c r="O89">
        <v>26</v>
      </c>
      <c r="P89">
        <v>33</v>
      </c>
      <c r="Q89">
        <v>30</v>
      </c>
      <c r="R89">
        <v>38</v>
      </c>
      <c r="S89">
        <v>36</v>
      </c>
      <c r="T89">
        <v>37</v>
      </c>
      <c r="U89">
        <v>32</v>
      </c>
      <c r="V89">
        <v>37</v>
      </c>
      <c r="W89">
        <v>34</v>
      </c>
      <c r="X89">
        <v>39</v>
      </c>
      <c r="Y89">
        <v>37</v>
      </c>
      <c r="Z89">
        <v>39</v>
      </c>
      <c r="AA89">
        <v>36</v>
      </c>
      <c r="AB89">
        <v>30</v>
      </c>
      <c r="AC89">
        <v>36</v>
      </c>
      <c r="AD89">
        <v>35</v>
      </c>
      <c r="AE89">
        <v>30</v>
      </c>
      <c r="AF89">
        <v>37</v>
      </c>
      <c r="AG89">
        <v>36</v>
      </c>
      <c r="AH89">
        <v>36</v>
      </c>
      <c r="AI89">
        <v>36</v>
      </c>
      <c r="AJ89">
        <v>68</v>
      </c>
      <c r="AK89">
        <v>64</v>
      </c>
      <c r="AL89">
        <v>45</v>
      </c>
      <c r="AM89">
        <v>49</v>
      </c>
      <c r="AN89">
        <v>30</v>
      </c>
      <c r="AO89">
        <v>27</v>
      </c>
      <c r="AP89">
        <v>37</v>
      </c>
      <c r="AQ89">
        <v>23</v>
      </c>
      <c r="AR89">
        <v>30</v>
      </c>
      <c r="AS89">
        <v>25</v>
      </c>
      <c r="AT89">
        <v>33</v>
      </c>
      <c r="AU89">
        <v>20</v>
      </c>
      <c r="AV89">
        <v>28</v>
      </c>
      <c r="AW89">
        <v>37</v>
      </c>
      <c r="AX89">
        <v>30</v>
      </c>
      <c r="AY89">
        <v>27</v>
      </c>
      <c r="AZ89">
        <v>35</v>
      </c>
      <c r="BA89">
        <v>28</v>
      </c>
      <c r="BB89">
        <v>35</v>
      </c>
      <c r="BC89">
        <v>21</v>
      </c>
    </row>
    <row r="90" spans="1:55" x14ac:dyDescent="0.25">
      <c r="A90" t="s">
        <v>3724</v>
      </c>
      <c r="B90" t="s">
        <v>129</v>
      </c>
      <c r="C90" t="s">
        <v>89</v>
      </c>
      <c r="D90">
        <v>97</v>
      </c>
      <c r="E90">
        <v>25.86</v>
      </c>
      <c r="F90">
        <v>39</v>
      </c>
      <c r="G90">
        <v>23</v>
      </c>
      <c r="H90">
        <v>22</v>
      </c>
      <c r="I90">
        <v>23</v>
      </c>
      <c r="J90">
        <v>20</v>
      </c>
      <c r="K90">
        <v>31</v>
      </c>
      <c r="L90">
        <v>23</v>
      </c>
      <c r="M90">
        <v>32</v>
      </c>
      <c r="N90">
        <v>29</v>
      </c>
      <c r="O90">
        <v>33</v>
      </c>
      <c r="P90">
        <v>33</v>
      </c>
      <c r="Q90">
        <v>30</v>
      </c>
      <c r="R90">
        <v>25</v>
      </c>
      <c r="S90">
        <v>36</v>
      </c>
      <c r="T90">
        <v>30</v>
      </c>
      <c r="U90">
        <v>25</v>
      </c>
      <c r="V90">
        <v>31</v>
      </c>
      <c r="W90">
        <v>22</v>
      </c>
      <c r="X90">
        <v>20</v>
      </c>
      <c r="Y90">
        <v>32</v>
      </c>
      <c r="Z90">
        <v>24</v>
      </c>
      <c r="AA90">
        <v>22</v>
      </c>
      <c r="AB90">
        <v>19</v>
      </c>
      <c r="AC90">
        <v>20</v>
      </c>
      <c r="AD90">
        <v>17</v>
      </c>
      <c r="AE90">
        <v>20</v>
      </c>
      <c r="AF90">
        <v>27</v>
      </c>
      <c r="AG90">
        <v>23</v>
      </c>
      <c r="AH90">
        <v>30</v>
      </c>
      <c r="AI90">
        <v>31</v>
      </c>
      <c r="AJ90">
        <v>44</v>
      </c>
      <c r="AK90">
        <v>36</v>
      </c>
      <c r="AL90">
        <v>33</v>
      </c>
      <c r="AM90">
        <v>21</v>
      </c>
      <c r="AN90">
        <v>11</v>
      </c>
      <c r="AO90">
        <v>13</v>
      </c>
      <c r="AP90">
        <v>19</v>
      </c>
      <c r="AQ90">
        <v>26</v>
      </c>
      <c r="AR90">
        <v>24</v>
      </c>
      <c r="AS90">
        <v>23</v>
      </c>
      <c r="AT90">
        <v>19</v>
      </c>
      <c r="AU90">
        <v>21</v>
      </c>
      <c r="AV90">
        <v>21</v>
      </c>
      <c r="AW90">
        <v>29</v>
      </c>
      <c r="AX90">
        <v>20</v>
      </c>
      <c r="AY90">
        <v>28</v>
      </c>
      <c r="AZ90">
        <v>29</v>
      </c>
      <c r="BA90">
        <v>26</v>
      </c>
      <c r="BB90">
        <v>31</v>
      </c>
      <c r="BC90">
        <v>27</v>
      </c>
    </row>
    <row r="91" spans="1:55" x14ac:dyDescent="0.25">
      <c r="A91" t="s">
        <v>3725</v>
      </c>
      <c r="B91" t="s">
        <v>241</v>
      </c>
      <c r="C91" t="s">
        <v>89</v>
      </c>
      <c r="D91">
        <v>166</v>
      </c>
      <c r="E91">
        <v>36.64</v>
      </c>
      <c r="F91">
        <v>49</v>
      </c>
      <c r="G91">
        <v>32</v>
      </c>
      <c r="H91">
        <v>24</v>
      </c>
      <c r="I91">
        <v>27</v>
      </c>
      <c r="J91">
        <v>28</v>
      </c>
      <c r="K91">
        <v>33</v>
      </c>
      <c r="L91">
        <v>30</v>
      </c>
      <c r="M91">
        <v>37</v>
      </c>
      <c r="N91">
        <v>41</v>
      </c>
      <c r="O91">
        <v>47</v>
      </c>
      <c r="P91">
        <v>37</v>
      </c>
      <c r="Q91">
        <v>30</v>
      </c>
      <c r="R91">
        <v>35</v>
      </c>
      <c r="S91">
        <v>43</v>
      </c>
      <c r="T91">
        <v>41</v>
      </c>
      <c r="U91">
        <v>35</v>
      </c>
      <c r="V91">
        <v>38</v>
      </c>
      <c r="W91">
        <v>36</v>
      </c>
      <c r="X91">
        <v>37</v>
      </c>
      <c r="Y91">
        <v>38</v>
      </c>
      <c r="Z91">
        <v>32</v>
      </c>
      <c r="AA91">
        <v>37</v>
      </c>
      <c r="AB91">
        <v>34</v>
      </c>
      <c r="AC91">
        <v>26</v>
      </c>
      <c r="AD91">
        <v>31</v>
      </c>
      <c r="AE91">
        <v>36</v>
      </c>
      <c r="AF91">
        <v>36</v>
      </c>
      <c r="AG91">
        <v>36</v>
      </c>
      <c r="AH91">
        <v>39</v>
      </c>
      <c r="AI91">
        <v>35</v>
      </c>
      <c r="AJ91">
        <v>60</v>
      </c>
      <c r="AK91">
        <v>53</v>
      </c>
      <c r="AL91">
        <v>51</v>
      </c>
      <c r="AM91">
        <v>38</v>
      </c>
      <c r="AN91">
        <v>31</v>
      </c>
      <c r="AO91">
        <v>25</v>
      </c>
      <c r="AP91">
        <v>32</v>
      </c>
      <c r="AQ91">
        <v>32</v>
      </c>
      <c r="AR91">
        <v>30</v>
      </c>
      <c r="AS91">
        <v>30</v>
      </c>
      <c r="AT91">
        <v>39</v>
      </c>
      <c r="AU91">
        <v>37</v>
      </c>
      <c r="AV91">
        <v>35</v>
      </c>
      <c r="AW91">
        <v>43</v>
      </c>
      <c r="AX91">
        <v>39</v>
      </c>
      <c r="AY91">
        <v>48</v>
      </c>
      <c r="AZ91">
        <v>41</v>
      </c>
      <c r="BA91">
        <v>37</v>
      </c>
      <c r="BB91">
        <v>36</v>
      </c>
      <c r="BC91">
        <v>35</v>
      </c>
    </row>
    <row r="92" spans="1:55" x14ac:dyDescent="0.25">
      <c r="A92" t="s">
        <v>3726</v>
      </c>
      <c r="B92" t="s">
        <v>242</v>
      </c>
      <c r="C92" t="s">
        <v>89</v>
      </c>
      <c r="D92">
        <v>99</v>
      </c>
      <c r="E92">
        <v>25.9</v>
      </c>
      <c r="F92">
        <v>31</v>
      </c>
      <c r="G92">
        <v>35</v>
      </c>
      <c r="H92">
        <v>15</v>
      </c>
      <c r="I92">
        <v>21</v>
      </c>
      <c r="J92">
        <v>20</v>
      </c>
      <c r="K92">
        <v>31</v>
      </c>
      <c r="L92">
        <v>23</v>
      </c>
      <c r="M92">
        <v>29</v>
      </c>
      <c r="N92">
        <v>25</v>
      </c>
      <c r="O92">
        <v>22</v>
      </c>
      <c r="P92">
        <v>26</v>
      </c>
      <c r="Q92">
        <v>26</v>
      </c>
      <c r="R92">
        <v>24</v>
      </c>
      <c r="S92">
        <v>37</v>
      </c>
      <c r="T92">
        <v>33</v>
      </c>
      <c r="U92">
        <v>29</v>
      </c>
      <c r="V92">
        <v>27</v>
      </c>
      <c r="W92">
        <v>33</v>
      </c>
      <c r="X92">
        <v>23</v>
      </c>
      <c r="Y92">
        <v>29</v>
      </c>
      <c r="Z92">
        <v>30</v>
      </c>
      <c r="AA92">
        <v>22</v>
      </c>
      <c r="AB92">
        <v>15</v>
      </c>
      <c r="AC92">
        <v>15</v>
      </c>
      <c r="AD92">
        <v>11</v>
      </c>
      <c r="AE92">
        <v>26</v>
      </c>
      <c r="AF92">
        <v>35</v>
      </c>
      <c r="AG92">
        <v>30</v>
      </c>
      <c r="AH92">
        <v>27</v>
      </c>
      <c r="AI92">
        <v>33</v>
      </c>
      <c r="AJ92">
        <v>77</v>
      </c>
      <c r="AK92">
        <v>40</v>
      </c>
      <c r="AL92">
        <v>30</v>
      </c>
      <c r="AM92">
        <v>31</v>
      </c>
      <c r="AN92">
        <v>16</v>
      </c>
      <c r="AO92">
        <v>21</v>
      </c>
      <c r="AP92">
        <v>10</v>
      </c>
      <c r="AQ92">
        <v>21</v>
      </c>
      <c r="AR92">
        <v>15</v>
      </c>
      <c r="AS92">
        <v>19</v>
      </c>
      <c r="AT92">
        <v>21</v>
      </c>
      <c r="AU92">
        <v>26</v>
      </c>
      <c r="AV92">
        <v>25</v>
      </c>
      <c r="AW92">
        <v>30</v>
      </c>
      <c r="AX92">
        <v>26</v>
      </c>
      <c r="AY92">
        <v>24</v>
      </c>
      <c r="AZ92">
        <v>17</v>
      </c>
      <c r="BA92">
        <v>23</v>
      </c>
      <c r="BB92">
        <v>21</v>
      </c>
      <c r="BC92">
        <v>19</v>
      </c>
    </row>
    <row r="93" spans="1:55" x14ac:dyDescent="0.25">
      <c r="A93" t="s">
        <v>3727</v>
      </c>
      <c r="B93" t="s">
        <v>132</v>
      </c>
      <c r="C93" t="s">
        <v>89</v>
      </c>
      <c r="D93">
        <v>139</v>
      </c>
      <c r="E93">
        <v>1.96</v>
      </c>
      <c r="F93">
        <v>2</v>
      </c>
      <c r="G93">
        <v>2</v>
      </c>
      <c r="H93">
        <v>3</v>
      </c>
      <c r="I93">
        <v>4</v>
      </c>
      <c r="J93">
        <v>4</v>
      </c>
      <c r="K93">
        <v>4</v>
      </c>
      <c r="L93">
        <v>2</v>
      </c>
      <c r="M93">
        <v>3</v>
      </c>
      <c r="N93">
        <v>2</v>
      </c>
      <c r="O93">
        <v>1</v>
      </c>
      <c r="P93">
        <v>1</v>
      </c>
      <c r="Q93">
        <v>2</v>
      </c>
      <c r="R93">
        <v>1</v>
      </c>
      <c r="S93">
        <v>5</v>
      </c>
      <c r="T93">
        <v>2</v>
      </c>
      <c r="U93">
        <v>1</v>
      </c>
      <c r="V93">
        <v>1</v>
      </c>
      <c r="W93">
        <v>3</v>
      </c>
      <c r="X93">
        <v>2</v>
      </c>
      <c r="Y93">
        <v>2</v>
      </c>
      <c r="Z93">
        <v>2</v>
      </c>
      <c r="AA93">
        <v>2</v>
      </c>
      <c r="AB93">
        <v>1</v>
      </c>
      <c r="AC93">
        <v>1</v>
      </c>
      <c r="AD93">
        <v>0</v>
      </c>
      <c r="AE93">
        <v>0</v>
      </c>
      <c r="AF93">
        <v>2</v>
      </c>
      <c r="AG93">
        <v>0</v>
      </c>
      <c r="AH93">
        <v>2</v>
      </c>
      <c r="AI93">
        <v>0</v>
      </c>
      <c r="AJ93">
        <v>2</v>
      </c>
      <c r="AK93">
        <v>3</v>
      </c>
      <c r="AL93">
        <v>2</v>
      </c>
      <c r="AM93">
        <v>1</v>
      </c>
      <c r="AN93">
        <v>1</v>
      </c>
      <c r="AO93">
        <v>0</v>
      </c>
      <c r="AP93">
        <v>3</v>
      </c>
      <c r="AQ93">
        <v>1</v>
      </c>
      <c r="AR93">
        <v>4</v>
      </c>
      <c r="AS93">
        <v>1</v>
      </c>
      <c r="AT93">
        <v>1</v>
      </c>
      <c r="AU93">
        <v>1</v>
      </c>
      <c r="AV93">
        <v>2</v>
      </c>
      <c r="AW93">
        <v>3</v>
      </c>
      <c r="AX93">
        <v>2</v>
      </c>
      <c r="AY93">
        <v>4</v>
      </c>
      <c r="AZ93">
        <v>0</v>
      </c>
      <c r="BA93">
        <v>2</v>
      </c>
      <c r="BB93">
        <v>4</v>
      </c>
      <c r="BC93">
        <v>4</v>
      </c>
    </row>
    <row r="94" spans="1:55" x14ac:dyDescent="0.25">
      <c r="A94" t="s">
        <v>3728</v>
      </c>
      <c r="B94" t="s">
        <v>243</v>
      </c>
      <c r="C94" t="s">
        <v>89</v>
      </c>
      <c r="D94">
        <v>207</v>
      </c>
      <c r="E94">
        <v>7.64</v>
      </c>
      <c r="F94">
        <v>11</v>
      </c>
      <c r="G94">
        <v>7</v>
      </c>
      <c r="H94">
        <v>12</v>
      </c>
      <c r="I94">
        <v>5</v>
      </c>
      <c r="J94">
        <v>11</v>
      </c>
      <c r="K94">
        <v>9</v>
      </c>
      <c r="L94">
        <v>11</v>
      </c>
      <c r="M94">
        <v>15</v>
      </c>
      <c r="N94">
        <v>10</v>
      </c>
      <c r="O94">
        <v>6</v>
      </c>
      <c r="P94">
        <v>9</v>
      </c>
      <c r="Q94">
        <v>7</v>
      </c>
      <c r="R94">
        <v>4</v>
      </c>
      <c r="S94">
        <v>7</v>
      </c>
      <c r="T94">
        <v>10</v>
      </c>
      <c r="U94">
        <v>7</v>
      </c>
      <c r="V94">
        <v>9</v>
      </c>
      <c r="W94">
        <v>12</v>
      </c>
      <c r="X94">
        <v>8</v>
      </c>
      <c r="Y94">
        <v>7</v>
      </c>
      <c r="Z94">
        <v>6</v>
      </c>
      <c r="AA94">
        <v>9</v>
      </c>
      <c r="AB94">
        <v>8</v>
      </c>
      <c r="AC94">
        <v>7</v>
      </c>
      <c r="AD94">
        <v>8</v>
      </c>
      <c r="AE94">
        <v>8</v>
      </c>
      <c r="AF94">
        <v>8</v>
      </c>
      <c r="AG94">
        <v>7</v>
      </c>
      <c r="AH94">
        <v>9</v>
      </c>
      <c r="AI94">
        <v>7</v>
      </c>
      <c r="AJ94">
        <v>14</v>
      </c>
      <c r="AK94">
        <v>12</v>
      </c>
      <c r="AL94">
        <v>8</v>
      </c>
      <c r="AM94">
        <v>5</v>
      </c>
      <c r="AN94">
        <v>4</v>
      </c>
      <c r="AO94">
        <v>3</v>
      </c>
      <c r="AP94">
        <v>4</v>
      </c>
      <c r="AQ94">
        <v>4</v>
      </c>
      <c r="AR94">
        <v>3</v>
      </c>
      <c r="AS94">
        <v>6</v>
      </c>
      <c r="AT94">
        <v>7</v>
      </c>
      <c r="AU94">
        <v>9</v>
      </c>
      <c r="AV94">
        <v>3</v>
      </c>
      <c r="AW94">
        <v>8</v>
      </c>
      <c r="AX94">
        <v>8</v>
      </c>
      <c r="AY94">
        <v>8</v>
      </c>
      <c r="AZ94">
        <v>5</v>
      </c>
      <c r="BA94">
        <v>7</v>
      </c>
      <c r="BB94">
        <v>7</v>
      </c>
      <c r="BC94">
        <v>3</v>
      </c>
    </row>
    <row r="95" spans="1:55" x14ac:dyDescent="0.25">
      <c r="A95" t="s">
        <v>3729</v>
      </c>
      <c r="B95" t="s">
        <v>37</v>
      </c>
      <c r="C95" t="s">
        <v>89</v>
      </c>
    </row>
    <row r="96" spans="1:55" x14ac:dyDescent="0.25">
      <c r="A96" t="s">
        <v>3730</v>
      </c>
      <c r="B96" t="s">
        <v>134</v>
      </c>
      <c r="C96" t="s">
        <v>89</v>
      </c>
    </row>
    <row r="97" spans="1:3" x14ac:dyDescent="0.25">
      <c r="A97" t="s">
        <v>3731</v>
      </c>
      <c r="B97" t="s">
        <v>135</v>
      </c>
      <c r="C97" t="s">
        <v>89</v>
      </c>
    </row>
    <row r="98" spans="1:3" x14ac:dyDescent="0.25">
      <c r="A98" t="s">
        <v>3732</v>
      </c>
      <c r="B98" t="s">
        <v>136</v>
      </c>
      <c r="C98" t="s">
        <v>89</v>
      </c>
    </row>
    <row r="99" spans="1:3" x14ac:dyDescent="0.25">
      <c r="A99" t="s">
        <v>3733</v>
      </c>
      <c r="B99" t="s">
        <v>38</v>
      </c>
      <c r="C99" t="s">
        <v>89</v>
      </c>
    </row>
    <row r="100" spans="1:3" x14ac:dyDescent="0.25">
      <c r="A100" t="s">
        <v>3734</v>
      </c>
      <c r="B100" t="s">
        <v>137</v>
      </c>
      <c r="C100" t="s">
        <v>89</v>
      </c>
    </row>
    <row r="101" spans="1:3" x14ac:dyDescent="0.25">
      <c r="A101" t="s">
        <v>3735</v>
      </c>
      <c r="B101" t="s">
        <v>138</v>
      </c>
      <c r="C101" t="s">
        <v>89</v>
      </c>
    </row>
    <row r="102" spans="1:3" x14ac:dyDescent="0.25">
      <c r="A102" t="s">
        <v>3736</v>
      </c>
      <c r="B102" t="s">
        <v>139</v>
      </c>
      <c r="C102" t="s">
        <v>89</v>
      </c>
    </row>
    <row r="103" spans="1:3" x14ac:dyDescent="0.25">
      <c r="A103" t="s">
        <v>3737</v>
      </c>
      <c r="B103" t="s">
        <v>140</v>
      </c>
      <c r="C103" t="s">
        <v>89</v>
      </c>
    </row>
    <row r="104" spans="1:3" x14ac:dyDescent="0.25">
      <c r="A104" t="s">
        <v>3738</v>
      </c>
      <c r="B104" t="s">
        <v>141</v>
      </c>
      <c r="C104" t="s">
        <v>89</v>
      </c>
    </row>
    <row r="105" spans="1:3" x14ac:dyDescent="0.25">
      <c r="A105" t="s">
        <v>3739</v>
      </c>
      <c r="B105" t="s">
        <v>142</v>
      </c>
      <c r="C105" t="s">
        <v>89</v>
      </c>
    </row>
    <row r="106" spans="1:3" x14ac:dyDescent="0.25">
      <c r="A106" t="s">
        <v>3740</v>
      </c>
      <c r="B106" t="s">
        <v>143</v>
      </c>
      <c r="C106" t="s">
        <v>89</v>
      </c>
    </row>
    <row r="107" spans="1:3" x14ac:dyDescent="0.25">
      <c r="A107" t="s">
        <v>3741</v>
      </c>
      <c r="B107" t="s">
        <v>144</v>
      </c>
      <c r="C107" t="s">
        <v>89</v>
      </c>
    </row>
    <row r="108" spans="1:3" x14ac:dyDescent="0.25">
      <c r="A108" t="s">
        <v>3742</v>
      </c>
      <c r="B108" t="s">
        <v>145</v>
      </c>
      <c r="C108" t="s">
        <v>89</v>
      </c>
    </row>
    <row r="109" spans="1:3" x14ac:dyDescent="0.25">
      <c r="A109" t="s">
        <v>3743</v>
      </c>
      <c r="B109" t="s">
        <v>146</v>
      </c>
      <c r="C109" t="s">
        <v>89</v>
      </c>
    </row>
    <row r="110" spans="1:3" x14ac:dyDescent="0.25">
      <c r="A110" t="s">
        <v>3744</v>
      </c>
      <c r="B110" t="s">
        <v>147</v>
      </c>
      <c r="C110" t="s">
        <v>89</v>
      </c>
    </row>
    <row r="111" spans="1:3" x14ac:dyDescent="0.25">
      <c r="A111" t="s">
        <v>3745</v>
      </c>
      <c r="B111" t="s">
        <v>148</v>
      </c>
      <c r="C111" t="s">
        <v>89</v>
      </c>
    </row>
    <row r="112" spans="1:3" x14ac:dyDescent="0.25">
      <c r="A112" t="s">
        <v>3746</v>
      </c>
      <c r="B112" t="s">
        <v>149</v>
      </c>
      <c r="C112" t="s">
        <v>89</v>
      </c>
    </row>
    <row r="113" spans="1:3" x14ac:dyDescent="0.25">
      <c r="A113" t="s">
        <v>3747</v>
      </c>
      <c r="B113" t="s">
        <v>150</v>
      </c>
      <c r="C113" t="s">
        <v>89</v>
      </c>
    </row>
    <row r="114" spans="1:3" x14ac:dyDescent="0.25">
      <c r="A114" t="s">
        <v>3748</v>
      </c>
      <c r="B114" t="s">
        <v>151</v>
      </c>
      <c r="C114" t="s">
        <v>89</v>
      </c>
    </row>
    <row r="115" spans="1:3" x14ac:dyDescent="0.25">
      <c r="A115" t="s">
        <v>3749</v>
      </c>
      <c r="B115" t="s">
        <v>152</v>
      </c>
      <c r="C115" t="s">
        <v>89</v>
      </c>
    </row>
    <row r="116" spans="1:3" x14ac:dyDescent="0.25">
      <c r="A116" t="s">
        <v>3750</v>
      </c>
      <c r="B116" t="s">
        <v>153</v>
      </c>
      <c r="C116" t="s">
        <v>89</v>
      </c>
    </row>
    <row r="117" spans="1:3" x14ac:dyDescent="0.25">
      <c r="A117" t="s">
        <v>3751</v>
      </c>
      <c r="B117" t="s">
        <v>154</v>
      </c>
      <c r="C117" t="s">
        <v>89</v>
      </c>
    </row>
    <row r="118" spans="1:3" x14ac:dyDescent="0.25">
      <c r="A118" t="s">
        <v>3752</v>
      </c>
      <c r="B118" t="s">
        <v>155</v>
      </c>
      <c r="C118" t="s">
        <v>89</v>
      </c>
    </row>
    <row r="119" spans="1:3" x14ac:dyDescent="0.25">
      <c r="A119" t="s">
        <v>3753</v>
      </c>
      <c r="B119" t="s">
        <v>156</v>
      </c>
      <c r="C119" t="s">
        <v>89</v>
      </c>
    </row>
    <row r="120" spans="1:3" x14ac:dyDescent="0.25">
      <c r="A120" t="s">
        <v>3754</v>
      </c>
      <c r="B120" t="s">
        <v>157</v>
      </c>
      <c r="C120" t="s">
        <v>89</v>
      </c>
    </row>
    <row r="121" spans="1:3" x14ac:dyDescent="0.25">
      <c r="A121" t="s">
        <v>3755</v>
      </c>
      <c r="B121" t="s">
        <v>158</v>
      </c>
      <c r="C121" t="s">
        <v>89</v>
      </c>
    </row>
    <row r="122" spans="1:3" x14ac:dyDescent="0.25">
      <c r="A122" t="s">
        <v>3756</v>
      </c>
      <c r="B122" t="s">
        <v>159</v>
      </c>
      <c r="C122" t="s">
        <v>89</v>
      </c>
    </row>
    <row r="123" spans="1:3" x14ac:dyDescent="0.25">
      <c r="A123" t="s">
        <v>3757</v>
      </c>
      <c r="B123" t="s">
        <v>160</v>
      </c>
      <c r="C123" t="s">
        <v>89</v>
      </c>
    </row>
    <row r="124" spans="1:3" x14ac:dyDescent="0.25">
      <c r="A124" t="s">
        <v>3758</v>
      </c>
      <c r="B124" t="s">
        <v>244</v>
      </c>
      <c r="C124" t="s">
        <v>89</v>
      </c>
    </row>
    <row r="125" spans="1:3" x14ac:dyDescent="0.25">
      <c r="A125" t="s">
        <v>3759</v>
      </c>
      <c r="B125" t="s">
        <v>245</v>
      </c>
      <c r="C125" t="s">
        <v>89</v>
      </c>
    </row>
    <row r="126" spans="1:3" x14ac:dyDescent="0.25">
      <c r="A126" t="s">
        <v>3760</v>
      </c>
      <c r="B126" t="s">
        <v>246</v>
      </c>
      <c r="C126" t="s">
        <v>89</v>
      </c>
    </row>
    <row r="127" spans="1:3" x14ac:dyDescent="0.25">
      <c r="A127" t="s">
        <v>3761</v>
      </c>
      <c r="B127" t="s">
        <v>164</v>
      </c>
      <c r="C127" t="s">
        <v>89</v>
      </c>
    </row>
    <row r="128" spans="1:3" x14ac:dyDescent="0.25">
      <c r="A128" t="s">
        <v>3762</v>
      </c>
      <c r="B128" t="s">
        <v>165</v>
      </c>
      <c r="C128" t="s">
        <v>89</v>
      </c>
    </row>
    <row r="129" spans="1:55" x14ac:dyDescent="0.25">
      <c r="A129" t="s">
        <v>3763</v>
      </c>
      <c r="B129" t="s">
        <v>166</v>
      </c>
      <c r="C129" t="s">
        <v>89</v>
      </c>
    </row>
    <row r="130" spans="1:55" x14ac:dyDescent="0.25">
      <c r="A130" t="s">
        <v>3764</v>
      </c>
      <c r="B130" t="s">
        <v>167</v>
      </c>
      <c r="C130" t="s">
        <v>89</v>
      </c>
    </row>
    <row r="131" spans="1:55" x14ac:dyDescent="0.25">
      <c r="A131" t="s">
        <v>3765</v>
      </c>
      <c r="B131" t="s">
        <v>247</v>
      </c>
      <c r="C131" t="s">
        <v>89</v>
      </c>
    </row>
    <row r="132" spans="1:55" x14ac:dyDescent="0.25">
      <c r="A132" t="s">
        <v>3766</v>
      </c>
      <c r="B132" t="s">
        <v>169</v>
      </c>
      <c r="C132" t="s">
        <v>89</v>
      </c>
    </row>
    <row r="133" spans="1:55" x14ac:dyDescent="0.25">
      <c r="A133" t="s">
        <v>3767</v>
      </c>
      <c r="B133" t="s">
        <v>170</v>
      </c>
      <c r="C133" t="s">
        <v>89</v>
      </c>
    </row>
    <row r="134" spans="1:55" x14ac:dyDescent="0.25">
      <c r="A134" t="s">
        <v>3768</v>
      </c>
      <c r="B134" t="s">
        <v>45</v>
      </c>
      <c r="C134" t="s">
        <v>255</v>
      </c>
      <c r="D134">
        <v>22933</v>
      </c>
      <c r="E134">
        <v>44.84</v>
      </c>
      <c r="F134">
        <v>37</v>
      </c>
      <c r="G134">
        <v>44</v>
      </c>
      <c r="H134">
        <v>49</v>
      </c>
      <c r="I134">
        <v>56</v>
      </c>
      <c r="J134">
        <v>51</v>
      </c>
      <c r="K134">
        <v>50</v>
      </c>
      <c r="L134">
        <v>55</v>
      </c>
      <c r="M134">
        <v>51</v>
      </c>
      <c r="N134">
        <v>52</v>
      </c>
      <c r="O134">
        <v>50</v>
      </c>
      <c r="P134">
        <v>49</v>
      </c>
      <c r="Q134">
        <v>47</v>
      </c>
      <c r="R134">
        <v>44</v>
      </c>
      <c r="S134">
        <v>38</v>
      </c>
      <c r="T134">
        <v>27</v>
      </c>
      <c r="U134">
        <v>31</v>
      </c>
      <c r="V134">
        <v>26</v>
      </c>
      <c r="W134">
        <v>24</v>
      </c>
      <c r="X134">
        <v>24</v>
      </c>
      <c r="Y134">
        <v>25</v>
      </c>
      <c r="Z134">
        <v>32</v>
      </c>
      <c r="AA134">
        <v>31</v>
      </c>
      <c r="AB134">
        <v>30</v>
      </c>
      <c r="AC134">
        <v>32</v>
      </c>
      <c r="AD134">
        <v>30</v>
      </c>
      <c r="AE134">
        <v>34</v>
      </c>
      <c r="AF134">
        <v>36</v>
      </c>
      <c r="AG134">
        <v>32</v>
      </c>
      <c r="AH134">
        <v>32</v>
      </c>
      <c r="AI134">
        <v>35</v>
      </c>
      <c r="AJ134">
        <v>15</v>
      </c>
      <c r="AK134">
        <v>20</v>
      </c>
      <c r="AL134">
        <v>30</v>
      </c>
      <c r="AM134">
        <v>42</v>
      </c>
      <c r="AN134">
        <v>58</v>
      </c>
      <c r="AO134">
        <v>64</v>
      </c>
      <c r="AP134">
        <v>78</v>
      </c>
      <c r="AQ134">
        <v>82</v>
      </c>
      <c r="AR134">
        <v>72</v>
      </c>
      <c r="AS134">
        <v>65</v>
      </c>
      <c r="AT134">
        <v>61</v>
      </c>
      <c r="AU134">
        <v>60</v>
      </c>
      <c r="AV134">
        <v>54</v>
      </c>
      <c r="AW134">
        <v>49</v>
      </c>
      <c r="AX134">
        <v>55</v>
      </c>
      <c r="AY134">
        <v>49</v>
      </c>
      <c r="AZ134">
        <v>49</v>
      </c>
      <c r="BA134">
        <v>48</v>
      </c>
      <c r="BB134">
        <v>70</v>
      </c>
      <c r="BC134">
        <v>67</v>
      </c>
    </row>
    <row r="135" spans="1:55" x14ac:dyDescent="0.25">
      <c r="A135" t="s">
        <v>3769</v>
      </c>
      <c r="B135" t="s">
        <v>110</v>
      </c>
      <c r="C135" t="s">
        <v>255</v>
      </c>
      <c r="D135">
        <v>5680</v>
      </c>
      <c r="E135">
        <v>58.4</v>
      </c>
      <c r="F135">
        <v>47</v>
      </c>
      <c r="G135">
        <v>65</v>
      </c>
      <c r="H135">
        <v>72</v>
      </c>
      <c r="I135">
        <v>77</v>
      </c>
      <c r="J135">
        <v>67</v>
      </c>
      <c r="K135">
        <v>64</v>
      </c>
      <c r="L135">
        <v>69</v>
      </c>
      <c r="M135">
        <v>62</v>
      </c>
      <c r="N135">
        <v>65</v>
      </c>
      <c r="O135">
        <v>61</v>
      </c>
      <c r="P135">
        <v>61</v>
      </c>
      <c r="Q135">
        <v>63</v>
      </c>
      <c r="R135">
        <v>58</v>
      </c>
      <c r="S135">
        <v>51</v>
      </c>
      <c r="T135">
        <v>38</v>
      </c>
      <c r="U135">
        <v>42</v>
      </c>
      <c r="V135">
        <v>37</v>
      </c>
      <c r="W135">
        <v>34</v>
      </c>
      <c r="X135">
        <v>35</v>
      </c>
      <c r="Y135">
        <v>37</v>
      </c>
      <c r="Z135">
        <v>47</v>
      </c>
      <c r="AA135">
        <v>48</v>
      </c>
      <c r="AB135">
        <v>47</v>
      </c>
      <c r="AC135">
        <v>50</v>
      </c>
      <c r="AD135">
        <v>47</v>
      </c>
      <c r="AE135">
        <v>50</v>
      </c>
      <c r="AF135">
        <v>51</v>
      </c>
      <c r="AG135">
        <v>46</v>
      </c>
      <c r="AH135">
        <v>44</v>
      </c>
      <c r="AI135">
        <v>47</v>
      </c>
      <c r="AJ135">
        <v>22</v>
      </c>
      <c r="AK135">
        <v>30</v>
      </c>
      <c r="AL135">
        <v>45</v>
      </c>
      <c r="AM135">
        <v>66</v>
      </c>
      <c r="AN135">
        <v>81</v>
      </c>
      <c r="AO135">
        <v>85</v>
      </c>
      <c r="AP135">
        <v>93</v>
      </c>
      <c r="AQ135">
        <v>93</v>
      </c>
      <c r="AR135">
        <v>85</v>
      </c>
      <c r="AS135">
        <v>76</v>
      </c>
      <c r="AT135">
        <v>71</v>
      </c>
      <c r="AU135">
        <v>70</v>
      </c>
      <c r="AV135">
        <v>63</v>
      </c>
      <c r="AW135">
        <v>58</v>
      </c>
      <c r="AX135">
        <v>66</v>
      </c>
      <c r="AY135">
        <v>59</v>
      </c>
      <c r="AZ135">
        <v>57</v>
      </c>
      <c r="BA135">
        <v>59</v>
      </c>
      <c r="BB135">
        <v>81</v>
      </c>
      <c r="BC135">
        <v>78</v>
      </c>
    </row>
    <row r="136" spans="1:55" x14ac:dyDescent="0.25">
      <c r="A136" t="s">
        <v>3770</v>
      </c>
      <c r="B136" t="s">
        <v>111</v>
      </c>
      <c r="C136" t="s">
        <v>255</v>
      </c>
      <c r="D136">
        <v>64</v>
      </c>
      <c r="E136">
        <v>76.08</v>
      </c>
      <c r="F136">
        <v>67</v>
      </c>
      <c r="G136">
        <v>71</v>
      </c>
      <c r="H136">
        <v>77</v>
      </c>
      <c r="I136">
        <v>80</v>
      </c>
      <c r="J136">
        <v>82</v>
      </c>
      <c r="K136">
        <v>88</v>
      </c>
      <c r="L136">
        <v>84</v>
      </c>
      <c r="M136">
        <v>88</v>
      </c>
      <c r="N136">
        <v>86</v>
      </c>
      <c r="O136">
        <v>74</v>
      </c>
      <c r="P136">
        <v>75</v>
      </c>
      <c r="Q136">
        <v>78</v>
      </c>
      <c r="R136">
        <v>76</v>
      </c>
      <c r="S136">
        <v>71</v>
      </c>
      <c r="T136">
        <v>57</v>
      </c>
      <c r="U136">
        <v>55</v>
      </c>
      <c r="V136">
        <v>56</v>
      </c>
      <c r="W136">
        <v>53</v>
      </c>
      <c r="X136">
        <v>55</v>
      </c>
      <c r="Y136">
        <v>57</v>
      </c>
      <c r="Z136">
        <v>74</v>
      </c>
      <c r="AA136">
        <v>72</v>
      </c>
      <c r="AB136">
        <v>59</v>
      </c>
      <c r="AC136">
        <v>73</v>
      </c>
      <c r="AD136">
        <v>70</v>
      </c>
      <c r="AE136">
        <v>66</v>
      </c>
      <c r="AF136">
        <v>83</v>
      </c>
      <c r="AG136">
        <v>80</v>
      </c>
      <c r="AH136">
        <v>85</v>
      </c>
      <c r="AI136">
        <v>74</v>
      </c>
      <c r="AJ136">
        <v>42</v>
      </c>
      <c r="AK136">
        <v>52</v>
      </c>
      <c r="AL136">
        <v>69</v>
      </c>
      <c r="AM136">
        <v>73</v>
      </c>
      <c r="AN136">
        <v>93</v>
      </c>
      <c r="AO136">
        <v>87</v>
      </c>
      <c r="AP136">
        <v>99</v>
      </c>
      <c r="AQ136">
        <v>100</v>
      </c>
      <c r="AR136">
        <v>93</v>
      </c>
      <c r="AS136">
        <v>85</v>
      </c>
      <c r="AT136">
        <v>95</v>
      </c>
      <c r="AU136">
        <v>85</v>
      </c>
      <c r="AV136">
        <v>80</v>
      </c>
      <c r="AW136">
        <v>81</v>
      </c>
      <c r="AX136">
        <v>81</v>
      </c>
      <c r="AY136">
        <v>70</v>
      </c>
      <c r="AZ136">
        <v>86</v>
      </c>
      <c r="BA136">
        <v>74</v>
      </c>
      <c r="BB136">
        <v>95</v>
      </c>
      <c r="BC136">
        <v>98</v>
      </c>
    </row>
    <row r="137" spans="1:55" x14ac:dyDescent="0.25">
      <c r="A137" t="s">
        <v>3771</v>
      </c>
      <c r="B137" t="s">
        <v>112</v>
      </c>
      <c r="C137" t="s">
        <v>255</v>
      </c>
      <c r="D137">
        <v>221</v>
      </c>
      <c r="E137">
        <v>77</v>
      </c>
      <c r="F137">
        <v>71</v>
      </c>
      <c r="G137">
        <v>86</v>
      </c>
      <c r="H137">
        <v>91</v>
      </c>
      <c r="I137">
        <v>92</v>
      </c>
      <c r="J137">
        <v>88</v>
      </c>
      <c r="K137">
        <v>87</v>
      </c>
      <c r="L137">
        <v>89</v>
      </c>
      <c r="M137">
        <v>90</v>
      </c>
      <c r="N137">
        <v>89</v>
      </c>
      <c r="O137">
        <v>87</v>
      </c>
      <c r="P137">
        <v>85</v>
      </c>
      <c r="Q137">
        <v>86</v>
      </c>
      <c r="R137">
        <v>81</v>
      </c>
      <c r="S137">
        <v>77</v>
      </c>
      <c r="T137">
        <v>60</v>
      </c>
      <c r="U137">
        <v>68</v>
      </c>
      <c r="V137">
        <v>64</v>
      </c>
      <c r="W137">
        <v>58</v>
      </c>
      <c r="X137">
        <v>62</v>
      </c>
      <c r="Y137">
        <v>66</v>
      </c>
      <c r="Z137">
        <v>67</v>
      </c>
      <c r="AA137">
        <v>69</v>
      </c>
      <c r="AB137">
        <v>72</v>
      </c>
      <c r="AC137">
        <v>67</v>
      </c>
      <c r="AD137">
        <v>63</v>
      </c>
      <c r="AE137">
        <v>69</v>
      </c>
      <c r="AF137">
        <v>69</v>
      </c>
      <c r="AG137">
        <v>70</v>
      </c>
      <c r="AH137">
        <v>69</v>
      </c>
      <c r="AI137">
        <v>69</v>
      </c>
      <c r="AJ137">
        <v>41</v>
      </c>
      <c r="AK137">
        <v>49</v>
      </c>
      <c r="AL137">
        <v>60</v>
      </c>
      <c r="AM137">
        <v>70</v>
      </c>
      <c r="AN137">
        <v>88</v>
      </c>
      <c r="AO137">
        <v>90</v>
      </c>
      <c r="AP137">
        <v>98</v>
      </c>
      <c r="AQ137">
        <v>97</v>
      </c>
      <c r="AR137">
        <v>93</v>
      </c>
      <c r="AS137">
        <v>89</v>
      </c>
      <c r="AT137">
        <v>82</v>
      </c>
      <c r="AU137">
        <v>83</v>
      </c>
      <c r="AV137">
        <v>78</v>
      </c>
      <c r="AW137">
        <v>80</v>
      </c>
      <c r="AX137">
        <v>82</v>
      </c>
      <c r="AY137">
        <v>77</v>
      </c>
      <c r="AZ137">
        <v>79</v>
      </c>
      <c r="BA137">
        <v>71</v>
      </c>
      <c r="BB137">
        <v>93</v>
      </c>
      <c r="BC137">
        <v>89</v>
      </c>
    </row>
    <row r="138" spans="1:55" x14ac:dyDescent="0.25">
      <c r="A138" t="s">
        <v>3772</v>
      </c>
      <c r="B138" t="s">
        <v>113</v>
      </c>
      <c r="C138" t="s">
        <v>255</v>
      </c>
      <c r="D138">
        <v>106</v>
      </c>
      <c r="E138">
        <v>70.08</v>
      </c>
      <c r="F138">
        <v>57</v>
      </c>
      <c r="G138">
        <v>69</v>
      </c>
      <c r="H138">
        <v>80</v>
      </c>
      <c r="I138">
        <v>87</v>
      </c>
      <c r="J138">
        <v>85</v>
      </c>
      <c r="K138">
        <v>84</v>
      </c>
      <c r="L138">
        <v>83</v>
      </c>
      <c r="M138">
        <v>86</v>
      </c>
      <c r="N138">
        <v>88</v>
      </c>
      <c r="O138">
        <v>78</v>
      </c>
      <c r="P138">
        <v>80</v>
      </c>
      <c r="Q138">
        <v>78</v>
      </c>
      <c r="R138">
        <v>72</v>
      </c>
      <c r="S138">
        <v>72</v>
      </c>
      <c r="T138">
        <v>50</v>
      </c>
      <c r="U138">
        <v>51</v>
      </c>
      <c r="V138">
        <v>56</v>
      </c>
      <c r="W138">
        <v>45</v>
      </c>
      <c r="X138">
        <v>47</v>
      </c>
      <c r="Y138">
        <v>52</v>
      </c>
      <c r="Z138">
        <v>55</v>
      </c>
      <c r="AA138">
        <v>51</v>
      </c>
      <c r="AB138">
        <v>58</v>
      </c>
      <c r="AC138">
        <v>59</v>
      </c>
      <c r="AD138">
        <v>52</v>
      </c>
      <c r="AE138">
        <v>59</v>
      </c>
      <c r="AF138">
        <v>67</v>
      </c>
      <c r="AG138">
        <v>63</v>
      </c>
      <c r="AH138">
        <v>60</v>
      </c>
      <c r="AI138">
        <v>72</v>
      </c>
      <c r="AJ138">
        <v>25</v>
      </c>
      <c r="AK138">
        <v>41</v>
      </c>
      <c r="AL138">
        <v>46</v>
      </c>
      <c r="AM138">
        <v>56</v>
      </c>
      <c r="AN138">
        <v>80</v>
      </c>
      <c r="AO138">
        <v>88</v>
      </c>
      <c r="AP138">
        <v>95</v>
      </c>
      <c r="AQ138">
        <v>99</v>
      </c>
      <c r="AR138">
        <v>91</v>
      </c>
      <c r="AS138">
        <v>91</v>
      </c>
      <c r="AT138">
        <v>83</v>
      </c>
      <c r="AU138">
        <v>84</v>
      </c>
      <c r="AV138">
        <v>74</v>
      </c>
      <c r="AW138">
        <v>82</v>
      </c>
      <c r="AX138">
        <v>86</v>
      </c>
      <c r="AY138">
        <v>74</v>
      </c>
      <c r="AZ138">
        <v>72</v>
      </c>
      <c r="BA138">
        <v>71</v>
      </c>
      <c r="BB138">
        <v>84</v>
      </c>
      <c r="BC138">
        <v>86</v>
      </c>
    </row>
    <row r="139" spans="1:55" x14ac:dyDescent="0.25">
      <c r="A139" t="s">
        <v>3773</v>
      </c>
      <c r="B139" t="s">
        <v>114</v>
      </c>
      <c r="C139" t="s">
        <v>255</v>
      </c>
      <c r="D139">
        <v>222</v>
      </c>
      <c r="E139">
        <v>59.7</v>
      </c>
      <c r="F139">
        <v>44</v>
      </c>
      <c r="G139">
        <v>69</v>
      </c>
      <c r="H139">
        <v>79</v>
      </c>
      <c r="I139">
        <v>82</v>
      </c>
      <c r="J139">
        <v>75</v>
      </c>
      <c r="K139">
        <v>65</v>
      </c>
      <c r="L139">
        <v>75</v>
      </c>
      <c r="M139">
        <v>65</v>
      </c>
      <c r="N139">
        <v>68</v>
      </c>
      <c r="O139">
        <v>66</v>
      </c>
      <c r="P139">
        <v>63</v>
      </c>
      <c r="Q139">
        <v>66</v>
      </c>
      <c r="R139">
        <v>66</v>
      </c>
      <c r="S139">
        <v>54</v>
      </c>
      <c r="T139">
        <v>41</v>
      </c>
      <c r="U139">
        <v>46</v>
      </c>
      <c r="V139">
        <v>41</v>
      </c>
      <c r="W139">
        <v>35</v>
      </c>
      <c r="X139">
        <v>36</v>
      </c>
      <c r="Y139">
        <v>40</v>
      </c>
      <c r="Z139">
        <v>44</v>
      </c>
      <c r="AA139">
        <v>43</v>
      </c>
      <c r="AB139">
        <v>46</v>
      </c>
      <c r="AC139">
        <v>44</v>
      </c>
      <c r="AD139">
        <v>39</v>
      </c>
      <c r="AE139">
        <v>55</v>
      </c>
      <c r="AF139">
        <v>55</v>
      </c>
      <c r="AG139">
        <v>52</v>
      </c>
      <c r="AH139">
        <v>46</v>
      </c>
      <c r="AI139">
        <v>52</v>
      </c>
      <c r="AJ139">
        <v>17</v>
      </c>
      <c r="AK139">
        <v>32</v>
      </c>
      <c r="AL139">
        <v>42</v>
      </c>
      <c r="AM139">
        <v>57</v>
      </c>
      <c r="AN139">
        <v>76</v>
      </c>
      <c r="AO139">
        <v>85</v>
      </c>
      <c r="AP139">
        <v>92</v>
      </c>
      <c r="AQ139">
        <v>94</v>
      </c>
      <c r="AR139">
        <v>87</v>
      </c>
      <c r="AS139">
        <v>75</v>
      </c>
      <c r="AT139">
        <v>75</v>
      </c>
      <c r="AU139">
        <v>72</v>
      </c>
      <c r="AV139">
        <v>69</v>
      </c>
      <c r="AW139">
        <v>59</v>
      </c>
      <c r="AX139">
        <v>62</v>
      </c>
      <c r="AY139">
        <v>59</v>
      </c>
      <c r="AZ139">
        <v>60</v>
      </c>
      <c r="BA139">
        <v>57</v>
      </c>
      <c r="BB139">
        <v>85</v>
      </c>
      <c r="BC139">
        <v>78</v>
      </c>
    </row>
    <row r="140" spans="1:55" x14ac:dyDescent="0.25">
      <c r="A140" t="s">
        <v>3774</v>
      </c>
      <c r="B140" t="s">
        <v>115</v>
      </c>
      <c r="C140" t="s">
        <v>255</v>
      </c>
      <c r="D140">
        <v>139</v>
      </c>
      <c r="E140">
        <v>65.680000000000007</v>
      </c>
      <c r="F140">
        <v>51</v>
      </c>
      <c r="G140">
        <v>74</v>
      </c>
      <c r="H140">
        <v>84</v>
      </c>
      <c r="I140">
        <v>87</v>
      </c>
      <c r="J140">
        <v>78</v>
      </c>
      <c r="K140">
        <v>67</v>
      </c>
      <c r="L140">
        <v>81</v>
      </c>
      <c r="M140">
        <v>70</v>
      </c>
      <c r="N140">
        <v>76</v>
      </c>
      <c r="O140">
        <v>70</v>
      </c>
      <c r="P140">
        <v>70</v>
      </c>
      <c r="Q140">
        <v>75</v>
      </c>
      <c r="R140">
        <v>75</v>
      </c>
      <c r="S140">
        <v>65</v>
      </c>
      <c r="T140">
        <v>52</v>
      </c>
      <c r="U140">
        <v>52</v>
      </c>
      <c r="V140">
        <v>48</v>
      </c>
      <c r="W140">
        <v>44</v>
      </c>
      <c r="X140">
        <v>39</v>
      </c>
      <c r="Y140">
        <v>45</v>
      </c>
      <c r="Z140">
        <v>52</v>
      </c>
      <c r="AA140">
        <v>52</v>
      </c>
      <c r="AB140">
        <v>54</v>
      </c>
      <c r="AC140">
        <v>50</v>
      </c>
      <c r="AD140">
        <v>48</v>
      </c>
      <c r="AE140">
        <v>63</v>
      </c>
      <c r="AF140">
        <v>66</v>
      </c>
      <c r="AG140">
        <v>60</v>
      </c>
      <c r="AH140">
        <v>54</v>
      </c>
      <c r="AI140">
        <v>59</v>
      </c>
      <c r="AJ140">
        <v>22</v>
      </c>
      <c r="AK140">
        <v>42</v>
      </c>
      <c r="AL140">
        <v>51</v>
      </c>
      <c r="AM140">
        <v>67</v>
      </c>
      <c r="AN140">
        <v>80</v>
      </c>
      <c r="AO140">
        <v>88</v>
      </c>
      <c r="AP140">
        <v>96</v>
      </c>
      <c r="AQ140">
        <v>96</v>
      </c>
      <c r="AR140">
        <v>86</v>
      </c>
      <c r="AS140">
        <v>76</v>
      </c>
      <c r="AT140">
        <v>79</v>
      </c>
      <c r="AU140">
        <v>72</v>
      </c>
      <c r="AV140">
        <v>69</v>
      </c>
      <c r="AW140">
        <v>64</v>
      </c>
      <c r="AX140">
        <v>65</v>
      </c>
      <c r="AY140">
        <v>67</v>
      </c>
      <c r="AZ140">
        <v>66</v>
      </c>
      <c r="BA140">
        <v>65</v>
      </c>
      <c r="BB140">
        <v>92</v>
      </c>
      <c r="BC140">
        <v>80</v>
      </c>
    </row>
    <row r="141" spans="1:55" x14ac:dyDescent="0.25">
      <c r="A141" t="s">
        <v>3775</v>
      </c>
      <c r="B141" t="s">
        <v>116</v>
      </c>
      <c r="C141" t="s">
        <v>255</v>
      </c>
      <c r="D141">
        <v>151</v>
      </c>
      <c r="E141">
        <v>64.680000000000007</v>
      </c>
      <c r="F141">
        <v>51</v>
      </c>
      <c r="G141">
        <v>78</v>
      </c>
      <c r="H141">
        <v>83</v>
      </c>
      <c r="I141">
        <v>89</v>
      </c>
      <c r="J141">
        <v>71</v>
      </c>
      <c r="K141">
        <v>70</v>
      </c>
      <c r="L141">
        <v>82</v>
      </c>
      <c r="M141">
        <v>76</v>
      </c>
      <c r="N141">
        <v>72</v>
      </c>
      <c r="O141">
        <v>80</v>
      </c>
      <c r="P141">
        <v>67</v>
      </c>
      <c r="Q141">
        <v>74</v>
      </c>
      <c r="R141">
        <v>69</v>
      </c>
      <c r="S141">
        <v>61</v>
      </c>
      <c r="T141">
        <v>52</v>
      </c>
      <c r="U141">
        <v>54</v>
      </c>
      <c r="V141">
        <v>42</v>
      </c>
      <c r="W141">
        <v>46</v>
      </c>
      <c r="X141">
        <v>39</v>
      </c>
      <c r="Y141">
        <v>42</v>
      </c>
      <c r="Z141">
        <v>49</v>
      </c>
      <c r="AA141">
        <v>51</v>
      </c>
      <c r="AB141">
        <v>51</v>
      </c>
      <c r="AC141">
        <v>55</v>
      </c>
      <c r="AD141">
        <v>52</v>
      </c>
      <c r="AE141">
        <v>58</v>
      </c>
      <c r="AF141">
        <v>56</v>
      </c>
      <c r="AG141">
        <v>49</v>
      </c>
      <c r="AH141">
        <v>45</v>
      </c>
      <c r="AI141">
        <v>57</v>
      </c>
      <c r="AJ141">
        <v>30</v>
      </c>
      <c r="AK141">
        <v>32</v>
      </c>
      <c r="AL141">
        <v>58</v>
      </c>
      <c r="AM141">
        <v>82</v>
      </c>
      <c r="AN141">
        <v>85</v>
      </c>
      <c r="AO141">
        <v>84</v>
      </c>
      <c r="AP141">
        <v>92</v>
      </c>
      <c r="AQ141">
        <v>87</v>
      </c>
      <c r="AR141">
        <v>86</v>
      </c>
      <c r="AS141">
        <v>74</v>
      </c>
      <c r="AT141">
        <v>73</v>
      </c>
      <c r="AU141">
        <v>72</v>
      </c>
      <c r="AV141">
        <v>66</v>
      </c>
      <c r="AW141">
        <v>60</v>
      </c>
      <c r="AX141">
        <v>72</v>
      </c>
      <c r="AY141">
        <v>64</v>
      </c>
      <c r="AZ141">
        <v>67</v>
      </c>
      <c r="BA141">
        <v>64</v>
      </c>
      <c r="BB141">
        <v>84</v>
      </c>
      <c r="BC141">
        <v>81</v>
      </c>
    </row>
    <row r="142" spans="1:55" x14ac:dyDescent="0.25">
      <c r="A142" t="s">
        <v>3776</v>
      </c>
      <c r="B142" t="s">
        <v>117</v>
      </c>
      <c r="C142" t="s">
        <v>255</v>
      </c>
      <c r="D142">
        <v>135</v>
      </c>
      <c r="E142">
        <v>69.7</v>
      </c>
      <c r="F142">
        <v>64</v>
      </c>
      <c r="G142">
        <v>86</v>
      </c>
      <c r="H142">
        <v>89</v>
      </c>
      <c r="I142">
        <v>88</v>
      </c>
      <c r="J142">
        <v>75</v>
      </c>
      <c r="K142">
        <v>75</v>
      </c>
      <c r="L142">
        <v>83</v>
      </c>
      <c r="M142">
        <v>75</v>
      </c>
      <c r="N142">
        <v>81</v>
      </c>
      <c r="O142">
        <v>75</v>
      </c>
      <c r="P142">
        <v>78</v>
      </c>
      <c r="Q142">
        <v>83</v>
      </c>
      <c r="R142">
        <v>75</v>
      </c>
      <c r="S142">
        <v>64</v>
      </c>
      <c r="T142">
        <v>48</v>
      </c>
      <c r="U142">
        <v>54</v>
      </c>
      <c r="V142">
        <v>59</v>
      </c>
      <c r="W142">
        <v>47</v>
      </c>
      <c r="X142">
        <v>47</v>
      </c>
      <c r="Y142">
        <v>56</v>
      </c>
      <c r="Z142">
        <v>56</v>
      </c>
      <c r="AA142">
        <v>63</v>
      </c>
      <c r="AB142">
        <v>67</v>
      </c>
      <c r="AC142">
        <v>69</v>
      </c>
      <c r="AD142">
        <v>68</v>
      </c>
      <c r="AE142">
        <v>69</v>
      </c>
      <c r="AF142">
        <v>67</v>
      </c>
      <c r="AG142">
        <v>59</v>
      </c>
      <c r="AH142">
        <v>46</v>
      </c>
      <c r="AI142">
        <v>57</v>
      </c>
      <c r="AJ142">
        <v>25</v>
      </c>
      <c r="AK142">
        <v>37</v>
      </c>
      <c r="AL142">
        <v>55</v>
      </c>
      <c r="AM142">
        <v>80</v>
      </c>
      <c r="AN142">
        <v>87</v>
      </c>
      <c r="AO142">
        <v>92</v>
      </c>
      <c r="AP142">
        <v>98</v>
      </c>
      <c r="AQ142">
        <v>97</v>
      </c>
      <c r="AR142">
        <v>89</v>
      </c>
      <c r="AS142">
        <v>75</v>
      </c>
      <c r="AT142">
        <v>75</v>
      </c>
      <c r="AU142">
        <v>77</v>
      </c>
      <c r="AV142">
        <v>65</v>
      </c>
      <c r="AW142">
        <v>67</v>
      </c>
      <c r="AX142">
        <v>75</v>
      </c>
      <c r="AY142">
        <v>64</v>
      </c>
      <c r="AZ142">
        <v>69</v>
      </c>
      <c r="BA142">
        <v>60</v>
      </c>
      <c r="BB142">
        <v>88</v>
      </c>
      <c r="BC142">
        <v>87</v>
      </c>
    </row>
    <row r="143" spans="1:55" x14ac:dyDescent="0.25">
      <c r="A143" t="s">
        <v>3777</v>
      </c>
      <c r="B143" t="s">
        <v>118</v>
      </c>
      <c r="C143" t="s">
        <v>255</v>
      </c>
      <c r="D143">
        <v>141</v>
      </c>
      <c r="E143">
        <v>55.74</v>
      </c>
      <c r="F143">
        <v>44</v>
      </c>
      <c r="G143">
        <v>57</v>
      </c>
      <c r="H143">
        <v>59</v>
      </c>
      <c r="I143">
        <v>61</v>
      </c>
      <c r="J143">
        <v>59</v>
      </c>
      <c r="K143">
        <v>62</v>
      </c>
      <c r="L143">
        <v>66</v>
      </c>
      <c r="M143">
        <v>67</v>
      </c>
      <c r="N143">
        <v>64</v>
      </c>
      <c r="O143">
        <v>61</v>
      </c>
      <c r="P143">
        <v>54</v>
      </c>
      <c r="Q143">
        <v>56</v>
      </c>
      <c r="R143">
        <v>55</v>
      </c>
      <c r="S143">
        <v>57</v>
      </c>
      <c r="T143">
        <v>40</v>
      </c>
      <c r="U143">
        <v>39</v>
      </c>
      <c r="V143">
        <v>39</v>
      </c>
      <c r="W143">
        <v>35</v>
      </c>
      <c r="X143">
        <v>36</v>
      </c>
      <c r="Y143">
        <v>29</v>
      </c>
      <c r="Z143">
        <v>42</v>
      </c>
      <c r="AA143">
        <v>41</v>
      </c>
      <c r="AB143">
        <v>45</v>
      </c>
      <c r="AC143">
        <v>45</v>
      </c>
      <c r="AD143">
        <v>42</v>
      </c>
      <c r="AE143">
        <v>50</v>
      </c>
      <c r="AF143">
        <v>56</v>
      </c>
      <c r="AG143">
        <v>53</v>
      </c>
      <c r="AH143">
        <v>48</v>
      </c>
      <c r="AI143">
        <v>44</v>
      </c>
      <c r="AJ143">
        <v>16</v>
      </c>
      <c r="AK143">
        <v>32</v>
      </c>
      <c r="AL143">
        <v>35</v>
      </c>
      <c r="AM143">
        <v>54</v>
      </c>
      <c r="AN143">
        <v>77</v>
      </c>
      <c r="AO143">
        <v>82</v>
      </c>
      <c r="AP143">
        <v>90</v>
      </c>
      <c r="AQ143">
        <v>90</v>
      </c>
      <c r="AR143">
        <v>82</v>
      </c>
      <c r="AS143">
        <v>75</v>
      </c>
      <c r="AT143">
        <v>68</v>
      </c>
      <c r="AU143">
        <v>73</v>
      </c>
      <c r="AV143">
        <v>65</v>
      </c>
      <c r="AW143">
        <v>52</v>
      </c>
      <c r="AX143">
        <v>64</v>
      </c>
      <c r="AY143">
        <v>58</v>
      </c>
      <c r="AZ143">
        <v>57</v>
      </c>
      <c r="BA143">
        <v>55</v>
      </c>
      <c r="BB143">
        <v>79</v>
      </c>
      <c r="BC143">
        <v>77</v>
      </c>
    </row>
    <row r="144" spans="1:55" x14ac:dyDescent="0.25">
      <c r="A144" t="s">
        <v>3778</v>
      </c>
      <c r="B144" t="s">
        <v>119</v>
      </c>
      <c r="C144" t="s">
        <v>255</v>
      </c>
      <c r="D144">
        <v>231</v>
      </c>
      <c r="E144">
        <v>70.08</v>
      </c>
      <c r="F144">
        <v>70</v>
      </c>
      <c r="G144">
        <v>80</v>
      </c>
      <c r="H144">
        <v>83</v>
      </c>
      <c r="I144">
        <v>88</v>
      </c>
      <c r="J144">
        <v>83</v>
      </c>
      <c r="K144">
        <v>80</v>
      </c>
      <c r="L144">
        <v>83</v>
      </c>
      <c r="M144">
        <v>77</v>
      </c>
      <c r="N144">
        <v>79</v>
      </c>
      <c r="O144">
        <v>71</v>
      </c>
      <c r="P144">
        <v>73</v>
      </c>
      <c r="Q144">
        <v>74</v>
      </c>
      <c r="R144">
        <v>73</v>
      </c>
      <c r="S144">
        <v>64</v>
      </c>
      <c r="T144">
        <v>49</v>
      </c>
      <c r="U144">
        <v>56</v>
      </c>
      <c r="V144">
        <v>48</v>
      </c>
      <c r="W144">
        <v>40</v>
      </c>
      <c r="X144">
        <v>45</v>
      </c>
      <c r="Y144">
        <v>49</v>
      </c>
      <c r="Z144">
        <v>63</v>
      </c>
      <c r="AA144">
        <v>68</v>
      </c>
      <c r="AB144">
        <v>66</v>
      </c>
      <c r="AC144">
        <v>68</v>
      </c>
      <c r="AD144">
        <v>67</v>
      </c>
      <c r="AE144">
        <v>68</v>
      </c>
      <c r="AF144">
        <v>67</v>
      </c>
      <c r="AG144">
        <v>59</v>
      </c>
      <c r="AH144">
        <v>61</v>
      </c>
      <c r="AI144">
        <v>61</v>
      </c>
      <c r="AJ144">
        <v>31</v>
      </c>
      <c r="AK144">
        <v>40</v>
      </c>
      <c r="AL144">
        <v>60</v>
      </c>
      <c r="AM144">
        <v>77</v>
      </c>
      <c r="AN144">
        <v>89</v>
      </c>
      <c r="AO144">
        <v>90</v>
      </c>
      <c r="AP144">
        <v>94</v>
      </c>
      <c r="AQ144">
        <v>96</v>
      </c>
      <c r="AR144">
        <v>91</v>
      </c>
      <c r="AS144">
        <v>82</v>
      </c>
      <c r="AT144">
        <v>74</v>
      </c>
      <c r="AU144">
        <v>78</v>
      </c>
      <c r="AV144">
        <v>74</v>
      </c>
      <c r="AW144">
        <v>65</v>
      </c>
      <c r="AX144">
        <v>72</v>
      </c>
      <c r="AY144">
        <v>70</v>
      </c>
      <c r="AZ144">
        <v>65</v>
      </c>
      <c r="BA144">
        <v>65</v>
      </c>
      <c r="BB144">
        <v>90</v>
      </c>
      <c r="BC144">
        <v>88</v>
      </c>
    </row>
    <row r="145" spans="1:55" x14ac:dyDescent="0.25">
      <c r="A145" t="s">
        <v>3779</v>
      </c>
      <c r="B145" t="s">
        <v>120</v>
      </c>
      <c r="C145" t="s">
        <v>255</v>
      </c>
      <c r="D145">
        <v>61</v>
      </c>
      <c r="E145">
        <v>51.44</v>
      </c>
      <c r="F145">
        <v>37</v>
      </c>
      <c r="G145">
        <v>49</v>
      </c>
      <c r="H145">
        <v>51</v>
      </c>
      <c r="I145">
        <v>54</v>
      </c>
      <c r="J145">
        <v>65</v>
      </c>
      <c r="K145">
        <v>52</v>
      </c>
      <c r="L145">
        <v>58</v>
      </c>
      <c r="M145">
        <v>48</v>
      </c>
      <c r="N145">
        <v>50</v>
      </c>
      <c r="O145">
        <v>60</v>
      </c>
      <c r="P145">
        <v>56</v>
      </c>
      <c r="Q145">
        <v>60</v>
      </c>
      <c r="R145">
        <v>50</v>
      </c>
      <c r="S145">
        <v>44</v>
      </c>
      <c r="T145">
        <v>32</v>
      </c>
      <c r="U145">
        <v>38</v>
      </c>
      <c r="V145">
        <v>28</v>
      </c>
      <c r="W145">
        <v>31</v>
      </c>
      <c r="X145">
        <v>24</v>
      </c>
      <c r="Y145">
        <v>32</v>
      </c>
      <c r="Z145">
        <v>32</v>
      </c>
      <c r="AA145">
        <v>33</v>
      </c>
      <c r="AB145">
        <v>35</v>
      </c>
      <c r="AC145">
        <v>45</v>
      </c>
      <c r="AD145">
        <v>33</v>
      </c>
      <c r="AE145">
        <v>29</v>
      </c>
      <c r="AF145">
        <v>34</v>
      </c>
      <c r="AG145">
        <v>42</v>
      </c>
      <c r="AH145">
        <v>40</v>
      </c>
      <c r="AI145">
        <v>41</v>
      </c>
      <c r="AJ145">
        <v>37</v>
      </c>
      <c r="AK145">
        <v>31</v>
      </c>
      <c r="AL145">
        <v>44</v>
      </c>
      <c r="AM145">
        <v>47</v>
      </c>
      <c r="AN145">
        <v>74</v>
      </c>
      <c r="AO145">
        <v>77</v>
      </c>
      <c r="AP145">
        <v>95</v>
      </c>
      <c r="AQ145">
        <v>93</v>
      </c>
      <c r="AR145">
        <v>86</v>
      </c>
      <c r="AS145">
        <v>84</v>
      </c>
      <c r="AT145">
        <v>75</v>
      </c>
      <c r="AU145">
        <v>71</v>
      </c>
      <c r="AV145">
        <v>62</v>
      </c>
      <c r="AW145">
        <v>50</v>
      </c>
      <c r="AX145">
        <v>56</v>
      </c>
      <c r="AY145">
        <v>53</v>
      </c>
      <c r="AZ145">
        <v>59</v>
      </c>
      <c r="BA145">
        <v>62</v>
      </c>
      <c r="BB145">
        <v>62</v>
      </c>
      <c r="BC145">
        <v>71</v>
      </c>
    </row>
    <row r="146" spans="1:55" x14ac:dyDescent="0.25">
      <c r="A146" t="s">
        <v>3780</v>
      </c>
      <c r="B146" t="s">
        <v>121</v>
      </c>
      <c r="C146" t="s">
        <v>255</v>
      </c>
      <c r="D146">
        <v>429</v>
      </c>
      <c r="E146">
        <v>71.8</v>
      </c>
      <c r="F146">
        <v>63</v>
      </c>
      <c r="G146">
        <v>85</v>
      </c>
      <c r="H146">
        <v>89</v>
      </c>
      <c r="I146">
        <v>92</v>
      </c>
      <c r="J146">
        <v>82</v>
      </c>
      <c r="K146">
        <v>79</v>
      </c>
      <c r="L146">
        <v>88</v>
      </c>
      <c r="M146">
        <v>76</v>
      </c>
      <c r="N146">
        <v>80</v>
      </c>
      <c r="O146">
        <v>78</v>
      </c>
      <c r="P146">
        <v>78</v>
      </c>
      <c r="Q146">
        <v>78</v>
      </c>
      <c r="R146">
        <v>76</v>
      </c>
      <c r="S146">
        <v>66</v>
      </c>
      <c r="T146">
        <v>49</v>
      </c>
      <c r="U146">
        <v>61</v>
      </c>
      <c r="V146">
        <v>52</v>
      </c>
      <c r="W146">
        <v>48</v>
      </c>
      <c r="X146">
        <v>51</v>
      </c>
      <c r="Y146">
        <v>50</v>
      </c>
      <c r="Z146">
        <v>62</v>
      </c>
      <c r="AA146">
        <v>72</v>
      </c>
      <c r="AB146">
        <v>63</v>
      </c>
      <c r="AC146">
        <v>69</v>
      </c>
      <c r="AD146">
        <v>66</v>
      </c>
      <c r="AE146">
        <v>68</v>
      </c>
      <c r="AF146">
        <v>68</v>
      </c>
      <c r="AG146">
        <v>62</v>
      </c>
      <c r="AH146">
        <v>56</v>
      </c>
      <c r="AI146">
        <v>61</v>
      </c>
      <c r="AJ146">
        <v>23</v>
      </c>
      <c r="AK146">
        <v>40</v>
      </c>
      <c r="AL146">
        <v>62</v>
      </c>
      <c r="AM146">
        <v>84</v>
      </c>
      <c r="AN146">
        <v>91</v>
      </c>
      <c r="AO146">
        <v>95</v>
      </c>
      <c r="AP146">
        <v>97</v>
      </c>
      <c r="AQ146">
        <v>98</v>
      </c>
      <c r="AR146">
        <v>92</v>
      </c>
      <c r="AS146">
        <v>80</v>
      </c>
      <c r="AT146">
        <v>82</v>
      </c>
      <c r="AU146">
        <v>78</v>
      </c>
      <c r="AV146">
        <v>71</v>
      </c>
      <c r="AW146">
        <v>68</v>
      </c>
      <c r="AX146">
        <v>74</v>
      </c>
      <c r="AY146">
        <v>69</v>
      </c>
      <c r="AZ146">
        <v>69</v>
      </c>
      <c r="BA146">
        <v>68</v>
      </c>
      <c r="BB146">
        <v>91</v>
      </c>
      <c r="BC146">
        <v>90</v>
      </c>
    </row>
    <row r="147" spans="1:55" x14ac:dyDescent="0.25">
      <c r="A147" t="s">
        <v>3781</v>
      </c>
      <c r="B147" t="s">
        <v>122</v>
      </c>
      <c r="C147" t="s">
        <v>255</v>
      </c>
      <c r="D147">
        <v>249</v>
      </c>
      <c r="E147">
        <v>69.88</v>
      </c>
      <c r="F147">
        <v>59</v>
      </c>
      <c r="G147">
        <v>74</v>
      </c>
      <c r="H147">
        <v>80</v>
      </c>
      <c r="I147">
        <v>82</v>
      </c>
      <c r="J147">
        <v>76</v>
      </c>
      <c r="K147">
        <v>77</v>
      </c>
      <c r="L147">
        <v>79</v>
      </c>
      <c r="M147">
        <v>77</v>
      </c>
      <c r="N147">
        <v>79</v>
      </c>
      <c r="O147">
        <v>74</v>
      </c>
      <c r="P147">
        <v>75</v>
      </c>
      <c r="Q147">
        <v>75</v>
      </c>
      <c r="R147">
        <v>70</v>
      </c>
      <c r="S147">
        <v>64</v>
      </c>
      <c r="T147">
        <v>44</v>
      </c>
      <c r="U147">
        <v>48</v>
      </c>
      <c r="V147">
        <v>42</v>
      </c>
      <c r="W147">
        <v>41</v>
      </c>
      <c r="X147">
        <v>42</v>
      </c>
      <c r="Y147">
        <v>46</v>
      </c>
      <c r="Z147">
        <v>57</v>
      </c>
      <c r="AA147">
        <v>57</v>
      </c>
      <c r="AB147">
        <v>55</v>
      </c>
      <c r="AC147">
        <v>61</v>
      </c>
      <c r="AD147">
        <v>60</v>
      </c>
      <c r="AE147">
        <v>67</v>
      </c>
      <c r="AF147">
        <v>71</v>
      </c>
      <c r="AG147">
        <v>64</v>
      </c>
      <c r="AH147">
        <v>66</v>
      </c>
      <c r="AI147">
        <v>66</v>
      </c>
      <c r="AJ147">
        <v>39</v>
      </c>
      <c r="AK147">
        <v>51</v>
      </c>
      <c r="AL147">
        <v>65</v>
      </c>
      <c r="AM147">
        <v>80</v>
      </c>
      <c r="AN147">
        <v>90</v>
      </c>
      <c r="AO147">
        <v>93</v>
      </c>
      <c r="AP147">
        <v>98</v>
      </c>
      <c r="AQ147">
        <v>98</v>
      </c>
      <c r="AR147">
        <v>92</v>
      </c>
      <c r="AS147">
        <v>88</v>
      </c>
      <c r="AT147">
        <v>80</v>
      </c>
      <c r="AU147">
        <v>82</v>
      </c>
      <c r="AV147">
        <v>73</v>
      </c>
      <c r="AW147">
        <v>65</v>
      </c>
      <c r="AX147">
        <v>77</v>
      </c>
      <c r="AY147">
        <v>75</v>
      </c>
      <c r="AZ147">
        <v>70</v>
      </c>
      <c r="BA147">
        <v>72</v>
      </c>
      <c r="BB147">
        <v>91</v>
      </c>
      <c r="BC147">
        <v>87</v>
      </c>
    </row>
    <row r="148" spans="1:55" x14ac:dyDescent="0.25">
      <c r="A148" t="s">
        <v>3782</v>
      </c>
      <c r="B148" t="s">
        <v>123</v>
      </c>
      <c r="C148" t="s">
        <v>255</v>
      </c>
      <c r="D148">
        <v>210</v>
      </c>
      <c r="E148">
        <v>70</v>
      </c>
      <c r="F148">
        <v>57</v>
      </c>
      <c r="G148">
        <v>80</v>
      </c>
      <c r="H148">
        <v>86</v>
      </c>
      <c r="I148">
        <v>91</v>
      </c>
      <c r="J148">
        <v>76</v>
      </c>
      <c r="K148">
        <v>70</v>
      </c>
      <c r="L148">
        <v>79</v>
      </c>
      <c r="M148">
        <v>67</v>
      </c>
      <c r="N148">
        <v>75</v>
      </c>
      <c r="O148">
        <v>69</v>
      </c>
      <c r="P148">
        <v>73</v>
      </c>
      <c r="Q148">
        <v>81</v>
      </c>
      <c r="R148">
        <v>80</v>
      </c>
      <c r="S148">
        <v>63</v>
      </c>
      <c r="T148">
        <v>55</v>
      </c>
      <c r="U148">
        <v>51</v>
      </c>
      <c r="V148">
        <v>43</v>
      </c>
      <c r="W148">
        <v>45</v>
      </c>
      <c r="X148">
        <v>42</v>
      </c>
      <c r="Y148">
        <v>52</v>
      </c>
      <c r="Z148">
        <v>69</v>
      </c>
      <c r="AA148">
        <v>71</v>
      </c>
      <c r="AB148">
        <v>61</v>
      </c>
      <c r="AC148">
        <v>65</v>
      </c>
      <c r="AD148">
        <v>63</v>
      </c>
      <c r="AE148">
        <v>69</v>
      </c>
      <c r="AF148">
        <v>61</v>
      </c>
      <c r="AG148">
        <v>61</v>
      </c>
      <c r="AH148">
        <v>54</v>
      </c>
      <c r="AI148">
        <v>62</v>
      </c>
      <c r="AJ148">
        <v>30</v>
      </c>
      <c r="AK148">
        <v>41</v>
      </c>
      <c r="AL148">
        <v>65</v>
      </c>
      <c r="AM148">
        <v>79</v>
      </c>
      <c r="AN148">
        <v>93</v>
      </c>
      <c r="AO148">
        <v>93</v>
      </c>
      <c r="AP148">
        <v>96</v>
      </c>
      <c r="AQ148">
        <v>96</v>
      </c>
      <c r="AR148">
        <v>89</v>
      </c>
      <c r="AS148">
        <v>83</v>
      </c>
      <c r="AT148">
        <v>79</v>
      </c>
      <c r="AU148">
        <v>77</v>
      </c>
      <c r="AV148">
        <v>79</v>
      </c>
      <c r="AW148">
        <v>66</v>
      </c>
      <c r="AX148">
        <v>78</v>
      </c>
      <c r="AY148">
        <v>76</v>
      </c>
      <c r="AZ148">
        <v>67</v>
      </c>
      <c r="BA148">
        <v>72</v>
      </c>
      <c r="BB148">
        <v>88</v>
      </c>
      <c r="BC148">
        <v>82</v>
      </c>
    </row>
    <row r="149" spans="1:55" x14ac:dyDescent="0.25">
      <c r="A149" t="s">
        <v>3783</v>
      </c>
      <c r="B149" t="s">
        <v>124</v>
      </c>
      <c r="C149" t="s">
        <v>255</v>
      </c>
      <c r="D149">
        <v>970</v>
      </c>
      <c r="E149">
        <v>58.94</v>
      </c>
      <c r="F149">
        <v>47</v>
      </c>
      <c r="G149">
        <v>69</v>
      </c>
      <c r="H149">
        <v>75</v>
      </c>
      <c r="I149">
        <v>80</v>
      </c>
      <c r="J149">
        <v>68</v>
      </c>
      <c r="K149">
        <v>60</v>
      </c>
      <c r="L149">
        <v>69</v>
      </c>
      <c r="M149">
        <v>57</v>
      </c>
      <c r="N149">
        <v>65</v>
      </c>
      <c r="O149">
        <v>61</v>
      </c>
      <c r="P149">
        <v>64</v>
      </c>
      <c r="Q149">
        <v>66</v>
      </c>
      <c r="R149">
        <v>60</v>
      </c>
      <c r="S149">
        <v>50</v>
      </c>
      <c r="T149">
        <v>36</v>
      </c>
      <c r="U149">
        <v>38</v>
      </c>
      <c r="V149">
        <v>31</v>
      </c>
      <c r="W149">
        <v>29</v>
      </c>
      <c r="X149">
        <v>31</v>
      </c>
      <c r="Y149">
        <v>34</v>
      </c>
      <c r="Z149">
        <v>51</v>
      </c>
      <c r="AA149">
        <v>50</v>
      </c>
      <c r="AB149">
        <v>48</v>
      </c>
      <c r="AC149">
        <v>53</v>
      </c>
      <c r="AD149">
        <v>50</v>
      </c>
      <c r="AE149">
        <v>48</v>
      </c>
      <c r="AF149">
        <v>48</v>
      </c>
      <c r="AG149">
        <v>43</v>
      </c>
      <c r="AH149">
        <v>42</v>
      </c>
      <c r="AI149">
        <v>46</v>
      </c>
      <c r="AJ149">
        <v>18</v>
      </c>
      <c r="AK149">
        <v>27</v>
      </c>
      <c r="AL149">
        <v>49</v>
      </c>
      <c r="AM149">
        <v>72</v>
      </c>
      <c r="AN149">
        <v>85</v>
      </c>
      <c r="AO149">
        <v>90</v>
      </c>
      <c r="AP149">
        <v>93</v>
      </c>
      <c r="AQ149">
        <v>95</v>
      </c>
      <c r="AR149">
        <v>86</v>
      </c>
      <c r="AS149">
        <v>79</v>
      </c>
      <c r="AT149">
        <v>75</v>
      </c>
      <c r="AU149">
        <v>72</v>
      </c>
      <c r="AV149">
        <v>65</v>
      </c>
      <c r="AW149">
        <v>59</v>
      </c>
      <c r="AX149">
        <v>69</v>
      </c>
      <c r="AY149">
        <v>60</v>
      </c>
      <c r="AZ149">
        <v>59</v>
      </c>
      <c r="BA149">
        <v>61</v>
      </c>
      <c r="BB149">
        <v>83</v>
      </c>
      <c r="BC149">
        <v>81</v>
      </c>
    </row>
    <row r="150" spans="1:55" x14ac:dyDescent="0.25">
      <c r="A150" t="s">
        <v>3784</v>
      </c>
      <c r="B150" t="s">
        <v>125</v>
      </c>
      <c r="C150" t="s">
        <v>255</v>
      </c>
      <c r="D150">
        <v>665</v>
      </c>
      <c r="E150">
        <v>43.96</v>
      </c>
      <c r="F150">
        <v>30</v>
      </c>
      <c r="G150">
        <v>49</v>
      </c>
      <c r="H150">
        <v>59</v>
      </c>
      <c r="I150">
        <v>64</v>
      </c>
      <c r="J150">
        <v>52</v>
      </c>
      <c r="K150">
        <v>49</v>
      </c>
      <c r="L150">
        <v>54</v>
      </c>
      <c r="M150">
        <v>43</v>
      </c>
      <c r="N150">
        <v>47</v>
      </c>
      <c r="O150">
        <v>45</v>
      </c>
      <c r="P150">
        <v>44</v>
      </c>
      <c r="Q150">
        <v>44</v>
      </c>
      <c r="R150">
        <v>44</v>
      </c>
      <c r="S150">
        <v>35</v>
      </c>
      <c r="T150">
        <v>25</v>
      </c>
      <c r="U150">
        <v>30</v>
      </c>
      <c r="V150">
        <v>24</v>
      </c>
      <c r="W150">
        <v>23</v>
      </c>
      <c r="X150">
        <v>22</v>
      </c>
      <c r="Y150">
        <v>23</v>
      </c>
      <c r="Z150">
        <v>30</v>
      </c>
      <c r="AA150">
        <v>32</v>
      </c>
      <c r="AB150">
        <v>30</v>
      </c>
      <c r="AC150">
        <v>32</v>
      </c>
      <c r="AD150">
        <v>33</v>
      </c>
      <c r="AE150">
        <v>33</v>
      </c>
      <c r="AF150">
        <v>32</v>
      </c>
      <c r="AG150">
        <v>29</v>
      </c>
      <c r="AH150">
        <v>25</v>
      </c>
      <c r="AI150">
        <v>26</v>
      </c>
      <c r="AJ150">
        <v>10</v>
      </c>
      <c r="AK150">
        <v>16</v>
      </c>
      <c r="AL150">
        <v>27</v>
      </c>
      <c r="AM150">
        <v>54</v>
      </c>
      <c r="AN150">
        <v>72</v>
      </c>
      <c r="AO150">
        <v>77</v>
      </c>
      <c r="AP150">
        <v>88</v>
      </c>
      <c r="AQ150">
        <v>86</v>
      </c>
      <c r="AR150">
        <v>76</v>
      </c>
      <c r="AS150">
        <v>66</v>
      </c>
      <c r="AT150">
        <v>56</v>
      </c>
      <c r="AU150">
        <v>56</v>
      </c>
      <c r="AV150">
        <v>48</v>
      </c>
      <c r="AW150">
        <v>45</v>
      </c>
      <c r="AX150">
        <v>51</v>
      </c>
      <c r="AY150">
        <v>44</v>
      </c>
      <c r="AZ150">
        <v>41</v>
      </c>
      <c r="BA150">
        <v>42</v>
      </c>
      <c r="BB150">
        <v>70</v>
      </c>
      <c r="BC150">
        <v>65</v>
      </c>
    </row>
    <row r="151" spans="1:55" x14ac:dyDescent="0.25">
      <c r="A151" t="s">
        <v>3785</v>
      </c>
      <c r="B151" t="s">
        <v>71</v>
      </c>
      <c r="C151" t="s">
        <v>255</v>
      </c>
      <c r="D151">
        <v>412</v>
      </c>
      <c r="E151">
        <v>40.340000000000003</v>
      </c>
      <c r="F151">
        <v>26</v>
      </c>
      <c r="G151">
        <v>43</v>
      </c>
      <c r="H151">
        <v>51</v>
      </c>
      <c r="I151">
        <v>58</v>
      </c>
      <c r="J151">
        <v>46</v>
      </c>
      <c r="K151">
        <v>43</v>
      </c>
      <c r="L151">
        <v>49</v>
      </c>
      <c r="M151">
        <v>37</v>
      </c>
      <c r="N151">
        <v>42</v>
      </c>
      <c r="O151">
        <v>39</v>
      </c>
      <c r="P151">
        <v>38</v>
      </c>
      <c r="Q151">
        <v>39</v>
      </c>
      <c r="R151">
        <v>41</v>
      </c>
      <c r="S151">
        <v>31</v>
      </c>
      <c r="T151">
        <v>21</v>
      </c>
      <c r="U151">
        <v>26</v>
      </c>
      <c r="V151">
        <v>23</v>
      </c>
      <c r="W151">
        <v>20</v>
      </c>
      <c r="X151">
        <v>19</v>
      </c>
      <c r="Y151">
        <v>20</v>
      </c>
      <c r="Z151">
        <v>25</v>
      </c>
      <c r="AA151">
        <v>26</v>
      </c>
      <c r="AB151">
        <v>25</v>
      </c>
      <c r="AC151">
        <v>27</v>
      </c>
      <c r="AD151">
        <v>30</v>
      </c>
      <c r="AE151">
        <v>28</v>
      </c>
      <c r="AF151">
        <v>31</v>
      </c>
      <c r="AG151">
        <v>25</v>
      </c>
      <c r="AH151">
        <v>23</v>
      </c>
      <c r="AI151">
        <v>23</v>
      </c>
      <c r="AJ151">
        <v>8</v>
      </c>
      <c r="AK151">
        <v>17</v>
      </c>
      <c r="AL151">
        <v>23</v>
      </c>
      <c r="AM151">
        <v>45</v>
      </c>
      <c r="AN151">
        <v>67</v>
      </c>
      <c r="AO151">
        <v>72</v>
      </c>
      <c r="AP151">
        <v>87</v>
      </c>
      <c r="AQ151">
        <v>84</v>
      </c>
      <c r="AR151">
        <v>74</v>
      </c>
      <c r="AS151">
        <v>67</v>
      </c>
      <c r="AT151">
        <v>54</v>
      </c>
      <c r="AU151">
        <v>53</v>
      </c>
      <c r="AV151">
        <v>48</v>
      </c>
      <c r="AW151">
        <v>44</v>
      </c>
      <c r="AX151">
        <v>48</v>
      </c>
      <c r="AY151">
        <v>42</v>
      </c>
      <c r="AZ151">
        <v>39</v>
      </c>
      <c r="BA151">
        <v>40</v>
      </c>
      <c r="BB151">
        <v>69</v>
      </c>
      <c r="BC151">
        <v>61</v>
      </c>
    </row>
    <row r="152" spans="1:55" x14ac:dyDescent="0.25">
      <c r="A152" t="s">
        <v>3786</v>
      </c>
      <c r="B152" t="s">
        <v>127</v>
      </c>
      <c r="C152" t="s">
        <v>255</v>
      </c>
      <c r="D152">
        <v>253</v>
      </c>
      <c r="E152">
        <v>49.54</v>
      </c>
      <c r="F152">
        <v>37</v>
      </c>
      <c r="G152">
        <v>58</v>
      </c>
      <c r="H152">
        <v>71</v>
      </c>
      <c r="I152">
        <v>74</v>
      </c>
      <c r="J152">
        <v>62</v>
      </c>
      <c r="K152">
        <v>57</v>
      </c>
      <c r="L152">
        <v>61</v>
      </c>
      <c r="M152">
        <v>51</v>
      </c>
      <c r="N152">
        <v>54</v>
      </c>
      <c r="O152">
        <v>54</v>
      </c>
      <c r="P152">
        <v>53</v>
      </c>
      <c r="Q152">
        <v>51</v>
      </c>
      <c r="R152">
        <v>48</v>
      </c>
      <c r="S152">
        <v>41</v>
      </c>
      <c r="T152">
        <v>31</v>
      </c>
      <c r="U152">
        <v>38</v>
      </c>
      <c r="V152">
        <v>25</v>
      </c>
      <c r="W152">
        <v>28</v>
      </c>
      <c r="X152">
        <v>27</v>
      </c>
      <c r="Y152">
        <v>28</v>
      </c>
      <c r="Z152">
        <v>37</v>
      </c>
      <c r="AA152">
        <v>41</v>
      </c>
      <c r="AB152">
        <v>37</v>
      </c>
      <c r="AC152">
        <v>40</v>
      </c>
      <c r="AD152">
        <v>40</v>
      </c>
      <c r="AE152">
        <v>39</v>
      </c>
      <c r="AF152">
        <v>34</v>
      </c>
      <c r="AG152">
        <v>35</v>
      </c>
      <c r="AH152">
        <v>29</v>
      </c>
      <c r="AI152">
        <v>30</v>
      </c>
      <c r="AJ152">
        <v>12</v>
      </c>
      <c r="AK152">
        <v>16</v>
      </c>
      <c r="AL152">
        <v>33</v>
      </c>
      <c r="AM152">
        <v>67</v>
      </c>
      <c r="AN152">
        <v>80</v>
      </c>
      <c r="AO152">
        <v>85</v>
      </c>
      <c r="AP152">
        <v>90</v>
      </c>
      <c r="AQ152">
        <v>90</v>
      </c>
      <c r="AR152">
        <v>79</v>
      </c>
      <c r="AS152">
        <v>66</v>
      </c>
      <c r="AT152">
        <v>59</v>
      </c>
      <c r="AU152">
        <v>61</v>
      </c>
      <c r="AV152">
        <v>48</v>
      </c>
      <c r="AW152">
        <v>48</v>
      </c>
      <c r="AX152">
        <v>54</v>
      </c>
      <c r="AY152">
        <v>46</v>
      </c>
      <c r="AZ152">
        <v>43</v>
      </c>
      <c r="BA152">
        <v>47</v>
      </c>
      <c r="BB152">
        <v>72</v>
      </c>
      <c r="BC152">
        <v>70</v>
      </c>
    </row>
    <row r="153" spans="1:55" x14ac:dyDescent="0.25">
      <c r="A153" t="s">
        <v>3787</v>
      </c>
      <c r="B153" t="s">
        <v>128</v>
      </c>
      <c r="C153" t="s">
        <v>255</v>
      </c>
      <c r="D153">
        <v>917</v>
      </c>
      <c r="E153">
        <v>45</v>
      </c>
      <c r="F153">
        <v>29</v>
      </c>
      <c r="G153">
        <v>51</v>
      </c>
      <c r="H153">
        <v>60</v>
      </c>
      <c r="I153">
        <v>69</v>
      </c>
      <c r="J153">
        <v>54</v>
      </c>
      <c r="K153">
        <v>50</v>
      </c>
      <c r="L153">
        <v>54</v>
      </c>
      <c r="M153">
        <v>48</v>
      </c>
      <c r="N153">
        <v>48</v>
      </c>
      <c r="O153">
        <v>43</v>
      </c>
      <c r="P153">
        <v>46</v>
      </c>
      <c r="Q153">
        <v>44</v>
      </c>
      <c r="R153">
        <v>38</v>
      </c>
      <c r="S153">
        <v>30</v>
      </c>
      <c r="T153">
        <v>24</v>
      </c>
      <c r="U153">
        <v>27</v>
      </c>
      <c r="V153">
        <v>18</v>
      </c>
      <c r="W153">
        <v>20</v>
      </c>
      <c r="X153">
        <v>18</v>
      </c>
      <c r="Y153">
        <v>20</v>
      </c>
      <c r="Z153">
        <v>28</v>
      </c>
      <c r="AA153">
        <v>33</v>
      </c>
      <c r="AB153">
        <v>29</v>
      </c>
      <c r="AC153">
        <v>35</v>
      </c>
      <c r="AD153">
        <v>32</v>
      </c>
      <c r="AE153">
        <v>34</v>
      </c>
      <c r="AF153">
        <v>33</v>
      </c>
      <c r="AG153">
        <v>29</v>
      </c>
      <c r="AH153">
        <v>26</v>
      </c>
      <c r="AI153">
        <v>29</v>
      </c>
      <c r="AJ153">
        <v>12</v>
      </c>
      <c r="AK153">
        <v>15</v>
      </c>
      <c r="AL153">
        <v>29</v>
      </c>
      <c r="AM153">
        <v>56</v>
      </c>
      <c r="AN153">
        <v>76</v>
      </c>
      <c r="AO153">
        <v>81</v>
      </c>
      <c r="AP153">
        <v>90</v>
      </c>
      <c r="AQ153">
        <v>90</v>
      </c>
      <c r="AR153">
        <v>80</v>
      </c>
      <c r="AS153">
        <v>69</v>
      </c>
      <c r="AT153">
        <v>62</v>
      </c>
      <c r="AU153">
        <v>61</v>
      </c>
      <c r="AV153">
        <v>49</v>
      </c>
      <c r="AW153">
        <v>49</v>
      </c>
      <c r="AX153">
        <v>56</v>
      </c>
      <c r="AY153">
        <v>46</v>
      </c>
      <c r="AZ153">
        <v>43</v>
      </c>
      <c r="BA153">
        <v>49</v>
      </c>
      <c r="BB153">
        <v>72</v>
      </c>
      <c r="BC153">
        <v>66</v>
      </c>
    </row>
    <row r="154" spans="1:55" x14ac:dyDescent="0.25">
      <c r="A154" t="s">
        <v>3788</v>
      </c>
      <c r="B154" t="s">
        <v>72</v>
      </c>
      <c r="C154" t="s">
        <v>255</v>
      </c>
      <c r="D154">
        <v>122</v>
      </c>
      <c r="E154">
        <v>57.4</v>
      </c>
      <c r="F154">
        <v>35</v>
      </c>
      <c r="G154">
        <v>75</v>
      </c>
      <c r="H154">
        <v>79</v>
      </c>
      <c r="I154">
        <v>85</v>
      </c>
      <c r="J154">
        <v>71</v>
      </c>
      <c r="K154">
        <v>64</v>
      </c>
      <c r="L154">
        <v>68</v>
      </c>
      <c r="M154">
        <v>54</v>
      </c>
      <c r="N154">
        <v>66</v>
      </c>
      <c r="O154">
        <v>55</v>
      </c>
      <c r="P154">
        <v>52</v>
      </c>
      <c r="Q154">
        <v>62</v>
      </c>
      <c r="R154">
        <v>51</v>
      </c>
      <c r="S154">
        <v>39</v>
      </c>
      <c r="T154">
        <v>33</v>
      </c>
      <c r="U154">
        <v>29</v>
      </c>
      <c r="V154">
        <v>23</v>
      </c>
      <c r="W154">
        <v>26</v>
      </c>
      <c r="X154">
        <v>24</v>
      </c>
      <c r="Y154">
        <v>27</v>
      </c>
      <c r="Z154">
        <v>41</v>
      </c>
      <c r="AA154">
        <v>39</v>
      </c>
      <c r="AB154">
        <v>42</v>
      </c>
      <c r="AC154">
        <v>45</v>
      </c>
      <c r="AD154">
        <v>46</v>
      </c>
      <c r="AE154">
        <v>47</v>
      </c>
      <c r="AF154">
        <v>43</v>
      </c>
      <c r="AG154">
        <v>45</v>
      </c>
      <c r="AH154">
        <v>41</v>
      </c>
      <c r="AI154">
        <v>50</v>
      </c>
      <c r="AJ154">
        <v>14</v>
      </c>
      <c r="AK154">
        <v>26</v>
      </c>
      <c r="AL154">
        <v>44</v>
      </c>
      <c r="AM154">
        <v>69</v>
      </c>
      <c r="AN154">
        <v>86</v>
      </c>
      <c r="AO154">
        <v>90</v>
      </c>
      <c r="AP154">
        <v>97</v>
      </c>
      <c r="AQ154">
        <v>95</v>
      </c>
      <c r="AR154">
        <v>93</v>
      </c>
      <c r="AS154">
        <v>79</v>
      </c>
      <c r="AT154">
        <v>76</v>
      </c>
      <c r="AU154">
        <v>80</v>
      </c>
      <c r="AV154">
        <v>71</v>
      </c>
      <c r="AW154">
        <v>66</v>
      </c>
      <c r="AX154">
        <v>72</v>
      </c>
      <c r="AY154">
        <v>64</v>
      </c>
      <c r="AZ154">
        <v>66</v>
      </c>
      <c r="BA154">
        <v>65</v>
      </c>
      <c r="BB154">
        <v>82</v>
      </c>
      <c r="BC154">
        <v>78</v>
      </c>
    </row>
    <row r="155" spans="1:55" x14ac:dyDescent="0.25">
      <c r="A155" t="s">
        <v>3789</v>
      </c>
      <c r="B155" t="s">
        <v>240</v>
      </c>
      <c r="C155" t="s">
        <v>255</v>
      </c>
      <c r="D155">
        <v>46</v>
      </c>
      <c r="E155">
        <v>43.66</v>
      </c>
      <c r="F155">
        <v>40</v>
      </c>
      <c r="G155">
        <v>47</v>
      </c>
      <c r="H155">
        <v>48</v>
      </c>
      <c r="I155">
        <v>54</v>
      </c>
      <c r="J155">
        <v>58</v>
      </c>
      <c r="K155">
        <v>63</v>
      </c>
      <c r="L155">
        <v>51</v>
      </c>
      <c r="M155">
        <v>41</v>
      </c>
      <c r="N155">
        <v>50</v>
      </c>
      <c r="O155">
        <v>50</v>
      </c>
      <c r="P155">
        <v>41</v>
      </c>
      <c r="Q155">
        <v>43</v>
      </c>
      <c r="R155">
        <v>35</v>
      </c>
      <c r="S155">
        <v>32</v>
      </c>
      <c r="T155">
        <v>22</v>
      </c>
      <c r="U155">
        <v>23</v>
      </c>
      <c r="V155">
        <v>27</v>
      </c>
      <c r="W155">
        <v>11</v>
      </c>
      <c r="X155">
        <v>21</v>
      </c>
      <c r="Y155">
        <v>19</v>
      </c>
      <c r="Z155">
        <v>34</v>
      </c>
      <c r="AA155">
        <v>19</v>
      </c>
      <c r="AB155">
        <v>32</v>
      </c>
      <c r="AC155">
        <v>24</v>
      </c>
      <c r="AD155">
        <v>17</v>
      </c>
      <c r="AE155">
        <v>26</v>
      </c>
      <c r="AF155">
        <v>30</v>
      </c>
      <c r="AG155">
        <v>22</v>
      </c>
      <c r="AH155">
        <v>26</v>
      </c>
      <c r="AI155">
        <v>28</v>
      </c>
      <c r="AJ155">
        <v>13</v>
      </c>
      <c r="AK155">
        <v>12</v>
      </c>
      <c r="AL155">
        <v>27</v>
      </c>
      <c r="AM155">
        <v>52</v>
      </c>
      <c r="AN155">
        <v>63</v>
      </c>
      <c r="AO155">
        <v>74</v>
      </c>
      <c r="AP155">
        <v>84</v>
      </c>
      <c r="AQ155">
        <v>93</v>
      </c>
      <c r="AR155">
        <v>86</v>
      </c>
      <c r="AS155">
        <v>74</v>
      </c>
      <c r="AT155">
        <v>60</v>
      </c>
      <c r="AU155">
        <v>60</v>
      </c>
      <c r="AV155">
        <v>53</v>
      </c>
      <c r="AW155">
        <v>52</v>
      </c>
      <c r="AX155">
        <v>66</v>
      </c>
      <c r="AY155">
        <v>49</v>
      </c>
      <c r="AZ155">
        <v>33</v>
      </c>
      <c r="BA155">
        <v>54</v>
      </c>
      <c r="BB155">
        <v>66</v>
      </c>
      <c r="BC155">
        <v>78</v>
      </c>
    </row>
    <row r="156" spans="1:55" x14ac:dyDescent="0.25">
      <c r="A156" t="s">
        <v>3790</v>
      </c>
      <c r="B156" t="s">
        <v>129</v>
      </c>
      <c r="C156" t="s">
        <v>255</v>
      </c>
      <c r="D156">
        <v>97</v>
      </c>
      <c r="E156">
        <v>56.16</v>
      </c>
      <c r="F156">
        <v>46</v>
      </c>
      <c r="G156">
        <v>64</v>
      </c>
      <c r="H156">
        <v>72</v>
      </c>
      <c r="I156">
        <v>78</v>
      </c>
      <c r="J156">
        <v>58</v>
      </c>
      <c r="K156">
        <v>70</v>
      </c>
      <c r="L156">
        <v>67</v>
      </c>
      <c r="M156">
        <v>56</v>
      </c>
      <c r="N156">
        <v>65</v>
      </c>
      <c r="O156">
        <v>52</v>
      </c>
      <c r="P156">
        <v>49</v>
      </c>
      <c r="Q156">
        <v>66</v>
      </c>
      <c r="R156">
        <v>49</v>
      </c>
      <c r="S156">
        <v>51</v>
      </c>
      <c r="T156">
        <v>38</v>
      </c>
      <c r="U156">
        <v>40</v>
      </c>
      <c r="V156">
        <v>36</v>
      </c>
      <c r="W156">
        <v>28</v>
      </c>
      <c r="X156">
        <v>24</v>
      </c>
      <c r="Y156">
        <v>34</v>
      </c>
      <c r="Z156">
        <v>45</v>
      </c>
      <c r="AA156">
        <v>51</v>
      </c>
      <c r="AB156">
        <v>47</v>
      </c>
      <c r="AC156">
        <v>50</v>
      </c>
      <c r="AD156">
        <v>39</v>
      </c>
      <c r="AE156">
        <v>50</v>
      </c>
      <c r="AF156">
        <v>57</v>
      </c>
      <c r="AG156">
        <v>44</v>
      </c>
      <c r="AH156">
        <v>43</v>
      </c>
      <c r="AI156">
        <v>48</v>
      </c>
      <c r="AJ156">
        <v>7</v>
      </c>
      <c r="AK156">
        <v>23</v>
      </c>
      <c r="AL156">
        <v>51</v>
      </c>
      <c r="AM156">
        <v>77</v>
      </c>
      <c r="AN156">
        <v>85</v>
      </c>
      <c r="AO156">
        <v>87</v>
      </c>
      <c r="AP156">
        <v>94</v>
      </c>
      <c r="AQ156">
        <v>97</v>
      </c>
      <c r="AR156">
        <v>86</v>
      </c>
      <c r="AS156">
        <v>63</v>
      </c>
      <c r="AT156">
        <v>73</v>
      </c>
      <c r="AU156">
        <v>73</v>
      </c>
      <c r="AV156">
        <v>55</v>
      </c>
      <c r="AW156">
        <v>46</v>
      </c>
      <c r="AX156">
        <v>55</v>
      </c>
      <c r="AY156">
        <v>57</v>
      </c>
      <c r="AZ156">
        <v>49</v>
      </c>
      <c r="BA156">
        <v>52</v>
      </c>
      <c r="BB156">
        <v>80</v>
      </c>
      <c r="BC156">
        <v>81</v>
      </c>
    </row>
    <row r="157" spans="1:55" x14ac:dyDescent="0.25">
      <c r="A157" t="s">
        <v>3791</v>
      </c>
      <c r="B157" t="s">
        <v>241</v>
      </c>
      <c r="C157" t="s">
        <v>255</v>
      </c>
      <c r="D157">
        <v>166</v>
      </c>
      <c r="E157">
        <v>50.34</v>
      </c>
      <c r="F157">
        <v>45</v>
      </c>
      <c r="G157">
        <v>47</v>
      </c>
      <c r="H157">
        <v>64</v>
      </c>
      <c r="I157">
        <v>64</v>
      </c>
      <c r="J157">
        <v>62</v>
      </c>
      <c r="K157">
        <v>59</v>
      </c>
      <c r="L157">
        <v>59</v>
      </c>
      <c r="M157">
        <v>55</v>
      </c>
      <c r="N157">
        <v>57</v>
      </c>
      <c r="O157">
        <v>52</v>
      </c>
      <c r="P157">
        <v>58</v>
      </c>
      <c r="Q157">
        <v>56</v>
      </c>
      <c r="R157">
        <v>44</v>
      </c>
      <c r="S157">
        <v>37</v>
      </c>
      <c r="T157">
        <v>30</v>
      </c>
      <c r="U157">
        <v>38</v>
      </c>
      <c r="V157">
        <v>32</v>
      </c>
      <c r="W157">
        <v>31</v>
      </c>
      <c r="X157">
        <v>27</v>
      </c>
      <c r="Y157">
        <v>28</v>
      </c>
      <c r="Z157">
        <v>38</v>
      </c>
      <c r="AA157">
        <v>36</v>
      </c>
      <c r="AB157">
        <v>36</v>
      </c>
      <c r="AC157">
        <v>34</v>
      </c>
      <c r="AD157">
        <v>30</v>
      </c>
      <c r="AE157">
        <v>36</v>
      </c>
      <c r="AF157">
        <v>39</v>
      </c>
      <c r="AG157">
        <v>38</v>
      </c>
      <c r="AH157">
        <v>31</v>
      </c>
      <c r="AI157">
        <v>37</v>
      </c>
      <c r="AJ157">
        <v>21</v>
      </c>
      <c r="AK157">
        <v>27</v>
      </c>
      <c r="AL157">
        <v>34</v>
      </c>
      <c r="AM157">
        <v>55</v>
      </c>
      <c r="AN157">
        <v>74</v>
      </c>
      <c r="AO157">
        <v>77</v>
      </c>
      <c r="AP157">
        <v>88</v>
      </c>
      <c r="AQ157">
        <v>90</v>
      </c>
      <c r="AR157">
        <v>82</v>
      </c>
      <c r="AS157">
        <v>70</v>
      </c>
      <c r="AT157">
        <v>64</v>
      </c>
      <c r="AU157">
        <v>63</v>
      </c>
      <c r="AV157">
        <v>59</v>
      </c>
      <c r="AW157">
        <v>51</v>
      </c>
      <c r="AX157">
        <v>57</v>
      </c>
      <c r="AY157">
        <v>50</v>
      </c>
      <c r="AZ157">
        <v>52</v>
      </c>
      <c r="BA157">
        <v>55</v>
      </c>
      <c r="BB157">
        <v>77</v>
      </c>
      <c r="BC157">
        <v>71</v>
      </c>
    </row>
    <row r="158" spans="1:55" x14ac:dyDescent="0.25">
      <c r="A158" t="s">
        <v>3792</v>
      </c>
      <c r="B158" t="s">
        <v>242</v>
      </c>
      <c r="C158" t="s">
        <v>255</v>
      </c>
      <c r="D158">
        <v>99</v>
      </c>
      <c r="E158">
        <v>41.02</v>
      </c>
      <c r="F158">
        <v>27</v>
      </c>
      <c r="G158">
        <v>24</v>
      </c>
      <c r="H158">
        <v>35</v>
      </c>
      <c r="I158">
        <v>51</v>
      </c>
      <c r="J158">
        <v>37</v>
      </c>
      <c r="K158">
        <v>45</v>
      </c>
      <c r="L158">
        <v>52</v>
      </c>
      <c r="M158">
        <v>43</v>
      </c>
      <c r="N158">
        <v>38</v>
      </c>
      <c r="O158">
        <v>38</v>
      </c>
      <c r="P158">
        <v>34</v>
      </c>
      <c r="Q158">
        <v>38</v>
      </c>
      <c r="R158">
        <v>38</v>
      </c>
      <c r="S158">
        <v>38</v>
      </c>
      <c r="T158">
        <v>19</v>
      </c>
      <c r="U158">
        <v>25</v>
      </c>
      <c r="V158">
        <v>29</v>
      </c>
      <c r="W158">
        <v>23</v>
      </c>
      <c r="X158">
        <v>21</v>
      </c>
      <c r="Y158">
        <v>24</v>
      </c>
      <c r="Z158">
        <v>25</v>
      </c>
      <c r="AA158">
        <v>14</v>
      </c>
      <c r="AB158">
        <v>18</v>
      </c>
      <c r="AC158">
        <v>26</v>
      </c>
      <c r="AD158">
        <v>17</v>
      </c>
      <c r="AE158">
        <v>28</v>
      </c>
      <c r="AF158">
        <v>28</v>
      </c>
      <c r="AG158">
        <v>30</v>
      </c>
      <c r="AH158">
        <v>28</v>
      </c>
      <c r="AI158">
        <v>38</v>
      </c>
      <c r="AJ158">
        <v>7</v>
      </c>
      <c r="AK158">
        <v>14</v>
      </c>
      <c r="AL158">
        <v>22</v>
      </c>
      <c r="AM158">
        <v>48</v>
      </c>
      <c r="AN158">
        <v>63</v>
      </c>
      <c r="AO158">
        <v>64</v>
      </c>
      <c r="AP158">
        <v>83</v>
      </c>
      <c r="AQ158">
        <v>83</v>
      </c>
      <c r="AR158">
        <v>72</v>
      </c>
      <c r="AS158">
        <v>64</v>
      </c>
      <c r="AT158">
        <v>55</v>
      </c>
      <c r="AU158">
        <v>62</v>
      </c>
      <c r="AV158">
        <v>57</v>
      </c>
      <c r="AW158">
        <v>51</v>
      </c>
      <c r="AX158">
        <v>62</v>
      </c>
      <c r="AY158">
        <v>56</v>
      </c>
      <c r="AZ158">
        <v>56</v>
      </c>
      <c r="BA158">
        <v>55</v>
      </c>
      <c r="BB158">
        <v>83</v>
      </c>
      <c r="BC158">
        <v>63</v>
      </c>
    </row>
    <row r="159" spans="1:55" x14ac:dyDescent="0.25">
      <c r="A159" t="s">
        <v>3793</v>
      </c>
      <c r="B159" t="s">
        <v>132</v>
      </c>
      <c r="C159" t="s">
        <v>255</v>
      </c>
      <c r="D159">
        <v>139</v>
      </c>
      <c r="E159">
        <v>64.08</v>
      </c>
      <c r="F159">
        <v>70</v>
      </c>
      <c r="G159">
        <v>63</v>
      </c>
      <c r="H159">
        <v>69</v>
      </c>
      <c r="I159">
        <v>70</v>
      </c>
      <c r="J159">
        <v>64</v>
      </c>
      <c r="K159">
        <v>65</v>
      </c>
      <c r="L159">
        <v>70</v>
      </c>
      <c r="M159">
        <v>67</v>
      </c>
      <c r="N159">
        <v>69</v>
      </c>
      <c r="O159">
        <v>68</v>
      </c>
      <c r="P159">
        <v>65</v>
      </c>
      <c r="Q159">
        <v>65</v>
      </c>
      <c r="R159">
        <v>63</v>
      </c>
      <c r="S159">
        <v>63</v>
      </c>
      <c r="T159">
        <v>59</v>
      </c>
      <c r="U159">
        <v>59</v>
      </c>
      <c r="V159">
        <v>63</v>
      </c>
      <c r="W159">
        <v>63</v>
      </c>
      <c r="X159">
        <v>57</v>
      </c>
      <c r="Y159">
        <v>59</v>
      </c>
      <c r="Z159">
        <v>59</v>
      </c>
      <c r="AA159">
        <v>54</v>
      </c>
      <c r="AB159">
        <v>55</v>
      </c>
      <c r="AC159">
        <v>64</v>
      </c>
      <c r="AD159">
        <v>56</v>
      </c>
      <c r="AE159">
        <v>63</v>
      </c>
      <c r="AF159">
        <v>66</v>
      </c>
      <c r="AG159">
        <v>58</v>
      </c>
      <c r="AH159">
        <v>55</v>
      </c>
      <c r="AI159">
        <v>60</v>
      </c>
      <c r="AJ159">
        <v>57</v>
      </c>
      <c r="AK159">
        <v>52</v>
      </c>
      <c r="AL159">
        <v>50</v>
      </c>
      <c r="AM159">
        <v>51</v>
      </c>
      <c r="AN159">
        <v>77</v>
      </c>
      <c r="AO159">
        <v>80</v>
      </c>
      <c r="AP159">
        <v>91</v>
      </c>
      <c r="AQ159">
        <v>93</v>
      </c>
      <c r="AR159">
        <v>78</v>
      </c>
      <c r="AS159">
        <v>80</v>
      </c>
      <c r="AT159">
        <v>68</v>
      </c>
      <c r="AU159">
        <v>69</v>
      </c>
      <c r="AV159">
        <v>61</v>
      </c>
      <c r="AW159">
        <v>53</v>
      </c>
      <c r="AX159">
        <v>62</v>
      </c>
      <c r="AY159">
        <v>59</v>
      </c>
      <c r="AZ159">
        <v>52</v>
      </c>
      <c r="BA159">
        <v>53</v>
      </c>
      <c r="BB159">
        <v>71</v>
      </c>
      <c r="BC159">
        <v>66</v>
      </c>
    </row>
    <row r="160" spans="1:55" x14ac:dyDescent="0.25">
      <c r="A160" t="s">
        <v>3794</v>
      </c>
      <c r="B160" t="s">
        <v>243</v>
      </c>
      <c r="C160" t="s">
        <v>255</v>
      </c>
      <c r="D160">
        <v>207</v>
      </c>
      <c r="E160">
        <v>64.2</v>
      </c>
      <c r="F160">
        <v>59</v>
      </c>
      <c r="G160">
        <v>58</v>
      </c>
      <c r="H160">
        <v>66</v>
      </c>
      <c r="I160">
        <v>80</v>
      </c>
      <c r="J160">
        <v>70</v>
      </c>
      <c r="K160">
        <v>74</v>
      </c>
      <c r="L160">
        <v>74</v>
      </c>
      <c r="M160">
        <v>69</v>
      </c>
      <c r="N160">
        <v>73</v>
      </c>
      <c r="O160">
        <v>74</v>
      </c>
      <c r="P160">
        <v>70</v>
      </c>
      <c r="Q160">
        <v>72</v>
      </c>
      <c r="R160">
        <v>67</v>
      </c>
      <c r="S160">
        <v>57</v>
      </c>
      <c r="T160">
        <v>45</v>
      </c>
      <c r="U160">
        <v>53</v>
      </c>
      <c r="V160">
        <v>47</v>
      </c>
      <c r="W160">
        <v>51</v>
      </c>
      <c r="X160">
        <v>46</v>
      </c>
      <c r="Y160">
        <v>51</v>
      </c>
      <c r="Z160">
        <v>59</v>
      </c>
      <c r="AA160">
        <v>47</v>
      </c>
      <c r="AB160">
        <v>49</v>
      </c>
      <c r="AC160">
        <v>52</v>
      </c>
      <c r="AD160">
        <v>48</v>
      </c>
      <c r="AE160">
        <v>56</v>
      </c>
      <c r="AF160">
        <v>61</v>
      </c>
      <c r="AG160">
        <v>47</v>
      </c>
      <c r="AH160">
        <v>51</v>
      </c>
      <c r="AI160">
        <v>58</v>
      </c>
      <c r="AJ160">
        <v>20</v>
      </c>
      <c r="AK160">
        <v>41</v>
      </c>
      <c r="AL160">
        <v>52</v>
      </c>
      <c r="AM160">
        <v>61</v>
      </c>
      <c r="AN160">
        <v>71</v>
      </c>
      <c r="AO160">
        <v>81</v>
      </c>
      <c r="AP160">
        <v>91</v>
      </c>
      <c r="AQ160">
        <v>92</v>
      </c>
      <c r="AR160">
        <v>85</v>
      </c>
      <c r="AS160">
        <v>82</v>
      </c>
      <c r="AT160">
        <v>79</v>
      </c>
      <c r="AU160">
        <v>78</v>
      </c>
      <c r="AV160">
        <v>69</v>
      </c>
      <c r="AW160">
        <v>63</v>
      </c>
      <c r="AX160">
        <v>74</v>
      </c>
      <c r="AY160">
        <v>72</v>
      </c>
      <c r="AZ160">
        <v>68</v>
      </c>
      <c r="BA160">
        <v>68</v>
      </c>
      <c r="BB160">
        <v>90</v>
      </c>
      <c r="BC160">
        <v>89</v>
      </c>
    </row>
    <row r="161" spans="1:55" x14ac:dyDescent="0.25">
      <c r="A161" t="s">
        <v>3795</v>
      </c>
      <c r="B161" t="s">
        <v>37</v>
      </c>
      <c r="C161" t="s">
        <v>255</v>
      </c>
      <c r="D161">
        <v>1542</v>
      </c>
      <c r="E161">
        <v>50.38</v>
      </c>
      <c r="F161">
        <v>37</v>
      </c>
      <c r="G161">
        <v>44</v>
      </c>
      <c r="H161">
        <v>53</v>
      </c>
      <c r="I161">
        <v>64</v>
      </c>
      <c r="J161">
        <v>56</v>
      </c>
      <c r="K161">
        <v>58</v>
      </c>
      <c r="L161">
        <v>67</v>
      </c>
      <c r="M161">
        <v>61</v>
      </c>
      <c r="N161">
        <v>57</v>
      </c>
      <c r="O161">
        <v>54</v>
      </c>
      <c r="P161">
        <v>54</v>
      </c>
      <c r="Q161">
        <v>50</v>
      </c>
      <c r="R161">
        <v>45</v>
      </c>
      <c r="S161">
        <v>39</v>
      </c>
      <c r="T161">
        <v>27</v>
      </c>
      <c r="U161">
        <v>29</v>
      </c>
      <c r="V161">
        <v>26</v>
      </c>
      <c r="W161">
        <v>21</v>
      </c>
      <c r="X161">
        <v>23</v>
      </c>
      <c r="Y161">
        <v>23</v>
      </c>
      <c r="Z161">
        <v>32</v>
      </c>
      <c r="AA161">
        <v>33</v>
      </c>
      <c r="AB161">
        <v>33</v>
      </c>
      <c r="AC161">
        <v>36</v>
      </c>
      <c r="AD161">
        <v>34</v>
      </c>
      <c r="AE161">
        <v>42</v>
      </c>
      <c r="AF161">
        <v>45</v>
      </c>
      <c r="AG161">
        <v>40</v>
      </c>
      <c r="AH161">
        <v>41</v>
      </c>
      <c r="AI161">
        <v>45</v>
      </c>
      <c r="AJ161">
        <v>21</v>
      </c>
      <c r="AK161">
        <v>25</v>
      </c>
      <c r="AL161">
        <v>35</v>
      </c>
      <c r="AM161">
        <v>62</v>
      </c>
      <c r="AN161">
        <v>74</v>
      </c>
      <c r="AO161">
        <v>78</v>
      </c>
      <c r="AP161">
        <v>91</v>
      </c>
      <c r="AQ161">
        <v>90</v>
      </c>
      <c r="AR161">
        <v>79</v>
      </c>
      <c r="AS161">
        <v>72</v>
      </c>
      <c r="AT161">
        <v>66</v>
      </c>
      <c r="AU161">
        <v>68</v>
      </c>
      <c r="AV161">
        <v>59</v>
      </c>
      <c r="AW161">
        <v>51</v>
      </c>
      <c r="AX161">
        <v>57</v>
      </c>
      <c r="AY161">
        <v>56</v>
      </c>
      <c r="AZ161">
        <v>54</v>
      </c>
      <c r="BA161">
        <v>52</v>
      </c>
      <c r="BB161">
        <v>82</v>
      </c>
      <c r="BC161">
        <v>78</v>
      </c>
    </row>
    <row r="162" spans="1:55" x14ac:dyDescent="0.25">
      <c r="A162" t="s">
        <v>3796</v>
      </c>
      <c r="B162" t="s">
        <v>134</v>
      </c>
      <c r="C162" t="s">
        <v>255</v>
      </c>
      <c r="D162">
        <v>436</v>
      </c>
      <c r="E162">
        <v>49.6</v>
      </c>
      <c r="F162">
        <v>32</v>
      </c>
      <c r="G162">
        <v>42</v>
      </c>
      <c r="H162">
        <v>50</v>
      </c>
      <c r="I162">
        <v>59</v>
      </c>
      <c r="J162">
        <v>52</v>
      </c>
      <c r="K162">
        <v>53</v>
      </c>
      <c r="L162">
        <v>63</v>
      </c>
      <c r="M162">
        <v>59</v>
      </c>
      <c r="N162">
        <v>54</v>
      </c>
      <c r="O162">
        <v>51</v>
      </c>
      <c r="P162">
        <v>54</v>
      </c>
      <c r="Q162">
        <v>49</v>
      </c>
      <c r="R162">
        <v>43</v>
      </c>
      <c r="S162">
        <v>37</v>
      </c>
      <c r="T162">
        <v>27</v>
      </c>
      <c r="U162">
        <v>29</v>
      </c>
      <c r="V162">
        <v>24</v>
      </c>
      <c r="W162">
        <v>17</v>
      </c>
      <c r="X162">
        <v>22</v>
      </c>
      <c r="Y162">
        <v>22</v>
      </c>
      <c r="Z162">
        <v>30</v>
      </c>
      <c r="AA162">
        <v>31</v>
      </c>
      <c r="AB162">
        <v>34</v>
      </c>
      <c r="AC162">
        <v>36</v>
      </c>
      <c r="AD162">
        <v>31</v>
      </c>
      <c r="AE162">
        <v>41</v>
      </c>
      <c r="AF162">
        <v>45</v>
      </c>
      <c r="AG162">
        <v>42</v>
      </c>
      <c r="AH162">
        <v>42</v>
      </c>
      <c r="AI162">
        <v>42</v>
      </c>
      <c r="AJ162">
        <v>26</v>
      </c>
      <c r="AK162">
        <v>25</v>
      </c>
      <c r="AL162">
        <v>36</v>
      </c>
      <c r="AM162">
        <v>65</v>
      </c>
      <c r="AN162">
        <v>78</v>
      </c>
      <c r="AO162">
        <v>79</v>
      </c>
      <c r="AP162">
        <v>91</v>
      </c>
      <c r="AQ162">
        <v>91</v>
      </c>
      <c r="AR162">
        <v>79</v>
      </c>
      <c r="AS162">
        <v>73</v>
      </c>
      <c r="AT162">
        <v>65</v>
      </c>
      <c r="AU162">
        <v>68</v>
      </c>
      <c r="AV162">
        <v>59</v>
      </c>
      <c r="AW162">
        <v>50</v>
      </c>
      <c r="AX162">
        <v>54</v>
      </c>
      <c r="AY162">
        <v>56</v>
      </c>
      <c r="AZ162">
        <v>54</v>
      </c>
      <c r="BA162">
        <v>53</v>
      </c>
      <c r="BB162">
        <v>85</v>
      </c>
      <c r="BC162">
        <v>80</v>
      </c>
    </row>
    <row r="163" spans="1:55" x14ac:dyDescent="0.25">
      <c r="A163" t="s">
        <v>3797</v>
      </c>
      <c r="B163" t="s">
        <v>135</v>
      </c>
      <c r="C163" t="s">
        <v>255</v>
      </c>
      <c r="D163">
        <v>201</v>
      </c>
      <c r="E163">
        <v>54.04</v>
      </c>
      <c r="F163">
        <v>38</v>
      </c>
      <c r="G163">
        <v>46</v>
      </c>
      <c r="H163">
        <v>61</v>
      </c>
      <c r="I163">
        <v>74</v>
      </c>
      <c r="J163">
        <v>60</v>
      </c>
      <c r="K163">
        <v>59</v>
      </c>
      <c r="L163">
        <v>80</v>
      </c>
      <c r="M163">
        <v>71</v>
      </c>
      <c r="N163">
        <v>65</v>
      </c>
      <c r="O163">
        <v>60</v>
      </c>
      <c r="P163">
        <v>58</v>
      </c>
      <c r="Q163">
        <v>55</v>
      </c>
      <c r="R163">
        <v>48</v>
      </c>
      <c r="S163">
        <v>40</v>
      </c>
      <c r="T163">
        <v>29</v>
      </c>
      <c r="U163">
        <v>34</v>
      </c>
      <c r="V163">
        <v>28</v>
      </c>
      <c r="W163">
        <v>26</v>
      </c>
      <c r="X163">
        <v>20</v>
      </c>
      <c r="Y163">
        <v>27</v>
      </c>
      <c r="Z163">
        <v>36</v>
      </c>
      <c r="AA163">
        <v>42</v>
      </c>
      <c r="AB163">
        <v>34</v>
      </c>
      <c r="AC163">
        <v>42</v>
      </c>
      <c r="AD163">
        <v>41</v>
      </c>
      <c r="AE163">
        <v>52</v>
      </c>
      <c r="AF163">
        <v>52</v>
      </c>
      <c r="AG163">
        <v>47</v>
      </c>
      <c r="AH163">
        <v>47</v>
      </c>
      <c r="AI163">
        <v>52</v>
      </c>
      <c r="AJ163">
        <v>11</v>
      </c>
      <c r="AK163">
        <v>24</v>
      </c>
      <c r="AL163">
        <v>35</v>
      </c>
      <c r="AM163">
        <v>59</v>
      </c>
      <c r="AN163">
        <v>73</v>
      </c>
      <c r="AO163">
        <v>78</v>
      </c>
      <c r="AP163">
        <v>94</v>
      </c>
      <c r="AQ163">
        <v>92</v>
      </c>
      <c r="AR163">
        <v>86</v>
      </c>
      <c r="AS163">
        <v>77</v>
      </c>
      <c r="AT163">
        <v>71</v>
      </c>
      <c r="AU163">
        <v>71</v>
      </c>
      <c r="AV163">
        <v>61</v>
      </c>
      <c r="AW163">
        <v>52</v>
      </c>
      <c r="AX163">
        <v>56</v>
      </c>
      <c r="AY163">
        <v>58</v>
      </c>
      <c r="AZ163">
        <v>56</v>
      </c>
      <c r="BA163">
        <v>55</v>
      </c>
      <c r="BB163">
        <v>84</v>
      </c>
      <c r="BC163">
        <v>85</v>
      </c>
    </row>
    <row r="164" spans="1:55" x14ac:dyDescent="0.25">
      <c r="A164" t="s">
        <v>3798</v>
      </c>
      <c r="B164" t="s">
        <v>136</v>
      </c>
      <c r="C164" t="s">
        <v>255</v>
      </c>
      <c r="D164">
        <v>600</v>
      </c>
      <c r="E164">
        <v>48.9</v>
      </c>
      <c r="F164">
        <v>39</v>
      </c>
      <c r="G164">
        <v>44</v>
      </c>
      <c r="H164">
        <v>51</v>
      </c>
      <c r="I164">
        <v>65</v>
      </c>
      <c r="J164">
        <v>56</v>
      </c>
      <c r="K164">
        <v>60</v>
      </c>
      <c r="L164">
        <v>66</v>
      </c>
      <c r="M164">
        <v>58</v>
      </c>
      <c r="N164">
        <v>56</v>
      </c>
      <c r="O164">
        <v>53</v>
      </c>
      <c r="P164">
        <v>51</v>
      </c>
      <c r="Q164">
        <v>47</v>
      </c>
      <c r="R164">
        <v>47</v>
      </c>
      <c r="S164">
        <v>39</v>
      </c>
      <c r="T164">
        <v>25</v>
      </c>
      <c r="U164">
        <v>28</v>
      </c>
      <c r="V164">
        <v>27</v>
      </c>
      <c r="W164">
        <v>22</v>
      </c>
      <c r="X164">
        <v>24</v>
      </c>
      <c r="Y164">
        <v>23</v>
      </c>
      <c r="Z164">
        <v>31</v>
      </c>
      <c r="AA164">
        <v>34</v>
      </c>
      <c r="AB164">
        <v>32</v>
      </c>
      <c r="AC164">
        <v>34</v>
      </c>
      <c r="AD164">
        <v>34</v>
      </c>
      <c r="AE164">
        <v>38</v>
      </c>
      <c r="AF164">
        <v>42</v>
      </c>
      <c r="AG164">
        <v>33</v>
      </c>
      <c r="AH164">
        <v>36</v>
      </c>
      <c r="AI164">
        <v>42</v>
      </c>
      <c r="AJ164">
        <v>19</v>
      </c>
      <c r="AK164">
        <v>23</v>
      </c>
      <c r="AL164">
        <v>31</v>
      </c>
      <c r="AM164">
        <v>60</v>
      </c>
      <c r="AN164">
        <v>69</v>
      </c>
      <c r="AO164">
        <v>76</v>
      </c>
      <c r="AP164">
        <v>89</v>
      </c>
      <c r="AQ164">
        <v>86</v>
      </c>
      <c r="AR164">
        <v>76</v>
      </c>
      <c r="AS164">
        <v>69</v>
      </c>
      <c r="AT164">
        <v>64</v>
      </c>
      <c r="AU164">
        <v>66</v>
      </c>
      <c r="AV164">
        <v>56</v>
      </c>
      <c r="AW164">
        <v>50</v>
      </c>
      <c r="AX164">
        <v>58</v>
      </c>
      <c r="AY164">
        <v>54</v>
      </c>
      <c r="AZ164">
        <v>53</v>
      </c>
      <c r="BA164">
        <v>52</v>
      </c>
      <c r="BB164">
        <v>80</v>
      </c>
      <c r="BC164">
        <v>77</v>
      </c>
    </row>
    <row r="165" spans="1:55" x14ac:dyDescent="0.25">
      <c r="A165" t="s">
        <v>3799</v>
      </c>
      <c r="B165" t="s">
        <v>38</v>
      </c>
      <c r="C165" t="s">
        <v>255</v>
      </c>
      <c r="D165">
        <v>5004</v>
      </c>
      <c r="E165">
        <v>45.5</v>
      </c>
      <c r="F165">
        <v>35</v>
      </c>
      <c r="G165">
        <v>40</v>
      </c>
      <c r="H165">
        <v>51</v>
      </c>
      <c r="I165">
        <v>59</v>
      </c>
      <c r="J165">
        <v>54</v>
      </c>
      <c r="K165">
        <v>52</v>
      </c>
      <c r="L165">
        <v>58</v>
      </c>
      <c r="M165">
        <v>56</v>
      </c>
      <c r="N165">
        <v>55</v>
      </c>
      <c r="O165">
        <v>49</v>
      </c>
      <c r="P165">
        <v>51</v>
      </c>
      <c r="Q165">
        <v>50</v>
      </c>
      <c r="R165">
        <v>45</v>
      </c>
      <c r="S165">
        <v>40</v>
      </c>
      <c r="T165">
        <v>27</v>
      </c>
      <c r="U165">
        <v>31</v>
      </c>
      <c r="V165">
        <v>28</v>
      </c>
      <c r="W165">
        <v>25</v>
      </c>
      <c r="X165">
        <v>24</v>
      </c>
      <c r="Y165">
        <v>24</v>
      </c>
      <c r="Z165">
        <v>31</v>
      </c>
      <c r="AA165">
        <v>30</v>
      </c>
      <c r="AB165">
        <v>28</v>
      </c>
      <c r="AC165">
        <v>31</v>
      </c>
      <c r="AD165">
        <v>28</v>
      </c>
      <c r="AE165">
        <v>32</v>
      </c>
      <c r="AF165">
        <v>33</v>
      </c>
      <c r="AG165">
        <v>29</v>
      </c>
      <c r="AH165">
        <v>30</v>
      </c>
      <c r="AI165">
        <v>35</v>
      </c>
      <c r="AJ165">
        <v>14</v>
      </c>
      <c r="AK165">
        <v>20</v>
      </c>
      <c r="AL165">
        <v>28</v>
      </c>
      <c r="AM165">
        <v>40</v>
      </c>
      <c r="AN165">
        <v>62</v>
      </c>
      <c r="AO165">
        <v>69</v>
      </c>
      <c r="AP165">
        <v>82</v>
      </c>
      <c r="AQ165">
        <v>85</v>
      </c>
      <c r="AR165">
        <v>75</v>
      </c>
      <c r="AS165">
        <v>66</v>
      </c>
      <c r="AT165">
        <v>62</v>
      </c>
      <c r="AU165">
        <v>61</v>
      </c>
      <c r="AV165">
        <v>55</v>
      </c>
      <c r="AW165">
        <v>49</v>
      </c>
      <c r="AX165">
        <v>56</v>
      </c>
      <c r="AY165">
        <v>50</v>
      </c>
      <c r="AZ165">
        <v>48</v>
      </c>
      <c r="BA165">
        <v>48</v>
      </c>
      <c r="BB165">
        <v>73</v>
      </c>
      <c r="BC165">
        <v>71</v>
      </c>
    </row>
    <row r="166" spans="1:55" x14ac:dyDescent="0.25">
      <c r="A166" t="s">
        <v>3800</v>
      </c>
      <c r="B166" t="s">
        <v>137</v>
      </c>
      <c r="C166" t="s">
        <v>255</v>
      </c>
      <c r="D166">
        <v>2336</v>
      </c>
      <c r="E166">
        <v>47.38</v>
      </c>
      <c r="F166">
        <v>39</v>
      </c>
      <c r="G166">
        <v>46</v>
      </c>
      <c r="H166">
        <v>55</v>
      </c>
      <c r="I166">
        <v>63</v>
      </c>
      <c r="J166">
        <v>57</v>
      </c>
      <c r="K166">
        <v>54</v>
      </c>
      <c r="L166">
        <v>60</v>
      </c>
      <c r="M166">
        <v>56</v>
      </c>
      <c r="N166">
        <v>56</v>
      </c>
      <c r="O166">
        <v>49</v>
      </c>
      <c r="P166">
        <v>51</v>
      </c>
      <c r="Q166">
        <v>49</v>
      </c>
      <c r="R166">
        <v>45</v>
      </c>
      <c r="S166">
        <v>39</v>
      </c>
      <c r="T166">
        <v>27</v>
      </c>
      <c r="U166">
        <v>32</v>
      </c>
      <c r="V166">
        <v>30</v>
      </c>
      <c r="W166">
        <v>27</v>
      </c>
      <c r="X166">
        <v>26</v>
      </c>
      <c r="Y166">
        <v>27</v>
      </c>
      <c r="Z166">
        <v>34</v>
      </c>
      <c r="AA166">
        <v>35</v>
      </c>
      <c r="AB166">
        <v>32</v>
      </c>
      <c r="AC166">
        <v>35</v>
      </c>
      <c r="AD166">
        <v>33</v>
      </c>
      <c r="AE166">
        <v>37</v>
      </c>
      <c r="AF166">
        <v>37</v>
      </c>
      <c r="AG166">
        <v>32</v>
      </c>
      <c r="AH166">
        <v>33</v>
      </c>
      <c r="AI166">
        <v>36</v>
      </c>
      <c r="AJ166">
        <v>15</v>
      </c>
      <c r="AK166">
        <v>21</v>
      </c>
      <c r="AL166">
        <v>32</v>
      </c>
      <c r="AM166">
        <v>48</v>
      </c>
      <c r="AN166">
        <v>69</v>
      </c>
      <c r="AO166">
        <v>73</v>
      </c>
      <c r="AP166">
        <v>84</v>
      </c>
      <c r="AQ166">
        <v>85</v>
      </c>
      <c r="AR166">
        <v>74</v>
      </c>
      <c r="AS166">
        <v>64</v>
      </c>
      <c r="AT166">
        <v>61</v>
      </c>
      <c r="AU166">
        <v>60</v>
      </c>
      <c r="AV166">
        <v>53</v>
      </c>
      <c r="AW166">
        <v>48</v>
      </c>
      <c r="AX166">
        <v>56</v>
      </c>
      <c r="AY166">
        <v>50</v>
      </c>
      <c r="AZ166">
        <v>48</v>
      </c>
      <c r="BA166">
        <v>48</v>
      </c>
      <c r="BB166">
        <v>75</v>
      </c>
      <c r="BC166">
        <v>73</v>
      </c>
    </row>
    <row r="167" spans="1:55" x14ac:dyDescent="0.25">
      <c r="A167" t="s">
        <v>3801</v>
      </c>
      <c r="B167" t="s">
        <v>138</v>
      </c>
      <c r="C167" t="s">
        <v>255</v>
      </c>
      <c r="D167">
        <v>2668</v>
      </c>
      <c r="E167">
        <v>43.58</v>
      </c>
      <c r="F167">
        <v>32</v>
      </c>
      <c r="G167">
        <v>36</v>
      </c>
      <c r="H167">
        <v>47</v>
      </c>
      <c r="I167">
        <v>56</v>
      </c>
      <c r="J167">
        <v>51</v>
      </c>
      <c r="K167">
        <v>50</v>
      </c>
      <c r="L167">
        <v>55</v>
      </c>
      <c r="M167">
        <v>55</v>
      </c>
      <c r="N167">
        <v>54</v>
      </c>
      <c r="O167">
        <v>48</v>
      </c>
      <c r="P167">
        <v>51</v>
      </c>
      <c r="Q167">
        <v>51</v>
      </c>
      <c r="R167">
        <v>45</v>
      </c>
      <c r="S167">
        <v>40</v>
      </c>
      <c r="T167">
        <v>27</v>
      </c>
      <c r="U167">
        <v>29</v>
      </c>
      <c r="V167">
        <v>26</v>
      </c>
      <c r="W167">
        <v>24</v>
      </c>
      <c r="X167">
        <v>23</v>
      </c>
      <c r="Y167">
        <v>23</v>
      </c>
      <c r="Z167">
        <v>29</v>
      </c>
      <c r="AA167">
        <v>25</v>
      </c>
      <c r="AB167">
        <v>25</v>
      </c>
      <c r="AC167">
        <v>27</v>
      </c>
      <c r="AD167">
        <v>24</v>
      </c>
      <c r="AE167">
        <v>27</v>
      </c>
      <c r="AF167">
        <v>30</v>
      </c>
      <c r="AG167">
        <v>26</v>
      </c>
      <c r="AH167">
        <v>28</v>
      </c>
      <c r="AI167">
        <v>33</v>
      </c>
      <c r="AJ167">
        <v>13</v>
      </c>
      <c r="AK167">
        <v>19</v>
      </c>
      <c r="AL167">
        <v>25</v>
      </c>
      <c r="AM167">
        <v>33</v>
      </c>
      <c r="AN167">
        <v>55</v>
      </c>
      <c r="AO167">
        <v>64</v>
      </c>
      <c r="AP167">
        <v>79</v>
      </c>
      <c r="AQ167">
        <v>85</v>
      </c>
      <c r="AR167">
        <v>73</v>
      </c>
      <c r="AS167">
        <v>67</v>
      </c>
      <c r="AT167">
        <v>63</v>
      </c>
      <c r="AU167">
        <v>62</v>
      </c>
      <c r="AV167">
        <v>55</v>
      </c>
      <c r="AW167">
        <v>49</v>
      </c>
      <c r="AX167">
        <v>54</v>
      </c>
      <c r="AY167">
        <v>49</v>
      </c>
      <c r="AZ167">
        <v>49</v>
      </c>
      <c r="BA167">
        <v>48</v>
      </c>
      <c r="BB167">
        <v>71</v>
      </c>
      <c r="BC167">
        <v>69</v>
      </c>
    </row>
    <row r="168" spans="1:55" x14ac:dyDescent="0.25">
      <c r="A168" t="s">
        <v>3802</v>
      </c>
      <c r="B168" t="s">
        <v>139</v>
      </c>
      <c r="C168" t="s">
        <v>255</v>
      </c>
      <c r="D168">
        <v>10866</v>
      </c>
      <c r="E168">
        <v>37.200000000000003</v>
      </c>
      <c r="F168">
        <v>32</v>
      </c>
      <c r="G168">
        <v>33</v>
      </c>
      <c r="H168">
        <v>36</v>
      </c>
      <c r="I168">
        <v>44</v>
      </c>
      <c r="J168">
        <v>41</v>
      </c>
      <c r="K168">
        <v>41</v>
      </c>
      <c r="L168">
        <v>46</v>
      </c>
      <c r="M168">
        <v>43</v>
      </c>
      <c r="N168">
        <v>44</v>
      </c>
      <c r="O168">
        <v>44</v>
      </c>
      <c r="P168">
        <v>42</v>
      </c>
      <c r="Q168">
        <v>38</v>
      </c>
      <c r="R168">
        <v>37</v>
      </c>
      <c r="S168">
        <v>32</v>
      </c>
      <c r="T168">
        <v>21</v>
      </c>
      <c r="U168">
        <v>25</v>
      </c>
      <c r="V168">
        <v>21</v>
      </c>
      <c r="W168">
        <v>18</v>
      </c>
      <c r="X168">
        <v>18</v>
      </c>
      <c r="Y168">
        <v>19</v>
      </c>
      <c r="Z168">
        <v>24</v>
      </c>
      <c r="AA168">
        <v>23</v>
      </c>
      <c r="AB168">
        <v>22</v>
      </c>
      <c r="AC168">
        <v>23</v>
      </c>
      <c r="AD168">
        <v>22</v>
      </c>
      <c r="AE168">
        <v>26</v>
      </c>
      <c r="AF168">
        <v>28</v>
      </c>
      <c r="AG168">
        <v>25</v>
      </c>
      <c r="AH168">
        <v>25</v>
      </c>
      <c r="AI168">
        <v>29</v>
      </c>
      <c r="AJ168">
        <v>11</v>
      </c>
      <c r="AK168">
        <v>15</v>
      </c>
      <c r="AL168">
        <v>23</v>
      </c>
      <c r="AM168">
        <v>28</v>
      </c>
      <c r="AN168">
        <v>43</v>
      </c>
      <c r="AO168">
        <v>51</v>
      </c>
      <c r="AP168">
        <v>68</v>
      </c>
      <c r="AQ168">
        <v>74</v>
      </c>
      <c r="AR168">
        <v>64</v>
      </c>
      <c r="AS168">
        <v>58</v>
      </c>
      <c r="AT168">
        <v>55</v>
      </c>
      <c r="AU168">
        <v>54</v>
      </c>
      <c r="AV168">
        <v>49</v>
      </c>
      <c r="AW168">
        <v>44</v>
      </c>
      <c r="AX168">
        <v>49</v>
      </c>
      <c r="AY168">
        <v>44</v>
      </c>
      <c r="AZ168">
        <v>44</v>
      </c>
      <c r="BA168">
        <v>42</v>
      </c>
      <c r="BB168">
        <v>63</v>
      </c>
      <c r="BC168">
        <v>59</v>
      </c>
    </row>
    <row r="169" spans="1:55" x14ac:dyDescent="0.25">
      <c r="A169" t="s">
        <v>3803</v>
      </c>
      <c r="B169" t="s">
        <v>140</v>
      </c>
      <c r="C169" t="s">
        <v>255</v>
      </c>
      <c r="D169">
        <v>1355</v>
      </c>
      <c r="E169">
        <v>61.48</v>
      </c>
      <c r="F169">
        <v>64</v>
      </c>
      <c r="G169">
        <v>67</v>
      </c>
      <c r="H169">
        <v>71</v>
      </c>
      <c r="I169">
        <v>80</v>
      </c>
      <c r="J169">
        <v>79</v>
      </c>
      <c r="K169">
        <v>77</v>
      </c>
      <c r="L169">
        <v>84</v>
      </c>
      <c r="M169">
        <v>81</v>
      </c>
      <c r="N169">
        <v>78</v>
      </c>
      <c r="O169">
        <v>74</v>
      </c>
      <c r="P169">
        <v>72</v>
      </c>
      <c r="Q169">
        <v>68</v>
      </c>
      <c r="R169">
        <v>65</v>
      </c>
      <c r="S169">
        <v>53</v>
      </c>
      <c r="T169">
        <v>33</v>
      </c>
      <c r="U169">
        <v>47</v>
      </c>
      <c r="V169">
        <v>35</v>
      </c>
      <c r="W169">
        <v>32</v>
      </c>
      <c r="X169">
        <v>34</v>
      </c>
      <c r="Y169">
        <v>35</v>
      </c>
      <c r="Z169">
        <v>51</v>
      </c>
      <c r="AA169">
        <v>46</v>
      </c>
      <c r="AB169">
        <v>40</v>
      </c>
      <c r="AC169">
        <v>48</v>
      </c>
      <c r="AD169">
        <v>43</v>
      </c>
      <c r="AE169">
        <v>56</v>
      </c>
      <c r="AF169">
        <v>57</v>
      </c>
      <c r="AG169">
        <v>48</v>
      </c>
      <c r="AH169">
        <v>49</v>
      </c>
      <c r="AI169">
        <v>56</v>
      </c>
      <c r="AJ169">
        <v>17</v>
      </c>
      <c r="AK169">
        <v>24</v>
      </c>
      <c r="AL169">
        <v>48</v>
      </c>
      <c r="AM169">
        <v>56</v>
      </c>
      <c r="AN169">
        <v>72</v>
      </c>
      <c r="AO169">
        <v>79</v>
      </c>
      <c r="AP169">
        <v>91</v>
      </c>
      <c r="AQ169">
        <v>90</v>
      </c>
      <c r="AR169">
        <v>83</v>
      </c>
      <c r="AS169">
        <v>76</v>
      </c>
      <c r="AT169">
        <v>78</v>
      </c>
      <c r="AU169">
        <v>77</v>
      </c>
      <c r="AV169">
        <v>69</v>
      </c>
      <c r="AW169">
        <v>58</v>
      </c>
      <c r="AX169">
        <v>70</v>
      </c>
      <c r="AY169">
        <v>61</v>
      </c>
      <c r="AZ169">
        <v>63</v>
      </c>
      <c r="BA169">
        <v>63</v>
      </c>
      <c r="BB169">
        <v>89</v>
      </c>
      <c r="BC169">
        <v>87</v>
      </c>
    </row>
    <row r="170" spans="1:55" x14ac:dyDescent="0.25">
      <c r="A170" t="s">
        <v>3804</v>
      </c>
      <c r="B170" t="s">
        <v>141</v>
      </c>
      <c r="C170" t="s">
        <v>255</v>
      </c>
      <c r="D170">
        <v>708</v>
      </c>
      <c r="E170">
        <v>66</v>
      </c>
      <c r="F170">
        <v>70</v>
      </c>
      <c r="G170">
        <v>74</v>
      </c>
      <c r="H170">
        <v>76</v>
      </c>
      <c r="I170">
        <v>85</v>
      </c>
      <c r="J170">
        <v>87</v>
      </c>
      <c r="K170">
        <v>85</v>
      </c>
      <c r="L170">
        <v>89</v>
      </c>
      <c r="M170">
        <v>87</v>
      </c>
      <c r="N170">
        <v>85</v>
      </c>
      <c r="O170">
        <v>82</v>
      </c>
      <c r="P170">
        <v>77</v>
      </c>
      <c r="Q170">
        <v>74</v>
      </c>
      <c r="R170">
        <v>71</v>
      </c>
      <c r="S170">
        <v>58</v>
      </c>
      <c r="T170">
        <v>36</v>
      </c>
      <c r="U170">
        <v>52</v>
      </c>
      <c r="V170">
        <v>38</v>
      </c>
      <c r="W170">
        <v>34</v>
      </c>
      <c r="X170">
        <v>37</v>
      </c>
      <c r="Y170">
        <v>39</v>
      </c>
      <c r="Z170">
        <v>54</v>
      </c>
      <c r="AA170">
        <v>48</v>
      </c>
      <c r="AB170">
        <v>45</v>
      </c>
      <c r="AC170">
        <v>54</v>
      </c>
      <c r="AD170">
        <v>50</v>
      </c>
      <c r="AE170">
        <v>61</v>
      </c>
      <c r="AF170">
        <v>62</v>
      </c>
      <c r="AG170">
        <v>54</v>
      </c>
      <c r="AH170">
        <v>53</v>
      </c>
      <c r="AI170">
        <v>61</v>
      </c>
      <c r="AJ170">
        <v>19</v>
      </c>
      <c r="AK170">
        <v>26</v>
      </c>
      <c r="AL170">
        <v>54</v>
      </c>
      <c r="AM170">
        <v>64</v>
      </c>
      <c r="AN170">
        <v>76</v>
      </c>
      <c r="AO170">
        <v>82</v>
      </c>
      <c r="AP170">
        <v>92</v>
      </c>
      <c r="AQ170">
        <v>91</v>
      </c>
      <c r="AR170">
        <v>85</v>
      </c>
      <c r="AS170">
        <v>79</v>
      </c>
      <c r="AT170">
        <v>82</v>
      </c>
      <c r="AU170">
        <v>81</v>
      </c>
      <c r="AV170">
        <v>74</v>
      </c>
      <c r="AW170">
        <v>62</v>
      </c>
      <c r="AX170">
        <v>74</v>
      </c>
      <c r="AY170">
        <v>65</v>
      </c>
      <c r="AZ170">
        <v>67</v>
      </c>
      <c r="BA170">
        <v>69</v>
      </c>
      <c r="BB170">
        <v>91</v>
      </c>
      <c r="BC170">
        <v>89</v>
      </c>
    </row>
    <row r="171" spans="1:55" x14ac:dyDescent="0.25">
      <c r="A171" t="s">
        <v>3805</v>
      </c>
      <c r="B171" t="s">
        <v>142</v>
      </c>
      <c r="C171" t="s">
        <v>255</v>
      </c>
      <c r="D171">
        <v>583</v>
      </c>
      <c r="E171">
        <v>55.64</v>
      </c>
      <c r="F171">
        <v>58</v>
      </c>
      <c r="G171">
        <v>58</v>
      </c>
      <c r="H171">
        <v>65</v>
      </c>
      <c r="I171">
        <v>73</v>
      </c>
      <c r="J171">
        <v>69</v>
      </c>
      <c r="K171">
        <v>67</v>
      </c>
      <c r="L171">
        <v>76</v>
      </c>
      <c r="M171">
        <v>73</v>
      </c>
      <c r="N171">
        <v>68</v>
      </c>
      <c r="O171">
        <v>63</v>
      </c>
      <c r="P171">
        <v>66</v>
      </c>
      <c r="Q171">
        <v>61</v>
      </c>
      <c r="R171">
        <v>57</v>
      </c>
      <c r="S171">
        <v>46</v>
      </c>
      <c r="T171">
        <v>28</v>
      </c>
      <c r="U171">
        <v>39</v>
      </c>
      <c r="V171">
        <v>29</v>
      </c>
      <c r="W171">
        <v>28</v>
      </c>
      <c r="X171">
        <v>29</v>
      </c>
      <c r="Y171">
        <v>30</v>
      </c>
      <c r="Z171">
        <v>47</v>
      </c>
      <c r="AA171">
        <v>44</v>
      </c>
      <c r="AB171">
        <v>32</v>
      </c>
      <c r="AC171">
        <v>40</v>
      </c>
      <c r="AD171">
        <v>35</v>
      </c>
      <c r="AE171">
        <v>49</v>
      </c>
      <c r="AF171">
        <v>50</v>
      </c>
      <c r="AG171">
        <v>40</v>
      </c>
      <c r="AH171">
        <v>44</v>
      </c>
      <c r="AI171">
        <v>51</v>
      </c>
      <c r="AJ171">
        <v>14</v>
      </c>
      <c r="AK171">
        <v>22</v>
      </c>
      <c r="AL171">
        <v>41</v>
      </c>
      <c r="AM171">
        <v>49</v>
      </c>
      <c r="AN171">
        <v>67</v>
      </c>
      <c r="AO171">
        <v>75</v>
      </c>
      <c r="AP171">
        <v>89</v>
      </c>
      <c r="AQ171">
        <v>88</v>
      </c>
      <c r="AR171">
        <v>81</v>
      </c>
      <c r="AS171">
        <v>73</v>
      </c>
      <c r="AT171">
        <v>72</v>
      </c>
      <c r="AU171">
        <v>71</v>
      </c>
      <c r="AV171">
        <v>64</v>
      </c>
      <c r="AW171">
        <v>52</v>
      </c>
      <c r="AX171">
        <v>67</v>
      </c>
      <c r="AY171">
        <v>57</v>
      </c>
      <c r="AZ171">
        <v>58</v>
      </c>
      <c r="BA171">
        <v>58</v>
      </c>
      <c r="BB171">
        <v>86</v>
      </c>
      <c r="BC171">
        <v>83</v>
      </c>
    </row>
    <row r="172" spans="1:55" x14ac:dyDescent="0.25">
      <c r="A172" t="s">
        <v>3806</v>
      </c>
      <c r="B172" t="s">
        <v>143</v>
      </c>
      <c r="C172" t="s">
        <v>255</v>
      </c>
      <c r="D172">
        <v>2034</v>
      </c>
      <c r="E172">
        <v>60.74</v>
      </c>
      <c r="F172">
        <v>62</v>
      </c>
      <c r="G172">
        <v>65</v>
      </c>
      <c r="H172">
        <v>70</v>
      </c>
      <c r="I172">
        <v>72</v>
      </c>
      <c r="J172">
        <v>71</v>
      </c>
      <c r="K172">
        <v>73</v>
      </c>
      <c r="L172">
        <v>75</v>
      </c>
      <c r="M172">
        <v>76</v>
      </c>
      <c r="N172">
        <v>79</v>
      </c>
      <c r="O172">
        <v>78</v>
      </c>
      <c r="P172">
        <v>78</v>
      </c>
      <c r="Q172">
        <v>73</v>
      </c>
      <c r="R172">
        <v>68</v>
      </c>
      <c r="S172">
        <v>62</v>
      </c>
      <c r="T172">
        <v>42</v>
      </c>
      <c r="U172">
        <v>42</v>
      </c>
      <c r="V172">
        <v>37</v>
      </c>
      <c r="W172">
        <v>33</v>
      </c>
      <c r="X172">
        <v>29</v>
      </c>
      <c r="Y172">
        <v>32</v>
      </c>
      <c r="Z172">
        <v>40</v>
      </c>
      <c r="AA172">
        <v>39</v>
      </c>
      <c r="AB172">
        <v>39</v>
      </c>
      <c r="AC172">
        <v>40</v>
      </c>
      <c r="AD172">
        <v>37</v>
      </c>
      <c r="AE172">
        <v>42</v>
      </c>
      <c r="AF172">
        <v>48</v>
      </c>
      <c r="AG172">
        <v>41</v>
      </c>
      <c r="AH172">
        <v>45</v>
      </c>
      <c r="AI172">
        <v>50</v>
      </c>
      <c r="AJ172">
        <v>24</v>
      </c>
      <c r="AK172">
        <v>27</v>
      </c>
      <c r="AL172">
        <v>35</v>
      </c>
      <c r="AM172">
        <v>37</v>
      </c>
      <c r="AN172">
        <v>63</v>
      </c>
      <c r="AO172">
        <v>73</v>
      </c>
      <c r="AP172">
        <v>91</v>
      </c>
      <c r="AQ172">
        <v>94</v>
      </c>
      <c r="AR172">
        <v>87</v>
      </c>
      <c r="AS172">
        <v>84</v>
      </c>
      <c r="AT172">
        <v>82</v>
      </c>
      <c r="AU172">
        <v>82</v>
      </c>
      <c r="AV172">
        <v>77</v>
      </c>
      <c r="AW172">
        <v>73</v>
      </c>
      <c r="AX172">
        <v>79</v>
      </c>
      <c r="AY172">
        <v>76</v>
      </c>
      <c r="AZ172">
        <v>75</v>
      </c>
      <c r="BA172">
        <v>71</v>
      </c>
      <c r="BB172">
        <v>85</v>
      </c>
      <c r="BC172">
        <v>84</v>
      </c>
    </row>
    <row r="173" spans="1:55" x14ac:dyDescent="0.25">
      <c r="A173" t="s">
        <v>3807</v>
      </c>
      <c r="B173" t="s">
        <v>144</v>
      </c>
      <c r="C173" t="s">
        <v>255</v>
      </c>
      <c r="D173">
        <v>1273</v>
      </c>
      <c r="E173">
        <v>59.08</v>
      </c>
      <c r="F173">
        <v>60</v>
      </c>
      <c r="G173">
        <v>63</v>
      </c>
      <c r="H173">
        <v>69</v>
      </c>
      <c r="I173">
        <v>72</v>
      </c>
      <c r="J173">
        <v>69</v>
      </c>
      <c r="K173">
        <v>71</v>
      </c>
      <c r="L173">
        <v>74</v>
      </c>
      <c r="M173">
        <v>74</v>
      </c>
      <c r="N173">
        <v>78</v>
      </c>
      <c r="O173">
        <v>78</v>
      </c>
      <c r="P173">
        <v>76</v>
      </c>
      <c r="Q173">
        <v>73</v>
      </c>
      <c r="R173">
        <v>66</v>
      </c>
      <c r="S173">
        <v>62</v>
      </c>
      <c r="T173">
        <v>40</v>
      </c>
      <c r="U173">
        <v>39</v>
      </c>
      <c r="V173">
        <v>34</v>
      </c>
      <c r="W173">
        <v>30</v>
      </c>
      <c r="X173">
        <v>26</v>
      </c>
      <c r="Y173">
        <v>29</v>
      </c>
      <c r="Z173">
        <v>37</v>
      </c>
      <c r="AA173">
        <v>37</v>
      </c>
      <c r="AB173">
        <v>35</v>
      </c>
      <c r="AC173">
        <v>37</v>
      </c>
      <c r="AD173">
        <v>34</v>
      </c>
      <c r="AE173">
        <v>40</v>
      </c>
      <c r="AF173">
        <v>47</v>
      </c>
      <c r="AG173">
        <v>38</v>
      </c>
      <c r="AH173">
        <v>40</v>
      </c>
      <c r="AI173">
        <v>47</v>
      </c>
      <c r="AJ173">
        <v>24</v>
      </c>
      <c r="AK173">
        <v>25</v>
      </c>
      <c r="AL173">
        <v>32</v>
      </c>
      <c r="AM173">
        <v>34</v>
      </c>
      <c r="AN173">
        <v>61</v>
      </c>
      <c r="AO173">
        <v>72</v>
      </c>
      <c r="AP173">
        <v>90</v>
      </c>
      <c r="AQ173">
        <v>94</v>
      </c>
      <c r="AR173">
        <v>88</v>
      </c>
      <c r="AS173">
        <v>84</v>
      </c>
      <c r="AT173">
        <v>82</v>
      </c>
      <c r="AU173">
        <v>81</v>
      </c>
      <c r="AV173">
        <v>76</v>
      </c>
      <c r="AW173">
        <v>72</v>
      </c>
      <c r="AX173">
        <v>79</v>
      </c>
      <c r="AY173">
        <v>75</v>
      </c>
      <c r="AZ173">
        <v>73</v>
      </c>
      <c r="BA173">
        <v>69</v>
      </c>
      <c r="BB173">
        <v>85</v>
      </c>
      <c r="BC173">
        <v>83</v>
      </c>
    </row>
    <row r="174" spans="1:55" x14ac:dyDescent="0.25">
      <c r="A174" t="s">
        <v>3808</v>
      </c>
      <c r="B174" t="s">
        <v>145</v>
      </c>
      <c r="C174" t="s">
        <v>255</v>
      </c>
      <c r="D174">
        <v>761</v>
      </c>
      <c r="E174">
        <v>63.9</v>
      </c>
      <c r="F174">
        <v>64</v>
      </c>
      <c r="G174">
        <v>69</v>
      </c>
      <c r="H174">
        <v>72</v>
      </c>
      <c r="I174">
        <v>72</v>
      </c>
      <c r="J174">
        <v>75</v>
      </c>
      <c r="K174">
        <v>78</v>
      </c>
      <c r="L174">
        <v>77</v>
      </c>
      <c r="M174">
        <v>78</v>
      </c>
      <c r="N174">
        <v>82</v>
      </c>
      <c r="O174">
        <v>79</v>
      </c>
      <c r="P174">
        <v>80</v>
      </c>
      <c r="Q174">
        <v>74</v>
      </c>
      <c r="R174">
        <v>72</v>
      </c>
      <c r="S174">
        <v>62</v>
      </c>
      <c r="T174">
        <v>46</v>
      </c>
      <c r="U174">
        <v>48</v>
      </c>
      <c r="V174">
        <v>42</v>
      </c>
      <c r="W174">
        <v>37</v>
      </c>
      <c r="X174">
        <v>33</v>
      </c>
      <c r="Y174">
        <v>38</v>
      </c>
      <c r="Z174">
        <v>44</v>
      </c>
      <c r="AA174">
        <v>43</v>
      </c>
      <c r="AB174">
        <v>46</v>
      </c>
      <c r="AC174">
        <v>46</v>
      </c>
      <c r="AD174">
        <v>43</v>
      </c>
      <c r="AE174">
        <v>46</v>
      </c>
      <c r="AF174">
        <v>51</v>
      </c>
      <c r="AG174">
        <v>47</v>
      </c>
      <c r="AH174">
        <v>55</v>
      </c>
      <c r="AI174">
        <v>54</v>
      </c>
      <c r="AJ174">
        <v>24</v>
      </c>
      <c r="AK174">
        <v>32</v>
      </c>
      <c r="AL174">
        <v>40</v>
      </c>
      <c r="AM174">
        <v>44</v>
      </c>
      <c r="AN174">
        <v>66</v>
      </c>
      <c r="AO174">
        <v>75</v>
      </c>
      <c r="AP174">
        <v>93</v>
      </c>
      <c r="AQ174">
        <v>94</v>
      </c>
      <c r="AR174">
        <v>87</v>
      </c>
      <c r="AS174">
        <v>84</v>
      </c>
      <c r="AT174">
        <v>82</v>
      </c>
      <c r="AU174">
        <v>84</v>
      </c>
      <c r="AV174">
        <v>78</v>
      </c>
      <c r="AW174">
        <v>76</v>
      </c>
      <c r="AX174">
        <v>81</v>
      </c>
      <c r="AY174">
        <v>79</v>
      </c>
      <c r="AZ174">
        <v>78</v>
      </c>
      <c r="BA174">
        <v>73</v>
      </c>
      <c r="BB174">
        <v>86</v>
      </c>
      <c r="BC174">
        <v>86</v>
      </c>
    </row>
    <row r="175" spans="1:55" x14ac:dyDescent="0.25">
      <c r="A175" t="s">
        <v>3809</v>
      </c>
      <c r="B175" t="s">
        <v>146</v>
      </c>
      <c r="C175" t="s">
        <v>255</v>
      </c>
      <c r="D175">
        <v>83</v>
      </c>
      <c r="E175">
        <v>30</v>
      </c>
      <c r="F175">
        <v>19</v>
      </c>
      <c r="G175">
        <v>25</v>
      </c>
      <c r="H175">
        <v>34</v>
      </c>
      <c r="I175">
        <v>37</v>
      </c>
      <c r="J175">
        <v>33</v>
      </c>
      <c r="K175">
        <v>30</v>
      </c>
      <c r="L175">
        <v>27</v>
      </c>
      <c r="M175">
        <v>26</v>
      </c>
      <c r="N175">
        <v>28</v>
      </c>
      <c r="O175">
        <v>24</v>
      </c>
      <c r="P175">
        <v>28</v>
      </c>
      <c r="Q175">
        <v>19</v>
      </c>
      <c r="R175">
        <v>21</v>
      </c>
      <c r="S175">
        <v>20</v>
      </c>
      <c r="T175">
        <v>11</v>
      </c>
      <c r="U175">
        <v>12</v>
      </c>
      <c r="V175">
        <v>16</v>
      </c>
      <c r="W175">
        <v>12</v>
      </c>
      <c r="X175">
        <v>10</v>
      </c>
      <c r="Y175">
        <v>14</v>
      </c>
      <c r="Z175">
        <v>12</v>
      </c>
      <c r="AA175">
        <v>12</v>
      </c>
      <c r="AB175">
        <v>14</v>
      </c>
      <c r="AC175">
        <v>13</v>
      </c>
      <c r="AD175">
        <v>13</v>
      </c>
      <c r="AE175">
        <v>21</v>
      </c>
      <c r="AF175">
        <v>24</v>
      </c>
      <c r="AG175">
        <v>14</v>
      </c>
      <c r="AH175">
        <v>17</v>
      </c>
      <c r="AI175">
        <v>15</v>
      </c>
      <c r="AJ175">
        <v>4</v>
      </c>
      <c r="AK175">
        <v>9</v>
      </c>
      <c r="AL175">
        <v>10</v>
      </c>
      <c r="AM175">
        <v>15</v>
      </c>
      <c r="AN175">
        <v>43</v>
      </c>
      <c r="AO175">
        <v>55</v>
      </c>
      <c r="AP175">
        <v>87</v>
      </c>
      <c r="AQ175">
        <v>81</v>
      </c>
      <c r="AR175">
        <v>70</v>
      </c>
      <c r="AS175">
        <v>61</v>
      </c>
      <c r="AT175">
        <v>62</v>
      </c>
      <c r="AU175">
        <v>45</v>
      </c>
      <c r="AV175">
        <v>47</v>
      </c>
      <c r="AW175">
        <v>38</v>
      </c>
      <c r="AX175">
        <v>42</v>
      </c>
      <c r="AY175">
        <v>46</v>
      </c>
      <c r="AZ175">
        <v>38</v>
      </c>
      <c r="BA175">
        <v>35</v>
      </c>
      <c r="BB175">
        <v>56</v>
      </c>
      <c r="BC175">
        <v>55</v>
      </c>
    </row>
    <row r="176" spans="1:55" x14ac:dyDescent="0.25">
      <c r="A176" t="s">
        <v>3810</v>
      </c>
      <c r="B176" t="s">
        <v>147</v>
      </c>
      <c r="C176" t="s">
        <v>255</v>
      </c>
      <c r="D176">
        <v>108</v>
      </c>
      <c r="E176">
        <v>22.28</v>
      </c>
      <c r="F176">
        <v>16</v>
      </c>
      <c r="G176">
        <v>19</v>
      </c>
      <c r="H176">
        <v>24</v>
      </c>
      <c r="I176">
        <v>24</v>
      </c>
      <c r="J176">
        <v>14</v>
      </c>
      <c r="K176">
        <v>20</v>
      </c>
      <c r="L176">
        <v>24</v>
      </c>
      <c r="M176">
        <v>25</v>
      </c>
      <c r="N176">
        <v>23</v>
      </c>
      <c r="O176">
        <v>20</v>
      </c>
      <c r="P176">
        <v>30</v>
      </c>
      <c r="Q176">
        <v>20</v>
      </c>
      <c r="R176">
        <v>21</v>
      </c>
      <c r="S176">
        <v>18</v>
      </c>
      <c r="T176">
        <v>11</v>
      </c>
      <c r="U176">
        <v>17</v>
      </c>
      <c r="V176">
        <v>9</v>
      </c>
      <c r="W176">
        <v>4</v>
      </c>
      <c r="X176">
        <v>3</v>
      </c>
      <c r="Y176">
        <v>14</v>
      </c>
      <c r="Z176">
        <v>11</v>
      </c>
      <c r="AA176">
        <v>10</v>
      </c>
      <c r="AB176">
        <v>4</v>
      </c>
      <c r="AC176">
        <v>10</v>
      </c>
      <c r="AD176">
        <v>9</v>
      </c>
      <c r="AE176">
        <v>10</v>
      </c>
      <c r="AF176">
        <v>19</v>
      </c>
      <c r="AG176">
        <v>17</v>
      </c>
      <c r="AH176">
        <v>16</v>
      </c>
      <c r="AI176">
        <v>18</v>
      </c>
      <c r="AJ176">
        <v>5</v>
      </c>
      <c r="AK176">
        <v>6</v>
      </c>
      <c r="AL176">
        <v>10</v>
      </c>
      <c r="AM176">
        <v>14</v>
      </c>
      <c r="AN176">
        <v>24</v>
      </c>
      <c r="AO176">
        <v>31</v>
      </c>
      <c r="AP176">
        <v>55</v>
      </c>
      <c r="AQ176">
        <v>58</v>
      </c>
      <c r="AR176">
        <v>52</v>
      </c>
      <c r="AS176">
        <v>44</v>
      </c>
      <c r="AT176">
        <v>37</v>
      </c>
      <c r="AU176">
        <v>35</v>
      </c>
      <c r="AV176">
        <v>35</v>
      </c>
      <c r="AW176">
        <v>26</v>
      </c>
      <c r="AX176">
        <v>33</v>
      </c>
      <c r="AY176">
        <v>29</v>
      </c>
      <c r="AZ176">
        <v>24</v>
      </c>
      <c r="BA176">
        <v>30</v>
      </c>
      <c r="BB176">
        <v>43</v>
      </c>
      <c r="BC176">
        <v>43</v>
      </c>
    </row>
    <row r="177" spans="1:55" x14ac:dyDescent="0.25">
      <c r="A177" t="s">
        <v>3811</v>
      </c>
      <c r="B177" t="s">
        <v>148</v>
      </c>
      <c r="C177" t="s">
        <v>255</v>
      </c>
      <c r="D177">
        <v>817</v>
      </c>
      <c r="E177">
        <v>15.46</v>
      </c>
      <c r="F177">
        <v>7</v>
      </c>
      <c r="G177">
        <v>7</v>
      </c>
      <c r="H177">
        <v>11</v>
      </c>
      <c r="I177">
        <v>13</v>
      </c>
      <c r="J177">
        <v>12</v>
      </c>
      <c r="K177">
        <v>13</v>
      </c>
      <c r="L177">
        <v>15</v>
      </c>
      <c r="M177">
        <v>16</v>
      </c>
      <c r="N177">
        <v>18</v>
      </c>
      <c r="O177">
        <v>15</v>
      </c>
      <c r="P177">
        <v>17</v>
      </c>
      <c r="Q177">
        <v>12</v>
      </c>
      <c r="R177">
        <v>13</v>
      </c>
      <c r="S177">
        <v>11</v>
      </c>
      <c r="T177">
        <v>7</v>
      </c>
      <c r="U177">
        <v>8</v>
      </c>
      <c r="V177">
        <v>6</v>
      </c>
      <c r="W177">
        <v>7</v>
      </c>
      <c r="X177">
        <v>6</v>
      </c>
      <c r="Y177">
        <v>6</v>
      </c>
      <c r="Z177">
        <v>8</v>
      </c>
      <c r="AA177">
        <v>7</v>
      </c>
      <c r="AB177">
        <v>8</v>
      </c>
      <c r="AC177">
        <v>6</v>
      </c>
      <c r="AD177">
        <v>6</v>
      </c>
      <c r="AE177">
        <v>8</v>
      </c>
      <c r="AF177">
        <v>8</v>
      </c>
      <c r="AG177">
        <v>9</v>
      </c>
      <c r="AH177">
        <v>6</v>
      </c>
      <c r="AI177">
        <v>9</v>
      </c>
      <c r="AJ177">
        <v>4</v>
      </c>
      <c r="AK177">
        <v>6</v>
      </c>
      <c r="AL177">
        <v>8</v>
      </c>
      <c r="AM177">
        <v>11</v>
      </c>
      <c r="AN177">
        <v>21</v>
      </c>
      <c r="AO177">
        <v>27</v>
      </c>
      <c r="AP177">
        <v>37</v>
      </c>
      <c r="AQ177">
        <v>53</v>
      </c>
      <c r="AR177">
        <v>40</v>
      </c>
      <c r="AS177">
        <v>31</v>
      </c>
      <c r="AT177">
        <v>28</v>
      </c>
      <c r="AU177">
        <v>26</v>
      </c>
      <c r="AV177">
        <v>23</v>
      </c>
      <c r="AW177">
        <v>20</v>
      </c>
      <c r="AX177">
        <v>24</v>
      </c>
      <c r="AY177">
        <v>17</v>
      </c>
      <c r="AZ177">
        <v>19</v>
      </c>
      <c r="BA177">
        <v>20</v>
      </c>
      <c r="BB177">
        <v>32</v>
      </c>
      <c r="BC177">
        <v>31</v>
      </c>
    </row>
    <row r="178" spans="1:55" x14ac:dyDescent="0.25">
      <c r="A178" t="s">
        <v>3812</v>
      </c>
      <c r="B178" t="s">
        <v>149</v>
      </c>
      <c r="C178" t="s">
        <v>255</v>
      </c>
      <c r="D178">
        <v>66</v>
      </c>
      <c r="E178">
        <v>20.82</v>
      </c>
      <c r="F178">
        <v>16</v>
      </c>
      <c r="G178">
        <v>11</v>
      </c>
      <c r="H178">
        <v>19</v>
      </c>
      <c r="I178">
        <v>18</v>
      </c>
      <c r="J178">
        <v>12</v>
      </c>
      <c r="K178">
        <v>13</v>
      </c>
      <c r="L178">
        <v>26</v>
      </c>
      <c r="M178">
        <v>19</v>
      </c>
      <c r="N178">
        <v>24</v>
      </c>
      <c r="O178">
        <v>26</v>
      </c>
      <c r="P178">
        <v>30</v>
      </c>
      <c r="Q178">
        <v>27</v>
      </c>
      <c r="R178">
        <v>19</v>
      </c>
      <c r="S178">
        <v>15</v>
      </c>
      <c r="T178">
        <v>19</v>
      </c>
      <c r="U178">
        <v>13</v>
      </c>
      <c r="V178">
        <v>7</v>
      </c>
      <c r="W178">
        <v>13</v>
      </c>
      <c r="X178">
        <v>6</v>
      </c>
      <c r="Y178">
        <v>9</v>
      </c>
      <c r="Z178">
        <v>7</v>
      </c>
      <c r="AA178">
        <v>9</v>
      </c>
      <c r="AB178">
        <v>11</v>
      </c>
      <c r="AC178">
        <v>12</v>
      </c>
      <c r="AD178">
        <v>6</v>
      </c>
      <c r="AE178">
        <v>16</v>
      </c>
      <c r="AF178">
        <v>10</v>
      </c>
      <c r="AG178">
        <v>7</v>
      </c>
      <c r="AH178">
        <v>9</v>
      </c>
      <c r="AI178">
        <v>8</v>
      </c>
      <c r="AJ178">
        <v>0</v>
      </c>
      <c r="AK178">
        <v>7</v>
      </c>
      <c r="AL178">
        <v>10</v>
      </c>
      <c r="AM178">
        <v>13</v>
      </c>
      <c r="AN178">
        <v>23</v>
      </c>
      <c r="AO178">
        <v>30</v>
      </c>
      <c r="AP178">
        <v>47</v>
      </c>
      <c r="AQ178">
        <v>52</v>
      </c>
      <c r="AR178">
        <v>46</v>
      </c>
      <c r="AS178">
        <v>44</v>
      </c>
      <c r="AT178">
        <v>40</v>
      </c>
      <c r="AU178">
        <v>36</v>
      </c>
      <c r="AV178">
        <v>35</v>
      </c>
      <c r="AW178">
        <v>27</v>
      </c>
      <c r="AX178">
        <v>36</v>
      </c>
      <c r="AY178">
        <v>24</v>
      </c>
      <c r="AZ178">
        <v>27</v>
      </c>
      <c r="BA178">
        <v>30</v>
      </c>
      <c r="BB178">
        <v>36</v>
      </c>
      <c r="BC178">
        <v>41</v>
      </c>
    </row>
    <row r="179" spans="1:55" x14ac:dyDescent="0.25">
      <c r="A179" t="s">
        <v>3813</v>
      </c>
      <c r="B179" t="s">
        <v>150</v>
      </c>
      <c r="C179" t="s">
        <v>255</v>
      </c>
      <c r="D179">
        <v>981</v>
      </c>
      <c r="E179">
        <v>15.78</v>
      </c>
      <c r="F179">
        <v>11</v>
      </c>
      <c r="G179">
        <v>10</v>
      </c>
      <c r="H179">
        <v>14</v>
      </c>
      <c r="I179">
        <v>18</v>
      </c>
      <c r="J179">
        <v>13</v>
      </c>
      <c r="K179">
        <v>12</v>
      </c>
      <c r="L179">
        <v>18</v>
      </c>
      <c r="M179">
        <v>14</v>
      </c>
      <c r="N179">
        <v>15</v>
      </c>
      <c r="O179">
        <v>13</v>
      </c>
      <c r="P179">
        <v>19</v>
      </c>
      <c r="Q179">
        <v>13</v>
      </c>
      <c r="R179">
        <v>9</v>
      </c>
      <c r="S179">
        <v>8</v>
      </c>
      <c r="T179">
        <v>5</v>
      </c>
      <c r="U179">
        <v>6</v>
      </c>
      <c r="V179">
        <v>5</v>
      </c>
      <c r="W179">
        <v>4</v>
      </c>
      <c r="X179">
        <v>4</v>
      </c>
      <c r="Y179">
        <v>3</v>
      </c>
      <c r="Z179">
        <v>6</v>
      </c>
      <c r="AA179">
        <v>4</v>
      </c>
      <c r="AB179">
        <v>4</v>
      </c>
      <c r="AC179">
        <v>4</v>
      </c>
      <c r="AD179">
        <v>4</v>
      </c>
      <c r="AE179">
        <v>5</v>
      </c>
      <c r="AF179">
        <v>6</v>
      </c>
      <c r="AG179">
        <v>6</v>
      </c>
      <c r="AH179">
        <v>5</v>
      </c>
      <c r="AI179">
        <v>7</v>
      </c>
      <c r="AJ179">
        <v>3</v>
      </c>
      <c r="AK179">
        <v>4</v>
      </c>
      <c r="AL179">
        <v>7</v>
      </c>
      <c r="AM179">
        <v>8</v>
      </c>
      <c r="AN179">
        <v>17</v>
      </c>
      <c r="AO179">
        <v>25</v>
      </c>
      <c r="AP179">
        <v>48</v>
      </c>
      <c r="AQ179">
        <v>62</v>
      </c>
      <c r="AR179">
        <v>46</v>
      </c>
      <c r="AS179">
        <v>35</v>
      </c>
      <c r="AT179">
        <v>29</v>
      </c>
      <c r="AU179">
        <v>29</v>
      </c>
      <c r="AV179">
        <v>23</v>
      </c>
      <c r="AW179">
        <v>20</v>
      </c>
      <c r="AX179">
        <v>22</v>
      </c>
      <c r="AY179">
        <v>20</v>
      </c>
      <c r="AZ179">
        <v>24</v>
      </c>
      <c r="BA179">
        <v>20</v>
      </c>
      <c r="BB179">
        <v>41</v>
      </c>
      <c r="BC179">
        <v>41</v>
      </c>
    </row>
    <row r="180" spans="1:55" x14ac:dyDescent="0.25">
      <c r="A180" t="s">
        <v>3814</v>
      </c>
      <c r="B180" t="s">
        <v>151</v>
      </c>
      <c r="C180" t="s">
        <v>255</v>
      </c>
      <c r="D180">
        <v>409</v>
      </c>
      <c r="E180">
        <v>15.14</v>
      </c>
      <c r="F180">
        <v>11</v>
      </c>
      <c r="G180">
        <v>12</v>
      </c>
      <c r="H180">
        <v>16</v>
      </c>
      <c r="I180">
        <v>23</v>
      </c>
      <c r="J180">
        <v>11</v>
      </c>
      <c r="K180">
        <v>12</v>
      </c>
      <c r="L180">
        <v>18</v>
      </c>
      <c r="M180">
        <v>13</v>
      </c>
      <c r="N180">
        <v>16</v>
      </c>
      <c r="O180">
        <v>13</v>
      </c>
      <c r="P180">
        <v>18</v>
      </c>
      <c r="Q180">
        <v>13</v>
      </c>
      <c r="R180">
        <v>10</v>
      </c>
      <c r="S180">
        <v>8</v>
      </c>
      <c r="T180">
        <v>4</v>
      </c>
      <c r="U180">
        <v>5</v>
      </c>
      <c r="V180">
        <v>4</v>
      </c>
      <c r="W180">
        <v>3</v>
      </c>
      <c r="X180">
        <v>4</v>
      </c>
      <c r="Y180">
        <v>3</v>
      </c>
      <c r="Z180">
        <v>4</v>
      </c>
      <c r="AA180">
        <v>2</v>
      </c>
      <c r="AB180">
        <v>2</v>
      </c>
      <c r="AC180">
        <v>2</v>
      </c>
      <c r="AD180">
        <v>2</v>
      </c>
      <c r="AE180">
        <v>4</v>
      </c>
      <c r="AF180">
        <v>4</v>
      </c>
      <c r="AG180">
        <v>4</v>
      </c>
      <c r="AH180">
        <v>3</v>
      </c>
      <c r="AI180">
        <v>5</v>
      </c>
      <c r="AJ180">
        <v>2</v>
      </c>
      <c r="AK180">
        <v>3</v>
      </c>
      <c r="AL180">
        <v>4</v>
      </c>
      <c r="AM180">
        <v>6</v>
      </c>
      <c r="AN180">
        <v>16</v>
      </c>
      <c r="AO180">
        <v>23</v>
      </c>
      <c r="AP180">
        <v>52</v>
      </c>
      <c r="AQ180">
        <v>68</v>
      </c>
      <c r="AR180">
        <v>52</v>
      </c>
      <c r="AS180">
        <v>36</v>
      </c>
      <c r="AT180">
        <v>30</v>
      </c>
      <c r="AU180">
        <v>27</v>
      </c>
      <c r="AV180">
        <v>22</v>
      </c>
      <c r="AW180">
        <v>18</v>
      </c>
      <c r="AX180">
        <v>20</v>
      </c>
      <c r="AY180">
        <v>16</v>
      </c>
      <c r="AZ180">
        <v>19</v>
      </c>
      <c r="BA180">
        <v>13</v>
      </c>
      <c r="BB180">
        <v>41</v>
      </c>
      <c r="BC180">
        <v>40</v>
      </c>
    </row>
    <row r="181" spans="1:55" x14ac:dyDescent="0.25">
      <c r="A181" t="s">
        <v>3815</v>
      </c>
      <c r="B181" t="s">
        <v>152</v>
      </c>
      <c r="C181" t="s">
        <v>255</v>
      </c>
      <c r="D181">
        <v>57</v>
      </c>
      <c r="E181">
        <v>9.6999999999999993</v>
      </c>
      <c r="F181">
        <v>2</v>
      </c>
      <c r="G181">
        <v>1</v>
      </c>
      <c r="H181">
        <v>4</v>
      </c>
      <c r="I181">
        <v>4</v>
      </c>
      <c r="J181">
        <v>9</v>
      </c>
      <c r="K181">
        <v>4</v>
      </c>
      <c r="L181">
        <v>16</v>
      </c>
      <c r="M181">
        <v>5</v>
      </c>
      <c r="N181">
        <v>6</v>
      </c>
      <c r="O181">
        <v>7</v>
      </c>
      <c r="P181">
        <v>8</v>
      </c>
      <c r="Q181">
        <v>4</v>
      </c>
      <c r="R181">
        <v>2</v>
      </c>
      <c r="S181">
        <v>4</v>
      </c>
      <c r="T181">
        <v>5</v>
      </c>
      <c r="U181">
        <v>6</v>
      </c>
      <c r="V181">
        <v>4</v>
      </c>
      <c r="W181">
        <v>3</v>
      </c>
      <c r="X181">
        <v>3</v>
      </c>
      <c r="Y181">
        <v>2</v>
      </c>
      <c r="Z181">
        <v>2</v>
      </c>
      <c r="AA181">
        <v>2</v>
      </c>
      <c r="AB181">
        <v>2</v>
      </c>
      <c r="AC181">
        <v>2</v>
      </c>
      <c r="AD181">
        <v>3</v>
      </c>
      <c r="AE181">
        <v>2</v>
      </c>
      <c r="AF181">
        <v>2</v>
      </c>
      <c r="AG181">
        <v>5</v>
      </c>
      <c r="AH181">
        <v>4</v>
      </c>
      <c r="AI181">
        <v>9</v>
      </c>
      <c r="AJ181">
        <v>0</v>
      </c>
      <c r="AK181">
        <v>1</v>
      </c>
      <c r="AL181">
        <v>4</v>
      </c>
      <c r="AM181">
        <v>5</v>
      </c>
      <c r="AN181">
        <v>12</v>
      </c>
      <c r="AO181">
        <v>15</v>
      </c>
      <c r="AP181">
        <v>36</v>
      </c>
      <c r="AQ181">
        <v>49</v>
      </c>
      <c r="AR181">
        <v>33</v>
      </c>
      <c r="AS181">
        <v>27</v>
      </c>
      <c r="AT181">
        <v>17</v>
      </c>
      <c r="AU181">
        <v>21</v>
      </c>
      <c r="AV181">
        <v>11</v>
      </c>
      <c r="AW181">
        <v>11</v>
      </c>
      <c r="AX181">
        <v>16</v>
      </c>
      <c r="AY181">
        <v>14</v>
      </c>
      <c r="AZ181">
        <v>18</v>
      </c>
      <c r="BA181">
        <v>17</v>
      </c>
      <c r="BB181">
        <v>24</v>
      </c>
      <c r="BC181">
        <v>22</v>
      </c>
    </row>
    <row r="182" spans="1:55" x14ac:dyDescent="0.25">
      <c r="A182" t="s">
        <v>3816</v>
      </c>
      <c r="B182" t="s">
        <v>153</v>
      </c>
      <c r="C182" t="s">
        <v>255</v>
      </c>
      <c r="D182">
        <v>968</v>
      </c>
      <c r="E182">
        <v>39.14</v>
      </c>
      <c r="F182">
        <v>31</v>
      </c>
      <c r="G182">
        <v>31</v>
      </c>
      <c r="H182">
        <v>33</v>
      </c>
      <c r="I182">
        <v>41</v>
      </c>
      <c r="J182">
        <v>39</v>
      </c>
      <c r="K182">
        <v>40</v>
      </c>
      <c r="L182">
        <v>43</v>
      </c>
      <c r="M182">
        <v>41</v>
      </c>
      <c r="N182">
        <v>41</v>
      </c>
      <c r="O182">
        <v>42</v>
      </c>
      <c r="P182">
        <v>37</v>
      </c>
      <c r="Q182">
        <v>37</v>
      </c>
      <c r="R182">
        <v>38</v>
      </c>
      <c r="S182">
        <v>34</v>
      </c>
      <c r="T182">
        <v>26</v>
      </c>
      <c r="U182">
        <v>27</v>
      </c>
      <c r="V182">
        <v>26</v>
      </c>
      <c r="W182">
        <v>22</v>
      </c>
      <c r="X182">
        <v>24</v>
      </c>
      <c r="Y182">
        <v>22</v>
      </c>
      <c r="Z182">
        <v>27</v>
      </c>
      <c r="AA182">
        <v>23</v>
      </c>
      <c r="AB182">
        <v>24</v>
      </c>
      <c r="AC182">
        <v>24</v>
      </c>
      <c r="AD182">
        <v>22</v>
      </c>
      <c r="AE182">
        <v>27</v>
      </c>
      <c r="AF182">
        <v>26</v>
      </c>
      <c r="AG182">
        <v>26</v>
      </c>
      <c r="AH182">
        <v>26</v>
      </c>
      <c r="AI182">
        <v>30</v>
      </c>
      <c r="AJ182">
        <v>12</v>
      </c>
      <c r="AK182">
        <v>22</v>
      </c>
      <c r="AL182">
        <v>26</v>
      </c>
      <c r="AM182">
        <v>34</v>
      </c>
      <c r="AN182">
        <v>48</v>
      </c>
      <c r="AO182">
        <v>54</v>
      </c>
      <c r="AP182">
        <v>71</v>
      </c>
      <c r="AQ182">
        <v>77</v>
      </c>
      <c r="AR182">
        <v>67</v>
      </c>
      <c r="AS182">
        <v>64</v>
      </c>
      <c r="AT182">
        <v>58</v>
      </c>
      <c r="AU182">
        <v>58</v>
      </c>
      <c r="AV182">
        <v>54</v>
      </c>
      <c r="AW182">
        <v>50</v>
      </c>
      <c r="AX182">
        <v>53</v>
      </c>
      <c r="AY182">
        <v>50</v>
      </c>
      <c r="AZ182">
        <v>50</v>
      </c>
      <c r="BA182">
        <v>48</v>
      </c>
      <c r="BB182">
        <v>67</v>
      </c>
      <c r="BC182">
        <v>64</v>
      </c>
    </row>
    <row r="183" spans="1:55" x14ac:dyDescent="0.25">
      <c r="A183" t="s">
        <v>3817</v>
      </c>
      <c r="B183" t="s">
        <v>154</v>
      </c>
      <c r="C183" t="s">
        <v>255</v>
      </c>
      <c r="D183">
        <v>109</v>
      </c>
      <c r="E183">
        <v>28.68</v>
      </c>
      <c r="F183">
        <v>16</v>
      </c>
      <c r="G183">
        <v>19</v>
      </c>
      <c r="H183">
        <v>19</v>
      </c>
      <c r="I183">
        <v>29</v>
      </c>
      <c r="J183">
        <v>29</v>
      </c>
      <c r="K183">
        <v>22</v>
      </c>
      <c r="L183">
        <v>26</v>
      </c>
      <c r="M183">
        <v>28</v>
      </c>
      <c r="N183">
        <v>36</v>
      </c>
      <c r="O183">
        <v>28</v>
      </c>
      <c r="P183">
        <v>28</v>
      </c>
      <c r="Q183">
        <v>25</v>
      </c>
      <c r="R183">
        <v>25</v>
      </c>
      <c r="S183">
        <v>25</v>
      </c>
      <c r="T183">
        <v>20</v>
      </c>
      <c r="U183">
        <v>14</v>
      </c>
      <c r="V183">
        <v>22</v>
      </c>
      <c r="W183">
        <v>18</v>
      </c>
      <c r="X183">
        <v>17</v>
      </c>
      <c r="Y183">
        <v>13</v>
      </c>
      <c r="Z183">
        <v>22</v>
      </c>
      <c r="AA183">
        <v>16</v>
      </c>
      <c r="AB183">
        <v>14</v>
      </c>
      <c r="AC183">
        <v>20</v>
      </c>
      <c r="AD183">
        <v>23</v>
      </c>
      <c r="AE183">
        <v>12</v>
      </c>
      <c r="AF183">
        <v>23</v>
      </c>
      <c r="AG183">
        <v>20</v>
      </c>
      <c r="AH183">
        <v>14</v>
      </c>
      <c r="AI183">
        <v>23</v>
      </c>
      <c r="AJ183">
        <v>18</v>
      </c>
      <c r="AK183">
        <v>11</v>
      </c>
      <c r="AL183">
        <v>20</v>
      </c>
      <c r="AM183">
        <v>36</v>
      </c>
      <c r="AN183">
        <v>38</v>
      </c>
      <c r="AO183">
        <v>47</v>
      </c>
      <c r="AP183">
        <v>62</v>
      </c>
      <c r="AQ183">
        <v>71</v>
      </c>
      <c r="AR183">
        <v>49</v>
      </c>
      <c r="AS183">
        <v>49</v>
      </c>
      <c r="AT183">
        <v>50</v>
      </c>
      <c r="AU183">
        <v>49</v>
      </c>
      <c r="AV183">
        <v>36</v>
      </c>
      <c r="AW183">
        <v>39</v>
      </c>
      <c r="AX183">
        <v>37</v>
      </c>
      <c r="AY183">
        <v>38</v>
      </c>
      <c r="AZ183">
        <v>27</v>
      </c>
      <c r="BA183">
        <v>26</v>
      </c>
      <c r="BB183">
        <v>47</v>
      </c>
      <c r="BC183">
        <v>38</v>
      </c>
    </row>
    <row r="184" spans="1:55" x14ac:dyDescent="0.25">
      <c r="A184" t="s">
        <v>3818</v>
      </c>
      <c r="B184" t="s">
        <v>155</v>
      </c>
      <c r="C184" t="s">
        <v>255</v>
      </c>
      <c r="D184">
        <v>248</v>
      </c>
      <c r="E184">
        <v>23.34</v>
      </c>
      <c r="F184">
        <v>14</v>
      </c>
      <c r="G184">
        <v>14</v>
      </c>
      <c r="H184">
        <v>21</v>
      </c>
      <c r="I184">
        <v>28</v>
      </c>
      <c r="J184">
        <v>21</v>
      </c>
      <c r="K184">
        <v>19</v>
      </c>
      <c r="L184">
        <v>24</v>
      </c>
      <c r="M184">
        <v>24</v>
      </c>
      <c r="N184">
        <v>26</v>
      </c>
      <c r="O184">
        <v>25</v>
      </c>
      <c r="P184">
        <v>22</v>
      </c>
      <c r="Q184">
        <v>20</v>
      </c>
      <c r="R184">
        <v>21</v>
      </c>
      <c r="S184">
        <v>17</v>
      </c>
      <c r="T184">
        <v>11</v>
      </c>
      <c r="U184">
        <v>13</v>
      </c>
      <c r="V184">
        <v>12</v>
      </c>
      <c r="W184">
        <v>12</v>
      </c>
      <c r="X184">
        <v>10</v>
      </c>
      <c r="Y184">
        <v>17</v>
      </c>
      <c r="Z184">
        <v>14</v>
      </c>
      <c r="AA184">
        <v>11</v>
      </c>
      <c r="AB184">
        <v>17</v>
      </c>
      <c r="AC184">
        <v>13</v>
      </c>
      <c r="AD184">
        <v>9</v>
      </c>
      <c r="AE184">
        <v>16</v>
      </c>
      <c r="AF184">
        <v>16</v>
      </c>
      <c r="AG184">
        <v>14</v>
      </c>
      <c r="AH184">
        <v>13</v>
      </c>
      <c r="AI184">
        <v>15</v>
      </c>
      <c r="AJ184">
        <v>8</v>
      </c>
      <c r="AK184">
        <v>9</v>
      </c>
      <c r="AL184">
        <v>13</v>
      </c>
      <c r="AM184">
        <v>17</v>
      </c>
      <c r="AN184">
        <v>26</v>
      </c>
      <c r="AO184">
        <v>37</v>
      </c>
      <c r="AP184">
        <v>48</v>
      </c>
      <c r="AQ184">
        <v>68</v>
      </c>
      <c r="AR184">
        <v>50</v>
      </c>
      <c r="AS184">
        <v>41</v>
      </c>
      <c r="AT184">
        <v>39</v>
      </c>
      <c r="AU184">
        <v>39</v>
      </c>
      <c r="AV184">
        <v>30</v>
      </c>
      <c r="AW184">
        <v>32</v>
      </c>
      <c r="AX184">
        <v>34</v>
      </c>
      <c r="AY184">
        <v>25</v>
      </c>
      <c r="AZ184">
        <v>24</v>
      </c>
      <c r="BA184">
        <v>31</v>
      </c>
      <c r="BB184">
        <v>44</v>
      </c>
      <c r="BC184">
        <v>43</v>
      </c>
    </row>
    <row r="185" spans="1:55" x14ac:dyDescent="0.25">
      <c r="A185" t="s">
        <v>3819</v>
      </c>
      <c r="B185" t="s">
        <v>156</v>
      </c>
      <c r="C185" t="s">
        <v>255</v>
      </c>
      <c r="D185">
        <v>127</v>
      </c>
      <c r="E185">
        <v>43.72</v>
      </c>
      <c r="F185">
        <v>40</v>
      </c>
      <c r="G185">
        <v>38</v>
      </c>
      <c r="H185">
        <v>50</v>
      </c>
      <c r="I185">
        <v>52</v>
      </c>
      <c r="J185">
        <v>58</v>
      </c>
      <c r="K185">
        <v>52</v>
      </c>
      <c r="L185">
        <v>63</v>
      </c>
      <c r="M185">
        <v>59</v>
      </c>
      <c r="N185">
        <v>52</v>
      </c>
      <c r="O185">
        <v>54</v>
      </c>
      <c r="P185">
        <v>46</v>
      </c>
      <c r="Q185">
        <v>41</v>
      </c>
      <c r="R185">
        <v>47</v>
      </c>
      <c r="S185">
        <v>43</v>
      </c>
      <c r="T185">
        <v>27</v>
      </c>
      <c r="U185">
        <v>29</v>
      </c>
      <c r="V185">
        <v>24</v>
      </c>
      <c r="W185">
        <v>22</v>
      </c>
      <c r="X185">
        <v>18</v>
      </c>
      <c r="Y185">
        <v>19</v>
      </c>
      <c r="Z185">
        <v>30</v>
      </c>
      <c r="AA185">
        <v>29</v>
      </c>
      <c r="AB185">
        <v>30</v>
      </c>
      <c r="AC185">
        <v>27</v>
      </c>
      <c r="AD185">
        <v>28</v>
      </c>
      <c r="AE185">
        <v>30</v>
      </c>
      <c r="AF185">
        <v>34</v>
      </c>
      <c r="AG185">
        <v>32</v>
      </c>
      <c r="AH185">
        <v>32</v>
      </c>
      <c r="AI185">
        <v>31</v>
      </c>
      <c r="AJ185">
        <v>15</v>
      </c>
      <c r="AK185">
        <v>16</v>
      </c>
      <c r="AL185">
        <v>28</v>
      </c>
      <c r="AM185">
        <v>37</v>
      </c>
      <c r="AN185">
        <v>49</v>
      </c>
      <c r="AO185">
        <v>55</v>
      </c>
      <c r="AP185">
        <v>74</v>
      </c>
      <c r="AQ185">
        <v>81</v>
      </c>
      <c r="AR185">
        <v>72</v>
      </c>
      <c r="AS185">
        <v>62</v>
      </c>
      <c r="AT185">
        <v>59</v>
      </c>
      <c r="AU185">
        <v>60</v>
      </c>
      <c r="AV185">
        <v>53</v>
      </c>
      <c r="AW185">
        <v>46</v>
      </c>
      <c r="AX185">
        <v>54</v>
      </c>
      <c r="AY185">
        <v>46</v>
      </c>
      <c r="AZ185">
        <v>53</v>
      </c>
      <c r="BA185">
        <v>46</v>
      </c>
      <c r="BB185">
        <v>72</v>
      </c>
      <c r="BC185">
        <v>71</v>
      </c>
    </row>
    <row r="186" spans="1:55" x14ac:dyDescent="0.25">
      <c r="A186" t="s">
        <v>3820</v>
      </c>
      <c r="B186" t="s">
        <v>157</v>
      </c>
      <c r="C186" t="s">
        <v>255</v>
      </c>
      <c r="D186">
        <v>112</v>
      </c>
      <c r="E186">
        <v>14.68</v>
      </c>
      <c r="F186">
        <v>9</v>
      </c>
      <c r="G186">
        <v>6</v>
      </c>
      <c r="H186">
        <v>6</v>
      </c>
      <c r="I186">
        <v>11</v>
      </c>
      <c r="J186">
        <v>11</v>
      </c>
      <c r="K186">
        <v>13</v>
      </c>
      <c r="L186">
        <v>13</v>
      </c>
      <c r="M186">
        <v>14</v>
      </c>
      <c r="N186">
        <v>13</v>
      </c>
      <c r="O186">
        <v>9</v>
      </c>
      <c r="P186">
        <v>20</v>
      </c>
      <c r="Q186">
        <v>6</v>
      </c>
      <c r="R186">
        <v>8</v>
      </c>
      <c r="S186">
        <v>8</v>
      </c>
      <c r="T186">
        <v>4</v>
      </c>
      <c r="U186">
        <v>5</v>
      </c>
      <c r="V186">
        <v>5</v>
      </c>
      <c r="W186">
        <v>3</v>
      </c>
      <c r="X186">
        <v>3</v>
      </c>
      <c r="Y186">
        <v>6</v>
      </c>
      <c r="Z186">
        <v>5</v>
      </c>
      <c r="AA186">
        <v>5</v>
      </c>
      <c r="AB186">
        <v>4</v>
      </c>
      <c r="AC186">
        <v>5</v>
      </c>
      <c r="AD186">
        <v>5</v>
      </c>
      <c r="AE186">
        <v>4</v>
      </c>
      <c r="AF186">
        <v>4</v>
      </c>
      <c r="AG186">
        <v>4</v>
      </c>
      <c r="AH186">
        <v>4</v>
      </c>
      <c r="AI186">
        <v>9</v>
      </c>
      <c r="AJ186">
        <v>2</v>
      </c>
      <c r="AK186">
        <v>3</v>
      </c>
      <c r="AL186">
        <v>3</v>
      </c>
      <c r="AM186">
        <v>5</v>
      </c>
      <c r="AN186">
        <v>14</v>
      </c>
      <c r="AO186">
        <v>20</v>
      </c>
      <c r="AP186">
        <v>37</v>
      </c>
      <c r="AQ186">
        <v>60</v>
      </c>
      <c r="AR186">
        <v>36</v>
      </c>
      <c r="AS186">
        <v>31</v>
      </c>
      <c r="AT186">
        <v>26</v>
      </c>
      <c r="AU186">
        <v>32</v>
      </c>
      <c r="AV186">
        <v>29</v>
      </c>
      <c r="AW186">
        <v>34</v>
      </c>
      <c r="AX186">
        <v>30</v>
      </c>
      <c r="AY186">
        <v>25</v>
      </c>
      <c r="AZ186">
        <v>22</v>
      </c>
      <c r="BA186">
        <v>16</v>
      </c>
      <c r="BB186">
        <v>46</v>
      </c>
      <c r="BC186">
        <v>41</v>
      </c>
    </row>
    <row r="187" spans="1:55" x14ac:dyDescent="0.25">
      <c r="A187" t="s">
        <v>3821</v>
      </c>
      <c r="B187" t="s">
        <v>158</v>
      </c>
      <c r="C187" t="s">
        <v>255</v>
      </c>
      <c r="D187">
        <v>308</v>
      </c>
      <c r="E187">
        <v>30.54</v>
      </c>
      <c r="F187">
        <v>28</v>
      </c>
      <c r="G187">
        <v>36</v>
      </c>
      <c r="H187">
        <v>29</v>
      </c>
      <c r="I187">
        <v>43</v>
      </c>
      <c r="J187">
        <v>37</v>
      </c>
      <c r="K187">
        <v>40</v>
      </c>
      <c r="L187">
        <v>48</v>
      </c>
      <c r="M187">
        <v>46</v>
      </c>
      <c r="N187">
        <v>42</v>
      </c>
      <c r="O187">
        <v>47</v>
      </c>
      <c r="P187">
        <v>37</v>
      </c>
      <c r="Q187">
        <v>36</v>
      </c>
      <c r="R187">
        <v>30</v>
      </c>
      <c r="S187">
        <v>29</v>
      </c>
      <c r="T187">
        <v>15</v>
      </c>
      <c r="U187">
        <v>20</v>
      </c>
      <c r="V187">
        <v>19</v>
      </c>
      <c r="W187">
        <v>15</v>
      </c>
      <c r="X187">
        <v>15</v>
      </c>
      <c r="Y187">
        <v>12</v>
      </c>
      <c r="Z187">
        <v>16</v>
      </c>
      <c r="AA187">
        <v>16</v>
      </c>
      <c r="AB187">
        <v>15</v>
      </c>
      <c r="AC187">
        <v>17</v>
      </c>
      <c r="AD187">
        <v>12</v>
      </c>
      <c r="AE187">
        <v>19</v>
      </c>
      <c r="AF187">
        <v>19</v>
      </c>
      <c r="AG187">
        <v>13</v>
      </c>
      <c r="AH187">
        <v>19</v>
      </c>
      <c r="AI187">
        <v>25</v>
      </c>
      <c r="AJ187">
        <v>5</v>
      </c>
      <c r="AK187">
        <v>6</v>
      </c>
      <c r="AL187">
        <v>12</v>
      </c>
      <c r="AM187">
        <v>16</v>
      </c>
      <c r="AN187">
        <v>21</v>
      </c>
      <c r="AO187">
        <v>30</v>
      </c>
      <c r="AP187">
        <v>58</v>
      </c>
      <c r="AQ187">
        <v>68</v>
      </c>
      <c r="AR187">
        <v>57</v>
      </c>
      <c r="AS187">
        <v>52</v>
      </c>
      <c r="AT187">
        <v>44</v>
      </c>
      <c r="AU187">
        <v>46</v>
      </c>
      <c r="AV187">
        <v>38</v>
      </c>
      <c r="AW187">
        <v>32</v>
      </c>
      <c r="AX187">
        <v>38</v>
      </c>
      <c r="AY187">
        <v>31</v>
      </c>
      <c r="AZ187">
        <v>28</v>
      </c>
      <c r="BA187">
        <v>33</v>
      </c>
      <c r="BB187">
        <v>61</v>
      </c>
      <c r="BC187">
        <v>56</v>
      </c>
    </row>
    <row r="188" spans="1:55" x14ac:dyDescent="0.25">
      <c r="A188" t="s">
        <v>3822</v>
      </c>
      <c r="B188" t="s">
        <v>159</v>
      </c>
      <c r="C188" t="s">
        <v>255</v>
      </c>
      <c r="D188">
        <v>231</v>
      </c>
      <c r="E188">
        <v>10.06</v>
      </c>
      <c r="F188">
        <v>7</v>
      </c>
      <c r="G188">
        <v>6</v>
      </c>
      <c r="H188">
        <v>6</v>
      </c>
      <c r="I188">
        <v>13</v>
      </c>
      <c r="J188">
        <v>10</v>
      </c>
      <c r="K188">
        <v>9</v>
      </c>
      <c r="L188">
        <v>14</v>
      </c>
      <c r="M188">
        <v>13</v>
      </c>
      <c r="N188">
        <v>13</v>
      </c>
      <c r="O188">
        <v>10</v>
      </c>
      <c r="P188">
        <v>14</v>
      </c>
      <c r="Q188">
        <v>9</v>
      </c>
      <c r="R188">
        <v>10</v>
      </c>
      <c r="S188">
        <v>6</v>
      </c>
      <c r="T188">
        <v>5</v>
      </c>
      <c r="U188">
        <v>6</v>
      </c>
      <c r="V188">
        <v>4</v>
      </c>
      <c r="W188">
        <v>2</v>
      </c>
      <c r="X188">
        <v>1</v>
      </c>
      <c r="Y188">
        <v>3</v>
      </c>
      <c r="Z188">
        <v>5</v>
      </c>
      <c r="AA188">
        <v>3</v>
      </c>
      <c r="AB188">
        <v>4</v>
      </c>
      <c r="AC188">
        <v>3</v>
      </c>
      <c r="AD188">
        <v>3</v>
      </c>
      <c r="AE188">
        <v>4</v>
      </c>
      <c r="AF188">
        <v>5</v>
      </c>
      <c r="AG188">
        <v>4</v>
      </c>
      <c r="AH188">
        <v>4</v>
      </c>
      <c r="AI188">
        <v>6</v>
      </c>
      <c r="AJ188">
        <v>3</v>
      </c>
      <c r="AK188">
        <v>2</v>
      </c>
      <c r="AL188">
        <v>3</v>
      </c>
      <c r="AM188">
        <v>3</v>
      </c>
      <c r="AN188">
        <v>10</v>
      </c>
      <c r="AO188">
        <v>17</v>
      </c>
      <c r="AP188">
        <v>27</v>
      </c>
      <c r="AQ188">
        <v>39</v>
      </c>
      <c r="AR188">
        <v>23</v>
      </c>
      <c r="AS188">
        <v>19</v>
      </c>
      <c r="AT188">
        <v>21</v>
      </c>
      <c r="AU188">
        <v>19</v>
      </c>
      <c r="AV188">
        <v>15</v>
      </c>
      <c r="AW188">
        <v>13</v>
      </c>
      <c r="AX188">
        <v>13</v>
      </c>
      <c r="AY188">
        <v>9</v>
      </c>
      <c r="AZ188">
        <v>12</v>
      </c>
      <c r="BA188">
        <v>12</v>
      </c>
      <c r="BB188">
        <v>23</v>
      </c>
      <c r="BC188">
        <v>18</v>
      </c>
    </row>
    <row r="189" spans="1:55" x14ac:dyDescent="0.25">
      <c r="A189" t="s">
        <v>3823</v>
      </c>
      <c r="B189" t="s">
        <v>160</v>
      </c>
      <c r="C189" t="s">
        <v>255</v>
      </c>
      <c r="D189">
        <v>723</v>
      </c>
      <c r="E189">
        <v>23.5</v>
      </c>
      <c r="F189">
        <v>19</v>
      </c>
      <c r="G189">
        <v>19</v>
      </c>
      <c r="H189">
        <v>21</v>
      </c>
      <c r="I189">
        <v>28</v>
      </c>
      <c r="J189">
        <v>25</v>
      </c>
      <c r="K189">
        <v>23</v>
      </c>
      <c r="L189">
        <v>28</v>
      </c>
      <c r="M189">
        <v>24</v>
      </c>
      <c r="N189">
        <v>22</v>
      </c>
      <c r="O189">
        <v>22</v>
      </c>
      <c r="P189">
        <v>26</v>
      </c>
      <c r="Q189">
        <v>22</v>
      </c>
      <c r="R189">
        <v>21</v>
      </c>
      <c r="S189">
        <v>17</v>
      </c>
      <c r="T189">
        <v>11</v>
      </c>
      <c r="U189">
        <v>11</v>
      </c>
      <c r="V189">
        <v>12</v>
      </c>
      <c r="W189">
        <v>12</v>
      </c>
      <c r="X189">
        <v>13</v>
      </c>
      <c r="Y189">
        <v>12</v>
      </c>
      <c r="Z189">
        <v>16</v>
      </c>
      <c r="AA189">
        <v>14</v>
      </c>
      <c r="AB189">
        <v>14</v>
      </c>
      <c r="AC189">
        <v>16</v>
      </c>
      <c r="AD189">
        <v>15</v>
      </c>
      <c r="AE189">
        <v>18</v>
      </c>
      <c r="AF189">
        <v>20</v>
      </c>
      <c r="AG189">
        <v>17</v>
      </c>
      <c r="AH189">
        <v>12</v>
      </c>
      <c r="AI189">
        <v>16</v>
      </c>
      <c r="AJ189">
        <v>5</v>
      </c>
      <c r="AK189">
        <v>9</v>
      </c>
      <c r="AL189">
        <v>12</v>
      </c>
      <c r="AM189">
        <v>17</v>
      </c>
      <c r="AN189">
        <v>30</v>
      </c>
      <c r="AO189">
        <v>36</v>
      </c>
      <c r="AP189">
        <v>52</v>
      </c>
      <c r="AQ189">
        <v>58</v>
      </c>
      <c r="AR189">
        <v>47</v>
      </c>
      <c r="AS189">
        <v>39</v>
      </c>
      <c r="AT189">
        <v>35</v>
      </c>
      <c r="AU189">
        <v>33</v>
      </c>
      <c r="AV189">
        <v>30</v>
      </c>
      <c r="AW189">
        <v>29</v>
      </c>
      <c r="AX189">
        <v>31</v>
      </c>
      <c r="AY189">
        <v>27</v>
      </c>
      <c r="AZ189">
        <v>27</v>
      </c>
      <c r="BA189">
        <v>27</v>
      </c>
      <c r="BB189">
        <v>45</v>
      </c>
      <c r="BC189">
        <v>40</v>
      </c>
    </row>
    <row r="190" spans="1:55" x14ac:dyDescent="0.25">
      <c r="A190" t="s">
        <v>3824</v>
      </c>
      <c r="B190" t="s">
        <v>244</v>
      </c>
      <c r="C190" t="s">
        <v>255</v>
      </c>
      <c r="D190">
        <v>838</v>
      </c>
      <c r="E190">
        <v>25.8</v>
      </c>
      <c r="F190">
        <v>17</v>
      </c>
      <c r="G190">
        <v>18</v>
      </c>
      <c r="H190">
        <v>21</v>
      </c>
      <c r="I190">
        <v>30</v>
      </c>
      <c r="J190">
        <v>25</v>
      </c>
      <c r="K190">
        <v>28</v>
      </c>
      <c r="L190">
        <v>30</v>
      </c>
      <c r="M190">
        <v>27</v>
      </c>
      <c r="N190">
        <v>29</v>
      </c>
      <c r="O190">
        <v>28</v>
      </c>
      <c r="P190">
        <v>25</v>
      </c>
      <c r="Q190">
        <v>22</v>
      </c>
      <c r="R190">
        <v>22</v>
      </c>
      <c r="S190">
        <v>20</v>
      </c>
      <c r="T190">
        <v>16</v>
      </c>
      <c r="U190">
        <v>13</v>
      </c>
      <c r="V190">
        <v>13</v>
      </c>
      <c r="W190">
        <v>12</v>
      </c>
      <c r="X190">
        <v>12</v>
      </c>
      <c r="Y190">
        <v>13</v>
      </c>
      <c r="Z190">
        <v>15</v>
      </c>
      <c r="AA190">
        <v>16</v>
      </c>
      <c r="AB190">
        <v>14</v>
      </c>
      <c r="AC190">
        <v>14</v>
      </c>
      <c r="AD190">
        <v>13</v>
      </c>
      <c r="AE190">
        <v>13</v>
      </c>
      <c r="AF190">
        <v>16</v>
      </c>
      <c r="AG190">
        <v>14</v>
      </c>
      <c r="AH190">
        <v>15</v>
      </c>
      <c r="AI190">
        <v>17</v>
      </c>
      <c r="AJ190">
        <v>8</v>
      </c>
      <c r="AK190">
        <v>8</v>
      </c>
      <c r="AL190">
        <v>13</v>
      </c>
      <c r="AM190">
        <v>26</v>
      </c>
      <c r="AN190">
        <v>39</v>
      </c>
      <c r="AO190">
        <v>44</v>
      </c>
      <c r="AP190">
        <v>65</v>
      </c>
      <c r="AQ190">
        <v>65</v>
      </c>
      <c r="AR190">
        <v>53</v>
      </c>
      <c r="AS190">
        <v>44</v>
      </c>
      <c r="AT190">
        <v>40</v>
      </c>
      <c r="AU190">
        <v>42</v>
      </c>
      <c r="AV190">
        <v>35</v>
      </c>
      <c r="AW190">
        <v>30</v>
      </c>
      <c r="AX190">
        <v>34</v>
      </c>
      <c r="AY190">
        <v>27</v>
      </c>
      <c r="AZ190">
        <v>28</v>
      </c>
      <c r="BA190">
        <v>28</v>
      </c>
      <c r="BB190">
        <v>50</v>
      </c>
      <c r="BC190">
        <v>43</v>
      </c>
    </row>
    <row r="191" spans="1:55" x14ac:dyDescent="0.25">
      <c r="A191" t="s">
        <v>3825</v>
      </c>
      <c r="B191" t="s">
        <v>245</v>
      </c>
      <c r="C191" t="s">
        <v>255</v>
      </c>
      <c r="D191">
        <v>180</v>
      </c>
      <c r="E191">
        <v>30.02</v>
      </c>
      <c r="F191">
        <v>27</v>
      </c>
      <c r="G191">
        <v>28</v>
      </c>
      <c r="H191">
        <v>21</v>
      </c>
      <c r="I191">
        <v>37</v>
      </c>
      <c r="J191">
        <v>32</v>
      </c>
      <c r="K191">
        <v>34</v>
      </c>
      <c r="L191">
        <v>35</v>
      </c>
      <c r="M191">
        <v>38</v>
      </c>
      <c r="N191">
        <v>33</v>
      </c>
      <c r="O191">
        <v>32</v>
      </c>
      <c r="P191">
        <v>29</v>
      </c>
      <c r="Q191">
        <v>34</v>
      </c>
      <c r="R191">
        <v>19</v>
      </c>
      <c r="S191">
        <v>20</v>
      </c>
      <c r="T191">
        <v>19</v>
      </c>
      <c r="U191">
        <v>17</v>
      </c>
      <c r="V191">
        <v>17</v>
      </c>
      <c r="W191">
        <v>16</v>
      </c>
      <c r="X191">
        <v>14</v>
      </c>
      <c r="Y191">
        <v>12</v>
      </c>
      <c r="Z191">
        <v>18</v>
      </c>
      <c r="AA191">
        <v>17</v>
      </c>
      <c r="AB191">
        <v>19</v>
      </c>
      <c r="AC191">
        <v>20</v>
      </c>
      <c r="AD191">
        <v>17</v>
      </c>
      <c r="AE191">
        <v>19</v>
      </c>
      <c r="AF191">
        <v>22</v>
      </c>
      <c r="AG191">
        <v>19</v>
      </c>
      <c r="AH191">
        <v>18</v>
      </c>
      <c r="AI191">
        <v>23</v>
      </c>
      <c r="AJ191">
        <v>9</v>
      </c>
      <c r="AK191">
        <v>16</v>
      </c>
      <c r="AL191">
        <v>19</v>
      </c>
      <c r="AM191">
        <v>26</v>
      </c>
      <c r="AN191">
        <v>39</v>
      </c>
      <c r="AO191">
        <v>43</v>
      </c>
      <c r="AP191">
        <v>64</v>
      </c>
      <c r="AQ191">
        <v>72</v>
      </c>
      <c r="AR191">
        <v>56</v>
      </c>
      <c r="AS191">
        <v>50</v>
      </c>
      <c r="AT191">
        <v>42</v>
      </c>
      <c r="AU191">
        <v>51</v>
      </c>
      <c r="AV191">
        <v>40</v>
      </c>
      <c r="AW191">
        <v>38</v>
      </c>
      <c r="AX191">
        <v>37</v>
      </c>
      <c r="AY191">
        <v>33</v>
      </c>
      <c r="AZ191">
        <v>34</v>
      </c>
      <c r="BA191">
        <v>31</v>
      </c>
      <c r="BB191">
        <v>48</v>
      </c>
      <c r="BC191">
        <v>47</v>
      </c>
    </row>
    <row r="192" spans="1:55" x14ac:dyDescent="0.25">
      <c r="A192" t="s">
        <v>3826</v>
      </c>
      <c r="B192" t="s">
        <v>246</v>
      </c>
      <c r="C192" t="s">
        <v>255</v>
      </c>
      <c r="D192">
        <v>314</v>
      </c>
      <c r="E192">
        <v>30.78</v>
      </c>
      <c r="F192">
        <v>27</v>
      </c>
      <c r="G192">
        <v>26</v>
      </c>
      <c r="H192">
        <v>26</v>
      </c>
      <c r="I192">
        <v>33</v>
      </c>
      <c r="J192">
        <v>33</v>
      </c>
      <c r="K192">
        <v>34</v>
      </c>
      <c r="L192">
        <v>39</v>
      </c>
      <c r="M192">
        <v>35</v>
      </c>
      <c r="N192">
        <v>36</v>
      </c>
      <c r="O192">
        <v>35</v>
      </c>
      <c r="P192">
        <v>29</v>
      </c>
      <c r="Q192">
        <v>31</v>
      </c>
      <c r="R192">
        <v>27</v>
      </c>
      <c r="S192">
        <v>24</v>
      </c>
      <c r="T192">
        <v>19</v>
      </c>
      <c r="U192">
        <v>18</v>
      </c>
      <c r="V192">
        <v>15</v>
      </c>
      <c r="W192">
        <v>18</v>
      </c>
      <c r="X192">
        <v>16</v>
      </c>
      <c r="Y192">
        <v>14</v>
      </c>
      <c r="Z192">
        <v>16</v>
      </c>
      <c r="AA192">
        <v>20</v>
      </c>
      <c r="AB192">
        <v>18</v>
      </c>
      <c r="AC192">
        <v>19</v>
      </c>
      <c r="AD192">
        <v>16</v>
      </c>
      <c r="AE192">
        <v>21</v>
      </c>
      <c r="AF192">
        <v>22</v>
      </c>
      <c r="AG192">
        <v>19</v>
      </c>
      <c r="AH192">
        <v>24</v>
      </c>
      <c r="AI192">
        <v>25</v>
      </c>
      <c r="AJ192">
        <v>8</v>
      </c>
      <c r="AK192">
        <v>12</v>
      </c>
      <c r="AL192">
        <v>18</v>
      </c>
      <c r="AM192">
        <v>24</v>
      </c>
      <c r="AN192">
        <v>36</v>
      </c>
      <c r="AO192">
        <v>44</v>
      </c>
      <c r="AP192">
        <v>62</v>
      </c>
      <c r="AQ192">
        <v>70</v>
      </c>
      <c r="AR192">
        <v>59</v>
      </c>
      <c r="AS192">
        <v>49</v>
      </c>
      <c r="AT192">
        <v>48</v>
      </c>
      <c r="AU192">
        <v>45</v>
      </c>
      <c r="AV192">
        <v>41</v>
      </c>
      <c r="AW192">
        <v>37</v>
      </c>
      <c r="AX192">
        <v>41</v>
      </c>
      <c r="AY192">
        <v>34</v>
      </c>
      <c r="AZ192">
        <v>34</v>
      </c>
      <c r="BA192">
        <v>35</v>
      </c>
      <c r="BB192">
        <v>57</v>
      </c>
      <c r="BC192">
        <v>50</v>
      </c>
    </row>
    <row r="193" spans="1:55" x14ac:dyDescent="0.25">
      <c r="A193" t="s">
        <v>3827</v>
      </c>
      <c r="B193" t="s">
        <v>164</v>
      </c>
      <c r="C193" t="s">
        <v>255</v>
      </c>
      <c r="D193">
        <v>61</v>
      </c>
      <c r="E193">
        <v>27.76</v>
      </c>
      <c r="F193">
        <v>23</v>
      </c>
      <c r="G193">
        <v>12</v>
      </c>
      <c r="H193">
        <v>18</v>
      </c>
      <c r="I193">
        <v>28</v>
      </c>
      <c r="J193">
        <v>31</v>
      </c>
      <c r="K193">
        <v>23</v>
      </c>
      <c r="L193">
        <v>39</v>
      </c>
      <c r="M193">
        <v>42</v>
      </c>
      <c r="N193">
        <v>33</v>
      </c>
      <c r="O193">
        <v>30</v>
      </c>
      <c r="P193">
        <v>29</v>
      </c>
      <c r="Q193">
        <v>18</v>
      </c>
      <c r="R193">
        <v>25</v>
      </c>
      <c r="S193">
        <v>21</v>
      </c>
      <c r="T193">
        <v>12</v>
      </c>
      <c r="U193">
        <v>16</v>
      </c>
      <c r="V193">
        <v>9</v>
      </c>
      <c r="W193">
        <v>10</v>
      </c>
      <c r="X193">
        <v>8</v>
      </c>
      <c r="Y193">
        <v>11</v>
      </c>
      <c r="Z193">
        <v>16</v>
      </c>
      <c r="AA193">
        <v>12</v>
      </c>
      <c r="AB193">
        <v>14</v>
      </c>
      <c r="AC193">
        <v>17</v>
      </c>
      <c r="AD193">
        <v>13</v>
      </c>
      <c r="AE193">
        <v>18</v>
      </c>
      <c r="AF193">
        <v>21</v>
      </c>
      <c r="AG193">
        <v>16</v>
      </c>
      <c r="AH193">
        <v>15</v>
      </c>
      <c r="AI193">
        <v>29</v>
      </c>
      <c r="AJ193">
        <v>9</v>
      </c>
      <c r="AK193">
        <v>12</v>
      </c>
      <c r="AL193">
        <v>25</v>
      </c>
      <c r="AM193">
        <v>19</v>
      </c>
      <c r="AN193">
        <v>27</v>
      </c>
      <c r="AO193">
        <v>32</v>
      </c>
      <c r="AP193">
        <v>59</v>
      </c>
      <c r="AQ193">
        <v>62</v>
      </c>
      <c r="AR193">
        <v>51</v>
      </c>
      <c r="AS193">
        <v>43</v>
      </c>
      <c r="AT193">
        <v>47</v>
      </c>
      <c r="AU193">
        <v>50</v>
      </c>
      <c r="AV193">
        <v>38</v>
      </c>
      <c r="AW193">
        <v>34</v>
      </c>
      <c r="AX193">
        <v>44</v>
      </c>
      <c r="AY193">
        <v>39</v>
      </c>
      <c r="AZ193">
        <v>43</v>
      </c>
      <c r="BA193">
        <v>33</v>
      </c>
      <c r="BB193">
        <v>54</v>
      </c>
      <c r="BC193">
        <v>58</v>
      </c>
    </row>
    <row r="194" spans="1:55" x14ac:dyDescent="0.25">
      <c r="A194" t="s">
        <v>3828</v>
      </c>
      <c r="B194" t="s">
        <v>165</v>
      </c>
      <c r="C194" t="s">
        <v>255</v>
      </c>
      <c r="D194">
        <v>269</v>
      </c>
      <c r="E194">
        <v>46</v>
      </c>
      <c r="F194">
        <v>42</v>
      </c>
      <c r="G194">
        <v>45</v>
      </c>
      <c r="H194">
        <v>45</v>
      </c>
      <c r="I194">
        <v>48</v>
      </c>
      <c r="J194">
        <v>48</v>
      </c>
      <c r="K194">
        <v>53</v>
      </c>
      <c r="L194">
        <v>59</v>
      </c>
      <c r="M194">
        <v>63</v>
      </c>
      <c r="N194">
        <v>56</v>
      </c>
      <c r="O194">
        <v>54</v>
      </c>
      <c r="P194">
        <v>51</v>
      </c>
      <c r="Q194">
        <v>50</v>
      </c>
      <c r="R194">
        <v>43</v>
      </c>
      <c r="S194">
        <v>36</v>
      </c>
      <c r="T194">
        <v>24</v>
      </c>
      <c r="U194">
        <v>29</v>
      </c>
      <c r="V194">
        <v>28</v>
      </c>
      <c r="W194">
        <v>26</v>
      </c>
      <c r="X194">
        <v>23</v>
      </c>
      <c r="Y194">
        <v>21</v>
      </c>
      <c r="Z194">
        <v>34</v>
      </c>
      <c r="AA194">
        <v>29</v>
      </c>
      <c r="AB194">
        <v>28</v>
      </c>
      <c r="AC194">
        <v>30</v>
      </c>
      <c r="AD194">
        <v>27</v>
      </c>
      <c r="AE194">
        <v>34</v>
      </c>
      <c r="AF194">
        <v>41</v>
      </c>
      <c r="AG194">
        <v>31</v>
      </c>
      <c r="AH194">
        <v>34</v>
      </c>
      <c r="AI194">
        <v>46</v>
      </c>
      <c r="AJ194">
        <v>18</v>
      </c>
      <c r="AK194">
        <v>21</v>
      </c>
      <c r="AL194">
        <v>31</v>
      </c>
      <c r="AM194">
        <v>44</v>
      </c>
      <c r="AN194">
        <v>62</v>
      </c>
      <c r="AO194">
        <v>65</v>
      </c>
      <c r="AP194">
        <v>80</v>
      </c>
      <c r="AQ194">
        <v>81</v>
      </c>
      <c r="AR194">
        <v>72</v>
      </c>
      <c r="AS194">
        <v>58</v>
      </c>
      <c r="AT194">
        <v>67</v>
      </c>
      <c r="AU194">
        <v>63</v>
      </c>
      <c r="AV194">
        <v>56</v>
      </c>
      <c r="AW194">
        <v>47</v>
      </c>
      <c r="AX194">
        <v>53</v>
      </c>
      <c r="AY194">
        <v>53</v>
      </c>
      <c r="AZ194">
        <v>47</v>
      </c>
      <c r="BA194">
        <v>50</v>
      </c>
      <c r="BB194">
        <v>82</v>
      </c>
      <c r="BC194">
        <v>72</v>
      </c>
    </row>
    <row r="195" spans="1:55" x14ac:dyDescent="0.25">
      <c r="A195" t="s">
        <v>3829</v>
      </c>
      <c r="B195" t="s">
        <v>166</v>
      </c>
      <c r="C195" t="s">
        <v>255</v>
      </c>
      <c r="D195">
        <v>135</v>
      </c>
      <c r="E195">
        <v>26.78</v>
      </c>
      <c r="F195">
        <v>24</v>
      </c>
      <c r="G195">
        <v>14</v>
      </c>
      <c r="H195">
        <v>13</v>
      </c>
      <c r="I195">
        <v>27</v>
      </c>
      <c r="J195">
        <v>22</v>
      </c>
      <c r="K195">
        <v>27</v>
      </c>
      <c r="L195">
        <v>33</v>
      </c>
      <c r="M195">
        <v>26</v>
      </c>
      <c r="N195">
        <v>31</v>
      </c>
      <c r="O195">
        <v>29</v>
      </c>
      <c r="P195">
        <v>34</v>
      </c>
      <c r="Q195">
        <v>31</v>
      </c>
      <c r="R195">
        <v>31</v>
      </c>
      <c r="S195">
        <v>29</v>
      </c>
      <c r="T195">
        <v>14</v>
      </c>
      <c r="U195">
        <v>18</v>
      </c>
      <c r="V195">
        <v>12</v>
      </c>
      <c r="W195">
        <v>9</v>
      </c>
      <c r="X195">
        <v>7</v>
      </c>
      <c r="Y195">
        <v>14</v>
      </c>
      <c r="Z195">
        <v>15</v>
      </c>
      <c r="AA195">
        <v>13</v>
      </c>
      <c r="AB195">
        <v>12</v>
      </c>
      <c r="AC195">
        <v>18</v>
      </c>
      <c r="AD195">
        <v>8</v>
      </c>
      <c r="AE195">
        <v>14</v>
      </c>
      <c r="AF195">
        <v>21</v>
      </c>
      <c r="AG195">
        <v>12</v>
      </c>
      <c r="AH195">
        <v>12</v>
      </c>
      <c r="AI195">
        <v>21</v>
      </c>
      <c r="AJ195">
        <v>5</v>
      </c>
      <c r="AK195">
        <v>8</v>
      </c>
      <c r="AL195">
        <v>12</v>
      </c>
      <c r="AM195">
        <v>15</v>
      </c>
      <c r="AN195">
        <v>29</v>
      </c>
      <c r="AO195">
        <v>32</v>
      </c>
      <c r="AP195">
        <v>57</v>
      </c>
      <c r="AQ195">
        <v>81</v>
      </c>
      <c r="AR195">
        <v>62</v>
      </c>
      <c r="AS195">
        <v>51</v>
      </c>
      <c r="AT195">
        <v>53</v>
      </c>
      <c r="AU195">
        <v>43</v>
      </c>
      <c r="AV195">
        <v>39</v>
      </c>
      <c r="AW195">
        <v>36</v>
      </c>
      <c r="AX195">
        <v>38</v>
      </c>
      <c r="AY195">
        <v>33</v>
      </c>
      <c r="AZ195">
        <v>27</v>
      </c>
      <c r="BA195">
        <v>30</v>
      </c>
      <c r="BB195">
        <v>52</v>
      </c>
      <c r="BC195">
        <v>45</v>
      </c>
    </row>
    <row r="196" spans="1:55" x14ac:dyDescent="0.25">
      <c r="A196" t="s">
        <v>3830</v>
      </c>
      <c r="B196" t="s">
        <v>167</v>
      </c>
      <c r="C196" t="s">
        <v>255</v>
      </c>
      <c r="D196">
        <v>285</v>
      </c>
      <c r="E196">
        <v>29.1</v>
      </c>
      <c r="F196">
        <v>31</v>
      </c>
      <c r="G196">
        <v>17</v>
      </c>
      <c r="H196">
        <v>28</v>
      </c>
      <c r="I196">
        <v>30</v>
      </c>
      <c r="J196">
        <v>41</v>
      </c>
      <c r="K196">
        <v>30</v>
      </c>
      <c r="L196">
        <v>45</v>
      </c>
      <c r="M196">
        <v>36</v>
      </c>
      <c r="N196">
        <v>36</v>
      </c>
      <c r="O196">
        <v>37</v>
      </c>
      <c r="P196">
        <v>40</v>
      </c>
      <c r="Q196">
        <v>36</v>
      </c>
      <c r="R196">
        <v>32</v>
      </c>
      <c r="S196">
        <v>27</v>
      </c>
      <c r="T196">
        <v>17</v>
      </c>
      <c r="U196">
        <v>14</v>
      </c>
      <c r="V196">
        <v>15</v>
      </c>
      <c r="W196">
        <v>12</v>
      </c>
      <c r="X196">
        <v>10</v>
      </c>
      <c r="Y196">
        <v>10</v>
      </c>
      <c r="Z196">
        <v>13</v>
      </c>
      <c r="AA196">
        <v>10</v>
      </c>
      <c r="AB196">
        <v>13</v>
      </c>
      <c r="AC196">
        <v>11</v>
      </c>
      <c r="AD196">
        <v>10</v>
      </c>
      <c r="AE196">
        <v>10</v>
      </c>
      <c r="AF196">
        <v>12</v>
      </c>
      <c r="AG196">
        <v>9</v>
      </c>
      <c r="AH196">
        <v>13</v>
      </c>
      <c r="AI196">
        <v>18</v>
      </c>
      <c r="AJ196">
        <v>7</v>
      </c>
      <c r="AK196">
        <v>6</v>
      </c>
      <c r="AL196">
        <v>15</v>
      </c>
      <c r="AM196">
        <v>12</v>
      </c>
      <c r="AN196">
        <v>24</v>
      </c>
      <c r="AO196">
        <v>38</v>
      </c>
      <c r="AP196">
        <v>62</v>
      </c>
      <c r="AQ196">
        <v>76</v>
      </c>
      <c r="AR196">
        <v>61</v>
      </c>
      <c r="AS196">
        <v>57</v>
      </c>
      <c r="AT196">
        <v>44</v>
      </c>
      <c r="AU196">
        <v>49</v>
      </c>
      <c r="AV196">
        <v>46</v>
      </c>
      <c r="AW196">
        <v>39</v>
      </c>
      <c r="AX196">
        <v>43</v>
      </c>
      <c r="AY196">
        <v>38</v>
      </c>
      <c r="AZ196">
        <v>31</v>
      </c>
      <c r="BA196">
        <v>36</v>
      </c>
      <c r="BB196">
        <v>59</v>
      </c>
      <c r="BC196">
        <v>49</v>
      </c>
    </row>
    <row r="197" spans="1:55" x14ac:dyDescent="0.25">
      <c r="A197" t="s">
        <v>3831</v>
      </c>
      <c r="B197" t="s">
        <v>247</v>
      </c>
      <c r="C197" t="s">
        <v>255</v>
      </c>
      <c r="D197">
        <v>240</v>
      </c>
      <c r="E197">
        <v>42.8</v>
      </c>
      <c r="F197">
        <v>39</v>
      </c>
      <c r="G197">
        <v>37</v>
      </c>
      <c r="H197">
        <v>51</v>
      </c>
      <c r="I197">
        <v>50</v>
      </c>
      <c r="J197">
        <v>52</v>
      </c>
      <c r="K197">
        <v>43</v>
      </c>
      <c r="L197">
        <v>46</v>
      </c>
      <c r="M197">
        <v>43</v>
      </c>
      <c r="N197">
        <v>50</v>
      </c>
      <c r="O197">
        <v>43</v>
      </c>
      <c r="P197">
        <v>44</v>
      </c>
      <c r="Q197">
        <v>45</v>
      </c>
      <c r="R197">
        <v>50</v>
      </c>
      <c r="S197">
        <v>40</v>
      </c>
      <c r="T197">
        <v>28</v>
      </c>
      <c r="U197">
        <v>40</v>
      </c>
      <c r="V197">
        <v>31</v>
      </c>
      <c r="W197">
        <v>29</v>
      </c>
      <c r="X197">
        <v>28</v>
      </c>
      <c r="Y197">
        <v>26</v>
      </c>
      <c r="Z197">
        <v>28</v>
      </c>
      <c r="AA197">
        <v>31</v>
      </c>
      <c r="AB197">
        <v>26</v>
      </c>
      <c r="AC197">
        <v>30</v>
      </c>
      <c r="AD197">
        <v>23</v>
      </c>
      <c r="AE197">
        <v>30</v>
      </c>
      <c r="AF197">
        <v>28</v>
      </c>
      <c r="AG197">
        <v>36</v>
      </c>
      <c r="AH197">
        <v>31</v>
      </c>
      <c r="AI197">
        <v>37</v>
      </c>
      <c r="AJ197">
        <v>5</v>
      </c>
      <c r="AK197">
        <v>15</v>
      </c>
      <c r="AL197">
        <v>18</v>
      </c>
      <c r="AM197">
        <v>21</v>
      </c>
      <c r="AN197">
        <v>42</v>
      </c>
      <c r="AO197">
        <v>52</v>
      </c>
      <c r="AP197">
        <v>74</v>
      </c>
      <c r="AQ197">
        <v>81</v>
      </c>
      <c r="AR197">
        <v>77</v>
      </c>
      <c r="AS197">
        <v>63</v>
      </c>
      <c r="AT197">
        <v>65</v>
      </c>
      <c r="AU197">
        <v>69</v>
      </c>
      <c r="AV197">
        <v>63</v>
      </c>
      <c r="AW197">
        <v>50</v>
      </c>
      <c r="AX197">
        <v>63</v>
      </c>
      <c r="AY197">
        <v>53</v>
      </c>
      <c r="AZ197">
        <v>44</v>
      </c>
      <c r="BA197">
        <v>45</v>
      </c>
      <c r="BB197">
        <v>63</v>
      </c>
      <c r="BC197">
        <v>62</v>
      </c>
    </row>
    <row r="198" spans="1:55" x14ac:dyDescent="0.25">
      <c r="A198" t="s">
        <v>3832</v>
      </c>
      <c r="B198" t="s">
        <v>169</v>
      </c>
      <c r="C198" t="s">
        <v>255</v>
      </c>
      <c r="D198">
        <v>146</v>
      </c>
      <c r="E198">
        <v>48.46</v>
      </c>
      <c r="F198">
        <v>42</v>
      </c>
      <c r="G198">
        <v>43</v>
      </c>
      <c r="H198">
        <v>52</v>
      </c>
      <c r="I198">
        <v>62</v>
      </c>
      <c r="J198">
        <v>62</v>
      </c>
      <c r="K198">
        <v>62</v>
      </c>
      <c r="L198">
        <v>60</v>
      </c>
      <c r="M198">
        <v>60</v>
      </c>
      <c r="N198">
        <v>62</v>
      </c>
      <c r="O198">
        <v>66</v>
      </c>
      <c r="P198">
        <v>53</v>
      </c>
      <c r="Q198">
        <v>54</v>
      </c>
      <c r="R198">
        <v>52</v>
      </c>
      <c r="S198">
        <v>41</v>
      </c>
      <c r="T198">
        <v>38</v>
      </c>
      <c r="U198">
        <v>32</v>
      </c>
      <c r="V198">
        <v>30</v>
      </c>
      <c r="W198">
        <v>29</v>
      </c>
      <c r="X198">
        <v>30</v>
      </c>
      <c r="Y198">
        <v>34</v>
      </c>
      <c r="Z198">
        <v>33</v>
      </c>
      <c r="AA198">
        <v>30</v>
      </c>
      <c r="AB198">
        <v>32</v>
      </c>
      <c r="AC198">
        <v>36</v>
      </c>
      <c r="AD198">
        <v>28</v>
      </c>
      <c r="AE198">
        <v>35</v>
      </c>
      <c r="AF198">
        <v>35</v>
      </c>
      <c r="AG198">
        <v>34</v>
      </c>
      <c r="AH198">
        <v>31</v>
      </c>
      <c r="AI198">
        <v>47</v>
      </c>
      <c r="AJ198">
        <v>11</v>
      </c>
      <c r="AK198">
        <v>20</v>
      </c>
      <c r="AL198">
        <v>31</v>
      </c>
      <c r="AM198">
        <v>34</v>
      </c>
      <c r="AN198">
        <v>56</v>
      </c>
      <c r="AO198">
        <v>62</v>
      </c>
      <c r="AP198">
        <v>75</v>
      </c>
      <c r="AQ198">
        <v>84</v>
      </c>
      <c r="AR198">
        <v>78</v>
      </c>
      <c r="AS198">
        <v>67</v>
      </c>
      <c r="AT198">
        <v>69</v>
      </c>
      <c r="AU198">
        <v>67</v>
      </c>
      <c r="AV198">
        <v>58</v>
      </c>
      <c r="AW198">
        <v>56</v>
      </c>
      <c r="AX198">
        <v>58</v>
      </c>
      <c r="AY198">
        <v>56</v>
      </c>
      <c r="AZ198">
        <v>51</v>
      </c>
      <c r="BA198">
        <v>51</v>
      </c>
      <c r="BB198">
        <v>67</v>
      </c>
      <c r="BC198">
        <v>67</v>
      </c>
    </row>
    <row r="199" spans="1:55" x14ac:dyDescent="0.25">
      <c r="A199" t="s">
        <v>3833</v>
      </c>
      <c r="B199" t="s">
        <v>170</v>
      </c>
      <c r="C199" t="s">
        <v>255</v>
      </c>
      <c r="D199">
        <v>1097</v>
      </c>
      <c r="E199">
        <v>18.579999999999998</v>
      </c>
      <c r="F199">
        <v>10</v>
      </c>
      <c r="G199">
        <v>11</v>
      </c>
      <c r="H199">
        <v>17</v>
      </c>
      <c r="I199">
        <v>18</v>
      </c>
      <c r="J199">
        <v>15</v>
      </c>
      <c r="K199">
        <v>16</v>
      </c>
      <c r="L199">
        <v>19</v>
      </c>
      <c r="M199">
        <v>20</v>
      </c>
      <c r="N199">
        <v>20</v>
      </c>
      <c r="O199">
        <v>18</v>
      </c>
      <c r="P199">
        <v>21</v>
      </c>
      <c r="Q199">
        <v>15</v>
      </c>
      <c r="R199">
        <v>15</v>
      </c>
      <c r="S199">
        <v>14</v>
      </c>
      <c r="T199">
        <v>9</v>
      </c>
      <c r="U199">
        <v>10</v>
      </c>
      <c r="V199">
        <v>8</v>
      </c>
      <c r="W199">
        <v>8</v>
      </c>
      <c r="X199">
        <v>7</v>
      </c>
      <c r="Y199">
        <v>9</v>
      </c>
      <c r="Z199">
        <v>9</v>
      </c>
      <c r="AA199">
        <v>9</v>
      </c>
      <c r="AB199">
        <v>9</v>
      </c>
      <c r="AC199">
        <v>9</v>
      </c>
      <c r="AD199">
        <v>8</v>
      </c>
      <c r="AE199">
        <v>11</v>
      </c>
      <c r="AF199">
        <v>11</v>
      </c>
      <c r="AG199">
        <v>10</v>
      </c>
      <c r="AH199">
        <v>9</v>
      </c>
      <c r="AI199">
        <v>11</v>
      </c>
      <c r="AJ199">
        <v>4</v>
      </c>
      <c r="AK199">
        <v>7</v>
      </c>
      <c r="AL199">
        <v>9</v>
      </c>
      <c r="AM199">
        <v>12</v>
      </c>
      <c r="AN199">
        <v>24</v>
      </c>
      <c r="AO199">
        <v>31</v>
      </c>
      <c r="AP199">
        <v>46</v>
      </c>
      <c r="AQ199">
        <v>57</v>
      </c>
      <c r="AR199">
        <v>45</v>
      </c>
      <c r="AS199">
        <v>37</v>
      </c>
      <c r="AT199">
        <v>33</v>
      </c>
      <c r="AU199">
        <v>30</v>
      </c>
      <c r="AV199">
        <v>28</v>
      </c>
      <c r="AW199">
        <v>23</v>
      </c>
      <c r="AX199">
        <v>29</v>
      </c>
      <c r="AY199">
        <v>21</v>
      </c>
      <c r="AZ199">
        <v>22</v>
      </c>
      <c r="BA199">
        <v>23</v>
      </c>
      <c r="BB199">
        <v>37</v>
      </c>
      <c r="BC199">
        <v>35</v>
      </c>
    </row>
    <row r="200" spans="1:55" x14ac:dyDescent="0.25">
      <c r="A200" t="s">
        <v>3834</v>
      </c>
      <c r="B200" t="s">
        <v>45</v>
      </c>
      <c r="C200" t="s">
        <v>88</v>
      </c>
      <c r="D200">
        <v>22933</v>
      </c>
      <c r="E200">
        <v>44.74</v>
      </c>
      <c r="F200">
        <v>16</v>
      </c>
      <c r="G200">
        <v>27</v>
      </c>
      <c r="H200">
        <v>29</v>
      </c>
      <c r="I200">
        <v>32</v>
      </c>
      <c r="J200">
        <v>33</v>
      </c>
      <c r="K200">
        <v>33</v>
      </c>
      <c r="L200">
        <v>35</v>
      </c>
      <c r="M200">
        <v>33</v>
      </c>
      <c r="N200">
        <v>32</v>
      </c>
      <c r="O200">
        <v>32</v>
      </c>
      <c r="P200">
        <v>36</v>
      </c>
      <c r="Q200">
        <v>37</v>
      </c>
      <c r="R200">
        <v>38</v>
      </c>
      <c r="S200">
        <v>38</v>
      </c>
      <c r="T200">
        <v>38</v>
      </c>
      <c r="U200">
        <v>39</v>
      </c>
      <c r="V200">
        <v>42</v>
      </c>
      <c r="W200">
        <v>43</v>
      </c>
      <c r="X200">
        <v>43</v>
      </c>
      <c r="Y200">
        <v>48</v>
      </c>
      <c r="Z200">
        <v>48</v>
      </c>
      <c r="AA200">
        <v>51</v>
      </c>
      <c r="AB200">
        <v>56</v>
      </c>
      <c r="AC200">
        <v>60</v>
      </c>
      <c r="AD200">
        <v>61</v>
      </c>
      <c r="AE200">
        <v>62</v>
      </c>
      <c r="AF200">
        <v>61</v>
      </c>
      <c r="AG200">
        <v>59</v>
      </c>
      <c r="AH200">
        <v>56</v>
      </c>
      <c r="AI200">
        <v>55</v>
      </c>
      <c r="AJ200">
        <v>26</v>
      </c>
      <c r="AK200">
        <v>37</v>
      </c>
      <c r="AL200">
        <v>38</v>
      </c>
      <c r="AM200">
        <v>43</v>
      </c>
      <c r="AN200">
        <v>59</v>
      </c>
      <c r="AO200">
        <v>61</v>
      </c>
      <c r="AP200">
        <v>56</v>
      </c>
      <c r="AQ200">
        <v>56</v>
      </c>
      <c r="AR200">
        <v>60</v>
      </c>
      <c r="AS200">
        <v>62</v>
      </c>
      <c r="AT200">
        <v>58</v>
      </c>
      <c r="AU200">
        <v>56</v>
      </c>
      <c r="AV200">
        <v>54</v>
      </c>
      <c r="AW200">
        <v>51</v>
      </c>
      <c r="AX200">
        <v>46</v>
      </c>
      <c r="AY200">
        <v>45</v>
      </c>
      <c r="AZ200">
        <v>44</v>
      </c>
      <c r="BA200">
        <v>40</v>
      </c>
      <c r="BB200">
        <v>36</v>
      </c>
      <c r="BC200">
        <v>36</v>
      </c>
    </row>
    <row r="201" spans="1:55" x14ac:dyDescent="0.25">
      <c r="A201" t="s">
        <v>3835</v>
      </c>
      <c r="B201" t="s">
        <v>110</v>
      </c>
      <c r="C201" t="s">
        <v>88</v>
      </c>
      <c r="D201">
        <v>5680</v>
      </c>
      <c r="E201">
        <v>40</v>
      </c>
      <c r="F201">
        <v>10</v>
      </c>
      <c r="G201">
        <v>22</v>
      </c>
      <c r="H201">
        <v>26</v>
      </c>
      <c r="I201">
        <v>28</v>
      </c>
      <c r="J201">
        <v>29</v>
      </c>
      <c r="K201">
        <v>28</v>
      </c>
      <c r="L201">
        <v>30</v>
      </c>
      <c r="M201">
        <v>26</v>
      </c>
      <c r="N201">
        <v>24</v>
      </c>
      <c r="O201">
        <v>25</v>
      </c>
      <c r="P201">
        <v>28</v>
      </c>
      <c r="Q201">
        <v>30</v>
      </c>
      <c r="R201">
        <v>31</v>
      </c>
      <c r="S201">
        <v>30</v>
      </c>
      <c r="T201">
        <v>31</v>
      </c>
      <c r="U201">
        <v>32</v>
      </c>
      <c r="V201">
        <v>34</v>
      </c>
      <c r="W201">
        <v>35</v>
      </c>
      <c r="X201">
        <v>36</v>
      </c>
      <c r="Y201">
        <v>40</v>
      </c>
      <c r="Z201">
        <v>41</v>
      </c>
      <c r="AA201">
        <v>46</v>
      </c>
      <c r="AB201">
        <v>54</v>
      </c>
      <c r="AC201">
        <v>60</v>
      </c>
      <c r="AD201">
        <v>60</v>
      </c>
      <c r="AE201">
        <v>61</v>
      </c>
      <c r="AF201">
        <v>58</v>
      </c>
      <c r="AG201">
        <v>55</v>
      </c>
      <c r="AH201">
        <v>48</v>
      </c>
      <c r="AI201">
        <v>46</v>
      </c>
      <c r="AJ201">
        <v>21</v>
      </c>
      <c r="AK201">
        <v>30</v>
      </c>
      <c r="AL201">
        <v>34</v>
      </c>
      <c r="AM201">
        <v>39</v>
      </c>
      <c r="AN201">
        <v>56</v>
      </c>
      <c r="AO201">
        <v>59</v>
      </c>
      <c r="AP201">
        <v>52</v>
      </c>
      <c r="AQ201">
        <v>54</v>
      </c>
      <c r="AR201">
        <v>61</v>
      </c>
      <c r="AS201">
        <v>63</v>
      </c>
      <c r="AT201">
        <v>57</v>
      </c>
      <c r="AU201">
        <v>54</v>
      </c>
      <c r="AV201">
        <v>51</v>
      </c>
      <c r="AW201">
        <v>46</v>
      </c>
      <c r="AX201">
        <v>40</v>
      </c>
      <c r="AY201">
        <v>39</v>
      </c>
      <c r="AZ201">
        <v>39</v>
      </c>
      <c r="BA201">
        <v>35</v>
      </c>
      <c r="BB201">
        <v>32</v>
      </c>
      <c r="BC201">
        <v>34</v>
      </c>
    </row>
    <row r="202" spans="1:55" x14ac:dyDescent="0.25">
      <c r="A202" t="s">
        <v>3836</v>
      </c>
      <c r="B202" t="s">
        <v>111</v>
      </c>
      <c r="C202" t="s">
        <v>88</v>
      </c>
      <c r="D202">
        <v>64</v>
      </c>
      <c r="E202">
        <v>39.96</v>
      </c>
      <c r="F202">
        <v>4</v>
      </c>
      <c r="G202">
        <v>15</v>
      </c>
      <c r="H202">
        <v>20</v>
      </c>
      <c r="I202">
        <v>17</v>
      </c>
      <c r="J202">
        <v>20</v>
      </c>
      <c r="K202">
        <v>24</v>
      </c>
      <c r="L202">
        <v>27</v>
      </c>
      <c r="M202">
        <v>24</v>
      </c>
      <c r="N202">
        <v>24</v>
      </c>
      <c r="O202">
        <v>29</v>
      </c>
      <c r="P202">
        <v>25</v>
      </c>
      <c r="Q202">
        <v>35</v>
      </c>
      <c r="R202">
        <v>30</v>
      </c>
      <c r="S202">
        <v>25</v>
      </c>
      <c r="T202">
        <v>39</v>
      </c>
      <c r="U202">
        <v>34</v>
      </c>
      <c r="V202">
        <v>33</v>
      </c>
      <c r="W202">
        <v>30</v>
      </c>
      <c r="X202">
        <v>34</v>
      </c>
      <c r="Y202">
        <v>40</v>
      </c>
      <c r="Z202">
        <v>35</v>
      </c>
      <c r="AA202">
        <v>39</v>
      </c>
      <c r="AB202">
        <v>58</v>
      </c>
      <c r="AC202">
        <v>53</v>
      </c>
      <c r="AD202">
        <v>58</v>
      </c>
      <c r="AE202">
        <v>62</v>
      </c>
      <c r="AF202">
        <v>59</v>
      </c>
      <c r="AG202">
        <v>65</v>
      </c>
      <c r="AH202">
        <v>57</v>
      </c>
      <c r="AI202">
        <v>59</v>
      </c>
      <c r="AJ202">
        <v>43</v>
      </c>
      <c r="AK202">
        <v>32</v>
      </c>
      <c r="AL202">
        <v>39</v>
      </c>
      <c r="AM202">
        <v>50</v>
      </c>
      <c r="AN202">
        <v>65</v>
      </c>
      <c r="AO202">
        <v>66</v>
      </c>
      <c r="AP202">
        <v>59</v>
      </c>
      <c r="AQ202">
        <v>46</v>
      </c>
      <c r="AR202">
        <v>54</v>
      </c>
      <c r="AS202">
        <v>58</v>
      </c>
      <c r="AT202">
        <v>57</v>
      </c>
      <c r="AU202">
        <v>50</v>
      </c>
      <c r="AV202">
        <v>53</v>
      </c>
      <c r="AW202">
        <v>43</v>
      </c>
      <c r="AX202">
        <v>29</v>
      </c>
      <c r="AY202">
        <v>45</v>
      </c>
      <c r="AZ202">
        <v>36</v>
      </c>
      <c r="BA202">
        <v>43</v>
      </c>
      <c r="BB202">
        <v>21</v>
      </c>
      <c r="BC202">
        <v>35</v>
      </c>
    </row>
    <row r="203" spans="1:55" x14ac:dyDescent="0.25">
      <c r="A203" t="s">
        <v>3837</v>
      </c>
      <c r="B203" t="s">
        <v>112</v>
      </c>
      <c r="C203" t="s">
        <v>88</v>
      </c>
      <c r="D203">
        <v>221</v>
      </c>
      <c r="E203">
        <v>42.42</v>
      </c>
      <c r="F203">
        <v>9</v>
      </c>
      <c r="G203">
        <v>16</v>
      </c>
      <c r="H203">
        <v>21</v>
      </c>
      <c r="I203">
        <v>19</v>
      </c>
      <c r="J203">
        <v>22</v>
      </c>
      <c r="K203">
        <v>26</v>
      </c>
      <c r="L203">
        <v>25</v>
      </c>
      <c r="M203">
        <v>26</v>
      </c>
      <c r="N203">
        <v>28</v>
      </c>
      <c r="O203">
        <v>26</v>
      </c>
      <c r="P203">
        <v>33</v>
      </c>
      <c r="Q203">
        <v>31</v>
      </c>
      <c r="R203">
        <v>28</v>
      </c>
      <c r="S203">
        <v>31</v>
      </c>
      <c r="T203">
        <v>34</v>
      </c>
      <c r="U203">
        <v>34</v>
      </c>
      <c r="V203">
        <v>38</v>
      </c>
      <c r="W203">
        <v>38</v>
      </c>
      <c r="X203">
        <v>38</v>
      </c>
      <c r="Y203">
        <v>44</v>
      </c>
      <c r="Z203">
        <v>48</v>
      </c>
      <c r="AA203">
        <v>49</v>
      </c>
      <c r="AB203">
        <v>53</v>
      </c>
      <c r="AC203">
        <v>56</v>
      </c>
      <c r="AD203">
        <v>59</v>
      </c>
      <c r="AE203">
        <v>61</v>
      </c>
      <c r="AF203">
        <v>59</v>
      </c>
      <c r="AG203">
        <v>56</v>
      </c>
      <c r="AH203">
        <v>54</v>
      </c>
      <c r="AI203">
        <v>55</v>
      </c>
      <c r="AJ203">
        <v>32</v>
      </c>
      <c r="AK203">
        <v>41</v>
      </c>
      <c r="AL203">
        <v>44</v>
      </c>
      <c r="AM203">
        <v>44</v>
      </c>
      <c r="AN203">
        <v>59</v>
      </c>
      <c r="AO203">
        <v>57</v>
      </c>
      <c r="AP203">
        <v>51</v>
      </c>
      <c r="AQ203">
        <v>56</v>
      </c>
      <c r="AR203">
        <v>63</v>
      </c>
      <c r="AS203">
        <v>63</v>
      </c>
      <c r="AT203">
        <v>68</v>
      </c>
      <c r="AU203">
        <v>60</v>
      </c>
      <c r="AV203">
        <v>57</v>
      </c>
      <c r="AW203">
        <v>55</v>
      </c>
      <c r="AX203">
        <v>50</v>
      </c>
      <c r="AY203">
        <v>45</v>
      </c>
      <c r="AZ203">
        <v>49</v>
      </c>
      <c r="BA203">
        <v>45</v>
      </c>
      <c r="BB203">
        <v>32</v>
      </c>
      <c r="BC203">
        <v>33</v>
      </c>
    </row>
    <row r="204" spans="1:55" x14ac:dyDescent="0.25">
      <c r="A204" t="s">
        <v>3838</v>
      </c>
      <c r="B204" t="s">
        <v>113</v>
      </c>
      <c r="C204" t="s">
        <v>88</v>
      </c>
      <c r="D204">
        <v>106</v>
      </c>
      <c r="E204">
        <v>31.1</v>
      </c>
      <c r="F204">
        <v>6</v>
      </c>
      <c r="G204">
        <v>7</v>
      </c>
      <c r="H204">
        <v>5</v>
      </c>
      <c r="I204">
        <v>3</v>
      </c>
      <c r="J204">
        <v>12</v>
      </c>
      <c r="K204">
        <v>15</v>
      </c>
      <c r="L204">
        <v>18</v>
      </c>
      <c r="M204">
        <v>15</v>
      </c>
      <c r="N204">
        <v>14</v>
      </c>
      <c r="O204">
        <v>17</v>
      </c>
      <c r="P204">
        <v>24</v>
      </c>
      <c r="Q204">
        <v>18</v>
      </c>
      <c r="R204">
        <v>19</v>
      </c>
      <c r="S204">
        <v>27</v>
      </c>
      <c r="T204">
        <v>26</v>
      </c>
      <c r="U204">
        <v>29</v>
      </c>
      <c r="V204">
        <v>29</v>
      </c>
      <c r="W204">
        <v>31</v>
      </c>
      <c r="X204">
        <v>44</v>
      </c>
      <c r="Y204">
        <v>37</v>
      </c>
      <c r="Z204">
        <v>28</v>
      </c>
      <c r="AA204">
        <v>34</v>
      </c>
      <c r="AB204">
        <v>42</v>
      </c>
      <c r="AC204">
        <v>52</v>
      </c>
      <c r="AD204">
        <v>51</v>
      </c>
      <c r="AE204">
        <v>58</v>
      </c>
      <c r="AF204">
        <v>58</v>
      </c>
      <c r="AG204">
        <v>52</v>
      </c>
      <c r="AH204">
        <v>55</v>
      </c>
      <c r="AI204">
        <v>50</v>
      </c>
      <c r="AJ204">
        <v>10</v>
      </c>
      <c r="AK204">
        <v>27</v>
      </c>
      <c r="AL204">
        <v>19</v>
      </c>
      <c r="AM204">
        <v>25</v>
      </c>
      <c r="AN204">
        <v>43</v>
      </c>
      <c r="AO204">
        <v>43</v>
      </c>
      <c r="AP204">
        <v>40</v>
      </c>
      <c r="AQ204">
        <v>40</v>
      </c>
      <c r="AR204">
        <v>48</v>
      </c>
      <c r="AS204">
        <v>53</v>
      </c>
      <c r="AT204">
        <v>52</v>
      </c>
      <c r="AU204">
        <v>43</v>
      </c>
      <c r="AV204">
        <v>52</v>
      </c>
      <c r="AW204">
        <v>40</v>
      </c>
      <c r="AX204">
        <v>32</v>
      </c>
      <c r="AY204">
        <v>25</v>
      </c>
      <c r="AZ204">
        <v>20</v>
      </c>
      <c r="BA204">
        <v>20</v>
      </c>
      <c r="BB204">
        <v>18</v>
      </c>
      <c r="BC204">
        <v>29</v>
      </c>
    </row>
    <row r="205" spans="1:55" x14ac:dyDescent="0.25">
      <c r="A205" t="s">
        <v>3839</v>
      </c>
      <c r="B205" t="s">
        <v>114</v>
      </c>
      <c r="C205" t="s">
        <v>88</v>
      </c>
      <c r="D205">
        <v>222</v>
      </c>
      <c r="E205">
        <v>31.68</v>
      </c>
      <c r="F205">
        <v>7</v>
      </c>
      <c r="G205">
        <v>15</v>
      </c>
      <c r="H205">
        <v>13</v>
      </c>
      <c r="I205">
        <v>17</v>
      </c>
      <c r="J205">
        <v>16</v>
      </c>
      <c r="K205">
        <v>17</v>
      </c>
      <c r="L205">
        <v>18</v>
      </c>
      <c r="M205">
        <v>16</v>
      </c>
      <c r="N205">
        <v>16</v>
      </c>
      <c r="O205">
        <v>18</v>
      </c>
      <c r="P205">
        <v>22</v>
      </c>
      <c r="Q205">
        <v>22</v>
      </c>
      <c r="R205">
        <v>26</v>
      </c>
      <c r="S205">
        <v>23</v>
      </c>
      <c r="T205">
        <v>21</v>
      </c>
      <c r="U205">
        <v>25</v>
      </c>
      <c r="V205">
        <v>28</v>
      </c>
      <c r="W205">
        <v>29</v>
      </c>
      <c r="X205">
        <v>29</v>
      </c>
      <c r="Y205">
        <v>32</v>
      </c>
      <c r="Z205">
        <v>39</v>
      </c>
      <c r="AA205">
        <v>39</v>
      </c>
      <c r="AB205">
        <v>45</v>
      </c>
      <c r="AC205">
        <v>48</v>
      </c>
      <c r="AD205">
        <v>46</v>
      </c>
      <c r="AE205">
        <v>44</v>
      </c>
      <c r="AF205">
        <v>49</v>
      </c>
      <c r="AG205">
        <v>48</v>
      </c>
      <c r="AH205">
        <v>39</v>
      </c>
      <c r="AI205">
        <v>37</v>
      </c>
      <c r="AJ205">
        <v>11</v>
      </c>
      <c r="AK205">
        <v>25</v>
      </c>
      <c r="AL205">
        <v>26</v>
      </c>
      <c r="AM205">
        <v>31</v>
      </c>
      <c r="AN205">
        <v>51</v>
      </c>
      <c r="AO205">
        <v>55</v>
      </c>
      <c r="AP205">
        <v>44</v>
      </c>
      <c r="AQ205">
        <v>43</v>
      </c>
      <c r="AR205">
        <v>51</v>
      </c>
      <c r="AS205">
        <v>59</v>
      </c>
      <c r="AT205">
        <v>45</v>
      </c>
      <c r="AU205">
        <v>37</v>
      </c>
      <c r="AV205">
        <v>40</v>
      </c>
      <c r="AW205">
        <v>40</v>
      </c>
      <c r="AX205">
        <v>32</v>
      </c>
      <c r="AY205">
        <v>36</v>
      </c>
      <c r="AZ205">
        <v>30</v>
      </c>
      <c r="BA205">
        <v>26</v>
      </c>
      <c r="BB205">
        <v>26</v>
      </c>
      <c r="BC205">
        <v>32</v>
      </c>
    </row>
    <row r="206" spans="1:55" x14ac:dyDescent="0.25">
      <c r="A206" t="s">
        <v>3840</v>
      </c>
      <c r="B206" t="s">
        <v>115</v>
      </c>
      <c r="C206" t="s">
        <v>88</v>
      </c>
      <c r="D206">
        <v>139</v>
      </c>
      <c r="E206">
        <v>33.380000000000003</v>
      </c>
      <c r="F206">
        <v>6</v>
      </c>
      <c r="G206">
        <v>12</v>
      </c>
      <c r="H206">
        <v>14</v>
      </c>
      <c r="I206">
        <v>15</v>
      </c>
      <c r="J206">
        <v>18</v>
      </c>
      <c r="K206">
        <v>19</v>
      </c>
      <c r="L206">
        <v>18</v>
      </c>
      <c r="M206">
        <v>17</v>
      </c>
      <c r="N206">
        <v>17</v>
      </c>
      <c r="O206">
        <v>19</v>
      </c>
      <c r="P206">
        <v>25</v>
      </c>
      <c r="Q206">
        <v>24</v>
      </c>
      <c r="R206">
        <v>28</v>
      </c>
      <c r="S206">
        <v>25</v>
      </c>
      <c r="T206">
        <v>22</v>
      </c>
      <c r="U206">
        <v>27</v>
      </c>
      <c r="V206">
        <v>31</v>
      </c>
      <c r="W206">
        <v>33</v>
      </c>
      <c r="X206">
        <v>32</v>
      </c>
      <c r="Y206">
        <v>38</v>
      </c>
      <c r="Z206">
        <v>38</v>
      </c>
      <c r="AA206">
        <v>45</v>
      </c>
      <c r="AB206">
        <v>48</v>
      </c>
      <c r="AC206">
        <v>51</v>
      </c>
      <c r="AD206">
        <v>47</v>
      </c>
      <c r="AE206">
        <v>46</v>
      </c>
      <c r="AF206">
        <v>51</v>
      </c>
      <c r="AG206">
        <v>47</v>
      </c>
      <c r="AH206">
        <v>39</v>
      </c>
      <c r="AI206">
        <v>37</v>
      </c>
      <c r="AJ206">
        <v>12</v>
      </c>
      <c r="AK206">
        <v>24</v>
      </c>
      <c r="AL206">
        <v>26</v>
      </c>
      <c r="AM206">
        <v>34</v>
      </c>
      <c r="AN206">
        <v>53</v>
      </c>
      <c r="AO206">
        <v>56</v>
      </c>
      <c r="AP206">
        <v>44</v>
      </c>
      <c r="AQ206">
        <v>46</v>
      </c>
      <c r="AR206">
        <v>52</v>
      </c>
      <c r="AS206">
        <v>63</v>
      </c>
      <c r="AT206">
        <v>45</v>
      </c>
      <c r="AU206">
        <v>36</v>
      </c>
      <c r="AV206">
        <v>46</v>
      </c>
      <c r="AW206">
        <v>39</v>
      </c>
      <c r="AX206">
        <v>33</v>
      </c>
      <c r="AY206">
        <v>41</v>
      </c>
      <c r="AZ206">
        <v>33</v>
      </c>
      <c r="BA206">
        <v>29</v>
      </c>
      <c r="BB206">
        <v>34</v>
      </c>
      <c r="BC206">
        <v>34</v>
      </c>
    </row>
    <row r="207" spans="1:55" x14ac:dyDescent="0.25">
      <c r="A207" t="s">
        <v>3841</v>
      </c>
      <c r="B207" t="s">
        <v>116</v>
      </c>
      <c r="C207" t="s">
        <v>88</v>
      </c>
      <c r="D207">
        <v>151</v>
      </c>
      <c r="E207">
        <v>41.52</v>
      </c>
      <c r="F207">
        <v>6</v>
      </c>
      <c r="G207">
        <v>21</v>
      </c>
      <c r="H207">
        <v>24</v>
      </c>
      <c r="I207">
        <v>25</v>
      </c>
      <c r="J207">
        <v>24</v>
      </c>
      <c r="K207">
        <v>21</v>
      </c>
      <c r="L207">
        <v>29</v>
      </c>
      <c r="M207">
        <v>25</v>
      </c>
      <c r="N207">
        <v>27</v>
      </c>
      <c r="O207">
        <v>23</v>
      </c>
      <c r="P207">
        <v>27</v>
      </c>
      <c r="Q207">
        <v>27</v>
      </c>
      <c r="R207">
        <v>38</v>
      </c>
      <c r="S207">
        <v>31</v>
      </c>
      <c r="T207">
        <v>25</v>
      </c>
      <c r="U207">
        <v>34</v>
      </c>
      <c r="V207">
        <v>30</v>
      </c>
      <c r="W207">
        <v>28</v>
      </c>
      <c r="X207">
        <v>35</v>
      </c>
      <c r="Y207">
        <v>40</v>
      </c>
      <c r="Z207">
        <v>50</v>
      </c>
      <c r="AA207">
        <v>48</v>
      </c>
      <c r="AB207">
        <v>58</v>
      </c>
      <c r="AC207">
        <v>60</v>
      </c>
      <c r="AD207">
        <v>66</v>
      </c>
      <c r="AE207">
        <v>66</v>
      </c>
      <c r="AF207">
        <v>66</v>
      </c>
      <c r="AG207">
        <v>61</v>
      </c>
      <c r="AH207">
        <v>60</v>
      </c>
      <c r="AI207">
        <v>60</v>
      </c>
      <c r="AJ207">
        <v>22</v>
      </c>
      <c r="AK207">
        <v>43</v>
      </c>
      <c r="AL207">
        <v>50</v>
      </c>
      <c r="AM207">
        <v>55</v>
      </c>
      <c r="AN207">
        <v>68</v>
      </c>
      <c r="AO207">
        <v>67</v>
      </c>
      <c r="AP207">
        <v>54</v>
      </c>
      <c r="AQ207">
        <v>52</v>
      </c>
      <c r="AR207">
        <v>49</v>
      </c>
      <c r="AS207">
        <v>59</v>
      </c>
      <c r="AT207">
        <v>53</v>
      </c>
      <c r="AU207">
        <v>43</v>
      </c>
      <c r="AV207">
        <v>47</v>
      </c>
      <c r="AW207">
        <v>45</v>
      </c>
      <c r="AX207">
        <v>39</v>
      </c>
      <c r="AY207">
        <v>46</v>
      </c>
      <c r="AZ207">
        <v>45</v>
      </c>
      <c r="BA207">
        <v>36</v>
      </c>
      <c r="BB207">
        <v>34</v>
      </c>
      <c r="BC207">
        <v>34</v>
      </c>
    </row>
    <row r="208" spans="1:55" x14ac:dyDescent="0.25">
      <c r="A208" t="s">
        <v>3842</v>
      </c>
      <c r="B208" t="s">
        <v>117</v>
      </c>
      <c r="C208" t="s">
        <v>88</v>
      </c>
      <c r="D208">
        <v>135</v>
      </c>
      <c r="E208">
        <v>33.44</v>
      </c>
      <c r="F208">
        <v>6</v>
      </c>
      <c r="G208">
        <v>14</v>
      </c>
      <c r="H208">
        <v>18</v>
      </c>
      <c r="I208">
        <v>20</v>
      </c>
      <c r="J208">
        <v>17</v>
      </c>
      <c r="K208">
        <v>16</v>
      </c>
      <c r="L208">
        <v>18</v>
      </c>
      <c r="M208">
        <v>17</v>
      </c>
      <c r="N208">
        <v>15</v>
      </c>
      <c r="O208">
        <v>18</v>
      </c>
      <c r="P208">
        <v>17</v>
      </c>
      <c r="Q208">
        <v>23</v>
      </c>
      <c r="R208">
        <v>17</v>
      </c>
      <c r="S208">
        <v>21</v>
      </c>
      <c r="T208">
        <v>18</v>
      </c>
      <c r="U208">
        <v>22</v>
      </c>
      <c r="V208">
        <v>27</v>
      </c>
      <c r="W208">
        <v>29</v>
      </c>
      <c r="X208">
        <v>33</v>
      </c>
      <c r="Y208">
        <v>36</v>
      </c>
      <c r="Z208">
        <v>40</v>
      </c>
      <c r="AA208">
        <v>36</v>
      </c>
      <c r="AB208">
        <v>46</v>
      </c>
      <c r="AC208">
        <v>58</v>
      </c>
      <c r="AD208">
        <v>52</v>
      </c>
      <c r="AE208">
        <v>54</v>
      </c>
      <c r="AF208">
        <v>53</v>
      </c>
      <c r="AG208">
        <v>44</v>
      </c>
      <c r="AH208">
        <v>45</v>
      </c>
      <c r="AI208">
        <v>45</v>
      </c>
      <c r="AJ208">
        <v>21</v>
      </c>
      <c r="AK208">
        <v>23</v>
      </c>
      <c r="AL208">
        <v>29</v>
      </c>
      <c r="AM208">
        <v>33</v>
      </c>
      <c r="AN208">
        <v>54</v>
      </c>
      <c r="AO208">
        <v>49</v>
      </c>
      <c r="AP208">
        <v>45</v>
      </c>
      <c r="AQ208">
        <v>46</v>
      </c>
      <c r="AR208">
        <v>53</v>
      </c>
      <c r="AS208">
        <v>49</v>
      </c>
      <c r="AT208">
        <v>49</v>
      </c>
      <c r="AU208">
        <v>46</v>
      </c>
      <c r="AV208">
        <v>51</v>
      </c>
      <c r="AW208">
        <v>44</v>
      </c>
      <c r="AX208">
        <v>35</v>
      </c>
      <c r="AY208">
        <v>38</v>
      </c>
      <c r="AZ208">
        <v>42</v>
      </c>
      <c r="BA208">
        <v>29</v>
      </c>
      <c r="BB208">
        <v>30</v>
      </c>
      <c r="BC208">
        <v>31</v>
      </c>
    </row>
    <row r="209" spans="1:55" x14ac:dyDescent="0.25">
      <c r="A209" t="s">
        <v>3843</v>
      </c>
      <c r="B209" t="s">
        <v>118</v>
      </c>
      <c r="C209" t="s">
        <v>88</v>
      </c>
      <c r="D209">
        <v>141</v>
      </c>
      <c r="E209">
        <v>29.44</v>
      </c>
      <c r="F209">
        <v>6</v>
      </c>
      <c r="G209">
        <v>9</v>
      </c>
      <c r="H209">
        <v>12</v>
      </c>
      <c r="I209">
        <v>12</v>
      </c>
      <c r="J209">
        <v>15</v>
      </c>
      <c r="K209">
        <v>17</v>
      </c>
      <c r="L209">
        <v>15</v>
      </c>
      <c r="M209">
        <v>13</v>
      </c>
      <c r="N209">
        <v>17</v>
      </c>
      <c r="O209">
        <v>17</v>
      </c>
      <c r="P209">
        <v>17</v>
      </c>
      <c r="Q209">
        <v>15</v>
      </c>
      <c r="R209">
        <v>25</v>
      </c>
      <c r="S209">
        <v>17</v>
      </c>
      <c r="T209">
        <v>21</v>
      </c>
      <c r="U209">
        <v>24</v>
      </c>
      <c r="V209">
        <v>26</v>
      </c>
      <c r="W209">
        <v>36</v>
      </c>
      <c r="X209">
        <v>26</v>
      </c>
      <c r="Y209">
        <v>36</v>
      </c>
      <c r="Z209">
        <v>38</v>
      </c>
      <c r="AA209">
        <v>39</v>
      </c>
      <c r="AB209">
        <v>42</v>
      </c>
      <c r="AC209">
        <v>49</v>
      </c>
      <c r="AD209">
        <v>48</v>
      </c>
      <c r="AE209">
        <v>45</v>
      </c>
      <c r="AF209">
        <v>51</v>
      </c>
      <c r="AG209">
        <v>43</v>
      </c>
      <c r="AH209">
        <v>46</v>
      </c>
      <c r="AI209">
        <v>39</v>
      </c>
      <c r="AJ209">
        <v>14</v>
      </c>
      <c r="AK209">
        <v>16</v>
      </c>
      <c r="AL209">
        <v>20</v>
      </c>
      <c r="AM209">
        <v>22</v>
      </c>
      <c r="AN209">
        <v>36</v>
      </c>
      <c r="AO209">
        <v>39</v>
      </c>
      <c r="AP209">
        <v>32</v>
      </c>
      <c r="AQ209">
        <v>40</v>
      </c>
      <c r="AR209">
        <v>47</v>
      </c>
      <c r="AS209">
        <v>46</v>
      </c>
      <c r="AT209">
        <v>50</v>
      </c>
      <c r="AU209">
        <v>41</v>
      </c>
      <c r="AV209">
        <v>41</v>
      </c>
      <c r="AW209">
        <v>35</v>
      </c>
      <c r="AX209">
        <v>35</v>
      </c>
      <c r="AY209">
        <v>28</v>
      </c>
      <c r="AZ209">
        <v>32</v>
      </c>
      <c r="BA209">
        <v>31</v>
      </c>
      <c r="BB209">
        <v>22</v>
      </c>
      <c r="BC209">
        <v>29</v>
      </c>
    </row>
    <row r="210" spans="1:55" x14ac:dyDescent="0.25">
      <c r="A210" t="s">
        <v>3844</v>
      </c>
      <c r="B210" t="s">
        <v>119</v>
      </c>
      <c r="C210" t="s">
        <v>88</v>
      </c>
      <c r="D210">
        <v>231</v>
      </c>
      <c r="E210">
        <v>28.72</v>
      </c>
      <c r="F210">
        <v>7</v>
      </c>
      <c r="G210">
        <v>18</v>
      </c>
      <c r="H210">
        <v>17</v>
      </c>
      <c r="I210">
        <v>17</v>
      </c>
      <c r="J210">
        <v>17</v>
      </c>
      <c r="K210">
        <v>16</v>
      </c>
      <c r="L210">
        <v>18</v>
      </c>
      <c r="M210">
        <v>16</v>
      </c>
      <c r="N210">
        <v>13</v>
      </c>
      <c r="O210">
        <v>16</v>
      </c>
      <c r="P210">
        <v>21</v>
      </c>
      <c r="Q210">
        <v>21</v>
      </c>
      <c r="R210">
        <v>21</v>
      </c>
      <c r="S210">
        <v>18</v>
      </c>
      <c r="T210">
        <v>20</v>
      </c>
      <c r="U210">
        <v>23</v>
      </c>
      <c r="V210">
        <v>23</v>
      </c>
      <c r="W210">
        <v>28</v>
      </c>
      <c r="X210">
        <v>21</v>
      </c>
      <c r="Y210">
        <v>25</v>
      </c>
      <c r="Z210">
        <v>25</v>
      </c>
      <c r="AA210">
        <v>28</v>
      </c>
      <c r="AB210">
        <v>40</v>
      </c>
      <c r="AC210">
        <v>45</v>
      </c>
      <c r="AD210">
        <v>44</v>
      </c>
      <c r="AE210">
        <v>49</v>
      </c>
      <c r="AF210">
        <v>42</v>
      </c>
      <c r="AG210">
        <v>42</v>
      </c>
      <c r="AH210">
        <v>36</v>
      </c>
      <c r="AI210">
        <v>35</v>
      </c>
      <c r="AJ210">
        <v>14</v>
      </c>
      <c r="AK210">
        <v>22</v>
      </c>
      <c r="AL210">
        <v>24</v>
      </c>
      <c r="AM210">
        <v>28</v>
      </c>
      <c r="AN210">
        <v>41</v>
      </c>
      <c r="AO210">
        <v>42</v>
      </c>
      <c r="AP210">
        <v>41</v>
      </c>
      <c r="AQ210">
        <v>40</v>
      </c>
      <c r="AR210">
        <v>45</v>
      </c>
      <c r="AS210">
        <v>47</v>
      </c>
      <c r="AT210">
        <v>44</v>
      </c>
      <c r="AU210">
        <v>43</v>
      </c>
      <c r="AV210">
        <v>46</v>
      </c>
      <c r="AW210">
        <v>37</v>
      </c>
      <c r="AX210">
        <v>33</v>
      </c>
      <c r="AY210">
        <v>36</v>
      </c>
      <c r="AZ210">
        <v>23</v>
      </c>
      <c r="BA210">
        <v>26</v>
      </c>
      <c r="BB210">
        <v>22</v>
      </c>
      <c r="BC210">
        <v>20</v>
      </c>
    </row>
    <row r="211" spans="1:55" x14ac:dyDescent="0.25">
      <c r="A211" t="s">
        <v>3845</v>
      </c>
      <c r="B211" t="s">
        <v>120</v>
      </c>
      <c r="C211" t="s">
        <v>88</v>
      </c>
      <c r="D211">
        <v>61</v>
      </c>
      <c r="E211">
        <v>35.840000000000003</v>
      </c>
      <c r="F211">
        <v>10</v>
      </c>
      <c r="G211">
        <v>20</v>
      </c>
      <c r="H211">
        <v>22</v>
      </c>
      <c r="I211">
        <v>26</v>
      </c>
      <c r="J211">
        <v>29</v>
      </c>
      <c r="K211">
        <v>24</v>
      </c>
      <c r="L211">
        <v>27</v>
      </c>
      <c r="M211">
        <v>28</v>
      </c>
      <c r="N211">
        <v>22</v>
      </c>
      <c r="O211">
        <v>24</v>
      </c>
      <c r="P211">
        <v>23</v>
      </c>
      <c r="Q211">
        <v>30</v>
      </c>
      <c r="R211">
        <v>25</v>
      </c>
      <c r="S211">
        <v>32</v>
      </c>
      <c r="T211">
        <v>30</v>
      </c>
      <c r="U211">
        <v>20</v>
      </c>
      <c r="V211">
        <v>29</v>
      </c>
      <c r="W211">
        <v>28</v>
      </c>
      <c r="X211">
        <v>25</v>
      </c>
      <c r="Y211">
        <v>33</v>
      </c>
      <c r="Z211">
        <v>23</v>
      </c>
      <c r="AA211">
        <v>27</v>
      </c>
      <c r="AB211">
        <v>36</v>
      </c>
      <c r="AC211">
        <v>43</v>
      </c>
      <c r="AD211">
        <v>51</v>
      </c>
      <c r="AE211">
        <v>49</v>
      </c>
      <c r="AF211">
        <v>49</v>
      </c>
      <c r="AG211">
        <v>42</v>
      </c>
      <c r="AH211">
        <v>47</v>
      </c>
      <c r="AI211">
        <v>47</v>
      </c>
      <c r="AJ211">
        <v>42</v>
      </c>
      <c r="AK211">
        <v>31</v>
      </c>
      <c r="AL211">
        <v>29</v>
      </c>
      <c r="AM211">
        <v>26</v>
      </c>
      <c r="AN211">
        <v>48</v>
      </c>
      <c r="AO211">
        <v>49</v>
      </c>
      <c r="AP211">
        <v>55</v>
      </c>
      <c r="AQ211">
        <v>39</v>
      </c>
      <c r="AR211">
        <v>48</v>
      </c>
      <c r="AS211">
        <v>58</v>
      </c>
      <c r="AT211">
        <v>60</v>
      </c>
      <c r="AU211">
        <v>54</v>
      </c>
      <c r="AV211">
        <v>57</v>
      </c>
      <c r="AW211">
        <v>46</v>
      </c>
      <c r="AX211">
        <v>42</v>
      </c>
      <c r="AY211">
        <v>41</v>
      </c>
      <c r="AZ211">
        <v>44</v>
      </c>
      <c r="BA211">
        <v>36</v>
      </c>
      <c r="BB211">
        <v>28</v>
      </c>
      <c r="BC211">
        <v>38</v>
      </c>
    </row>
    <row r="212" spans="1:55" x14ac:dyDescent="0.25">
      <c r="A212" t="s">
        <v>3846</v>
      </c>
      <c r="B212" t="s">
        <v>121</v>
      </c>
      <c r="C212" t="s">
        <v>88</v>
      </c>
      <c r="D212">
        <v>429</v>
      </c>
      <c r="E212">
        <v>39.200000000000003</v>
      </c>
      <c r="F212">
        <v>8</v>
      </c>
      <c r="G212">
        <v>23</v>
      </c>
      <c r="H212">
        <v>25</v>
      </c>
      <c r="I212">
        <v>27</v>
      </c>
      <c r="J212">
        <v>25</v>
      </c>
      <c r="K212">
        <v>27</v>
      </c>
      <c r="L212">
        <v>26</v>
      </c>
      <c r="M212">
        <v>24</v>
      </c>
      <c r="N212">
        <v>19</v>
      </c>
      <c r="O212">
        <v>20</v>
      </c>
      <c r="P212">
        <v>28</v>
      </c>
      <c r="Q212">
        <v>27</v>
      </c>
      <c r="R212">
        <v>33</v>
      </c>
      <c r="S212">
        <v>32</v>
      </c>
      <c r="T212">
        <v>33</v>
      </c>
      <c r="U212">
        <v>36</v>
      </c>
      <c r="V212">
        <v>38</v>
      </c>
      <c r="W212">
        <v>39</v>
      </c>
      <c r="X212">
        <v>41</v>
      </c>
      <c r="Y212">
        <v>43</v>
      </c>
      <c r="Z212">
        <v>41</v>
      </c>
      <c r="AA212">
        <v>46</v>
      </c>
      <c r="AB212">
        <v>59</v>
      </c>
      <c r="AC212">
        <v>62</v>
      </c>
      <c r="AD212">
        <v>66</v>
      </c>
      <c r="AE212">
        <v>65</v>
      </c>
      <c r="AF212">
        <v>57</v>
      </c>
      <c r="AG212">
        <v>55</v>
      </c>
      <c r="AH212">
        <v>47</v>
      </c>
      <c r="AI212">
        <v>44</v>
      </c>
      <c r="AJ212">
        <v>19</v>
      </c>
      <c r="AK212">
        <v>29</v>
      </c>
      <c r="AL212">
        <v>35</v>
      </c>
      <c r="AM212">
        <v>36</v>
      </c>
      <c r="AN212">
        <v>50</v>
      </c>
      <c r="AO212">
        <v>60</v>
      </c>
      <c r="AP212">
        <v>51</v>
      </c>
      <c r="AQ212">
        <v>49</v>
      </c>
      <c r="AR212">
        <v>58</v>
      </c>
      <c r="AS212">
        <v>57</v>
      </c>
      <c r="AT212">
        <v>51</v>
      </c>
      <c r="AU212">
        <v>49</v>
      </c>
      <c r="AV212">
        <v>53</v>
      </c>
      <c r="AW212">
        <v>43</v>
      </c>
      <c r="AX212">
        <v>37</v>
      </c>
      <c r="AY212">
        <v>38</v>
      </c>
      <c r="AZ212">
        <v>37</v>
      </c>
      <c r="BA212">
        <v>33</v>
      </c>
      <c r="BB212">
        <v>28</v>
      </c>
      <c r="BC212">
        <v>31</v>
      </c>
    </row>
    <row r="213" spans="1:55" x14ac:dyDescent="0.25">
      <c r="A213" t="s">
        <v>3847</v>
      </c>
      <c r="B213" t="s">
        <v>122</v>
      </c>
      <c r="C213" t="s">
        <v>88</v>
      </c>
      <c r="D213">
        <v>249</v>
      </c>
      <c r="E213">
        <v>40.020000000000003</v>
      </c>
      <c r="F213">
        <v>10</v>
      </c>
      <c r="G213">
        <v>17</v>
      </c>
      <c r="H213">
        <v>18</v>
      </c>
      <c r="I213">
        <v>20</v>
      </c>
      <c r="J213">
        <v>25</v>
      </c>
      <c r="K213">
        <v>23</v>
      </c>
      <c r="L213">
        <v>26</v>
      </c>
      <c r="M213">
        <v>26</v>
      </c>
      <c r="N213">
        <v>28</v>
      </c>
      <c r="O213">
        <v>24</v>
      </c>
      <c r="P213">
        <v>30</v>
      </c>
      <c r="Q213">
        <v>30</v>
      </c>
      <c r="R213">
        <v>27</v>
      </c>
      <c r="S213">
        <v>27</v>
      </c>
      <c r="T213">
        <v>26</v>
      </c>
      <c r="U213">
        <v>32</v>
      </c>
      <c r="V213">
        <v>34</v>
      </c>
      <c r="W213">
        <v>34</v>
      </c>
      <c r="X213">
        <v>33</v>
      </c>
      <c r="Y213">
        <v>41</v>
      </c>
      <c r="Z213">
        <v>42</v>
      </c>
      <c r="AA213">
        <v>50</v>
      </c>
      <c r="AB213">
        <v>55</v>
      </c>
      <c r="AC213">
        <v>65</v>
      </c>
      <c r="AD213">
        <v>66</v>
      </c>
      <c r="AE213">
        <v>66</v>
      </c>
      <c r="AF213">
        <v>60</v>
      </c>
      <c r="AG213">
        <v>59</v>
      </c>
      <c r="AH213">
        <v>54</v>
      </c>
      <c r="AI213">
        <v>52</v>
      </c>
      <c r="AJ213">
        <v>25</v>
      </c>
      <c r="AK213">
        <v>40</v>
      </c>
      <c r="AL213">
        <v>45</v>
      </c>
      <c r="AM213">
        <v>46</v>
      </c>
      <c r="AN213">
        <v>55</v>
      </c>
      <c r="AO213">
        <v>65</v>
      </c>
      <c r="AP213">
        <v>53</v>
      </c>
      <c r="AQ213">
        <v>51</v>
      </c>
      <c r="AR213">
        <v>56</v>
      </c>
      <c r="AS213">
        <v>58</v>
      </c>
      <c r="AT213">
        <v>48</v>
      </c>
      <c r="AU213">
        <v>49</v>
      </c>
      <c r="AV213">
        <v>48</v>
      </c>
      <c r="AW213">
        <v>37</v>
      </c>
      <c r="AX213">
        <v>40</v>
      </c>
      <c r="AY213">
        <v>39</v>
      </c>
      <c r="AZ213">
        <v>41</v>
      </c>
      <c r="BA213">
        <v>34</v>
      </c>
      <c r="BB213">
        <v>34</v>
      </c>
      <c r="BC213">
        <v>37</v>
      </c>
    </row>
    <row r="214" spans="1:55" x14ac:dyDescent="0.25">
      <c r="A214" t="s">
        <v>3848</v>
      </c>
      <c r="B214" t="s">
        <v>123</v>
      </c>
      <c r="C214" t="s">
        <v>88</v>
      </c>
      <c r="D214">
        <v>210</v>
      </c>
      <c r="E214">
        <v>35.96</v>
      </c>
      <c r="F214">
        <v>6</v>
      </c>
      <c r="G214">
        <v>22</v>
      </c>
      <c r="H214">
        <v>21</v>
      </c>
      <c r="I214">
        <v>28</v>
      </c>
      <c r="J214">
        <v>23</v>
      </c>
      <c r="K214">
        <v>22</v>
      </c>
      <c r="L214">
        <v>28</v>
      </c>
      <c r="M214">
        <v>19</v>
      </c>
      <c r="N214">
        <v>19</v>
      </c>
      <c r="O214">
        <v>20</v>
      </c>
      <c r="P214">
        <v>21</v>
      </c>
      <c r="Q214">
        <v>23</v>
      </c>
      <c r="R214">
        <v>22</v>
      </c>
      <c r="S214">
        <v>30</v>
      </c>
      <c r="T214">
        <v>25</v>
      </c>
      <c r="U214">
        <v>26</v>
      </c>
      <c r="V214">
        <v>26</v>
      </c>
      <c r="W214">
        <v>30</v>
      </c>
      <c r="X214">
        <v>28</v>
      </c>
      <c r="Y214">
        <v>33</v>
      </c>
      <c r="Z214">
        <v>32</v>
      </c>
      <c r="AA214">
        <v>38</v>
      </c>
      <c r="AB214">
        <v>53</v>
      </c>
      <c r="AC214">
        <v>61</v>
      </c>
      <c r="AD214">
        <v>56</v>
      </c>
      <c r="AE214">
        <v>60</v>
      </c>
      <c r="AF214">
        <v>55</v>
      </c>
      <c r="AG214">
        <v>48</v>
      </c>
      <c r="AH214">
        <v>41</v>
      </c>
      <c r="AI214">
        <v>30</v>
      </c>
      <c r="AJ214">
        <v>10</v>
      </c>
      <c r="AK214">
        <v>22</v>
      </c>
      <c r="AL214">
        <v>24</v>
      </c>
      <c r="AM214">
        <v>42</v>
      </c>
      <c r="AN214">
        <v>56</v>
      </c>
      <c r="AO214">
        <v>57</v>
      </c>
      <c r="AP214">
        <v>50</v>
      </c>
      <c r="AQ214">
        <v>56</v>
      </c>
      <c r="AR214">
        <v>64</v>
      </c>
      <c r="AS214">
        <v>68</v>
      </c>
      <c r="AT214">
        <v>53</v>
      </c>
      <c r="AU214">
        <v>50</v>
      </c>
      <c r="AV214">
        <v>49</v>
      </c>
      <c r="AW214">
        <v>44</v>
      </c>
      <c r="AX214">
        <v>33</v>
      </c>
      <c r="AY214">
        <v>32</v>
      </c>
      <c r="AZ214">
        <v>39</v>
      </c>
      <c r="BA214">
        <v>35</v>
      </c>
      <c r="BB214">
        <v>32</v>
      </c>
      <c r="BC214">
        <v>36</v>
      </c>
    </row>
    <row r="215" spans="1:55" x14ac:dyDescent="0.25">
      <c r="A215" t="s">
        <v>3849</v>
      </c>
      <c r="B215" t="s">
        <v>124</v>
      </c>
      <c r="C215" t="s">
        <v>88</v>
      </c>
      <c r="D215">
        <v>970</v>
      </c>
      <c r="E215">
        <v>43.64</v>
      </c>
      <c r="F215">
        <v>9</v>
      </c>
      <c r="G215">
        <v>27</v>
      </c>
      <c r="H215">
        <v>32</v>
      </c>
      <c r="I215">
        <v>34</v>
      </c>
      <c r="J215">
        <v>33</v>
      </c>
      <c r="K215">
        <v>32</v>
      </c>
      <c r="L215">
        <v>35</v>
      </c>
      <c r="M215">
        <v>30</v>
      </c>
      <c r="N215">
        <v>27</v>
      </c>
      <c r="O215">
        <v>29</v>
      </c>
      <c r="P215">
        <v>34</v>
      </c>
      <c r="Q215">
        <v>33</v>
      </c>
      <c r="R215">
        <v>38</v>
      </c>
      <c r="S215">
        <v>35</v>
      </c>
      <c r="T215">
        <v>35</v>
      </c>
      <c r="U215">
        <v>39</v>
      </c>
      <c r="V215">
        <v>39</v>
      </c>
      <c r="W215">
        <v>42</v>
      </c>
      <c r="X215">
        <v>40</v>
      </c>
      <c r="Y215">
        <v>44</v>
      </c>
      <c r="Z215">
        <v>46</v>
      </c>
      <c r="AA215">
        <v>51</v>
      </c>
      <c r="AB215">
        <v>60</v>
      </c>
      <c r="AC215">
        <v>67</v>
      </c>
      <c r="AD215">
        <v>67</v>
      </c>
      <c r="AE215">
        <v>67</v>
      </c>
      <c r="AF215">
        <v>62</v>
      </c>
      <c r="AG215">
        <v>58</v>
      </c>
      <c r="AH215">
        <v>49</v>
      </c>
      <c r="AI215">
        <v>46</v>
      </c>
      <c r="AJ215">
        <v>23</v>
      </c>
      <c r="AK215">
        <v>30</v>
      </c>
      <c r="AL215">
        <v>35</v>
      </c>
      <c r="AM215">
        <v>43</v>
      </c>
      <c r="AN215">
        <v>59</v>
      </c>
      <c r="AO215">
        <v>64</v>
      </c>
      <c r="AP215">
        <v>56</v>
      </c>
      <c r="AQ215">
        <v>55</v>
      </c>
      <c r="AR215">
        <v>65</v>
      </c>
      <c r="AS215">
        <v>68</v>
      </c>
      <c r="AT215">
        <v>61</v>
      </c>
      <c r="AU215">
        <v>57</v>
      </c>
      <c r="AV215">
        <v>51</v>
      </c>
      <c r="AW215">
        <v>46</v>
      </c>
      <c r="AX215">
        <v>39</v>
      </c>
      <c r="AY215">
        <v>41</v>
      </c>
      <c r="AZ215">
        <v>42</v>
      </c>
      <c r="BA215">
        <v>35</v>
      </c>
      <c r="BB215">
        <v>35</v>
      </c>
      <c r="BC215">
        <v>37</v>
      </c>
    </row>
    <row r="216" spans="1:55" x14ac:dyDescent="0.25">
      <c r="A216" t="s">
        <v>3850</v>
      </c>
      <c r="B216" t="s">
        <v>125</v>
      </c>
      <c r="C216" t="s">
        <v>88</v>
      </c>
      <c r="D216">
        <v>665</v>
      </c>
      <c r="E216">
        <v>41.54</v>
      </c>
      <c r="F216">
        <v>15</v>
      </c>
      <c r="G216">
        <v>29</v>
      </c>
      <c r="H216">
        <v>33</v>
      </c>
      <c r="I216">
        <v>37</v>
      </c>
      <c r="J216">
        <v>35</v>
      </c>
      <c r="K216">
        <v>33</v>
      </c>
      <c r="L216">
        <v>36</v>
      </c>
      <c r="M216">
        <v>30</v>
      </c>
      <c r="N216">
        <v>28</v>
      </c>
      <c r="O216">
        <v>27</v>
      </c>
      <c r="P216">
        <v>31</v>
      </c>
      <c r="Q216">
        <v>34</v>
      </c>
      <c r="R216">
        <v>34</v>
      </c>
      <c r="S216">
        <v>30</v>
      </c>
      <c r="T216">
        <v>31</v>
      </c>
      <c r="U216">
        <v>31</v>
      </c>
      <c r="V216">
        <v>34</v>
      </c>
      <c r="W216">
        <v>35</v>
      </c>
      <c r="X216">
        <v>36</v>
      </c>
      <c r="Y216">
        <v>43</v>
      </c>
      <c r="Z216">
        <v>41</v>
      </c>
      <c r="AA216">
        <v>45</v>
      </c>
      <c r="AB216">
        <v>54</v>
      </c>
      <c r="AC216">
        <v>58</v>
      </c>
      <c r="AD216">
        <v>58</v>
      </c>
      <c r="AE216">
        <v>63</v>
      </c>
      <c r="AF216">
        <v>58</v>
      </c>
      <c r="AG216">
        <v>55</v>
      </c>
      <c r="AH216">
        <v>45</v>
      </c>
      <c r="AI216">
        <v>45</v>
      </c>
      <c r="AJ216">
        <v>25</v>
      </c>
      <c r="AK216">
        <v>28</v>
      </c>
      <c r="AL216">
        <v>33</v>
      </c>
      <c r="AM216">
        <v>39</v>
      </c>
      <c r="AN216">
        <v>57</v>
      </c>
      <c r="AO216">
        <v>63</v>
      </c>
      <c r="AP216">
        <v>55</v>
      </c>
      <c r="AQ216">
        <v>62</v>
      </c>
      <c r="AR216">
        <v>65</v>
      </c>
      <c r="AS216">
        <v>66</v>
      </c>
      <c r="AT216">
        <v>59</v>
      </c>
      <c r="AU216">
        <v>59</v>
      </c>
      <c r="AV216">
        <v>49</v>
      </c>
      <c r="AW216">
        <v>46</v>
      </c>
      <c r="AX216">
        <v>41</v>
      </c>
      <c r="AY216">
        <v>35</v>
      </c>
      <c r="AZ216">
        <v>37</v>
      </c>
      <c r="BA216">
        <v>32</v>
      </c>
      <c r="BB216">
        <v>30</v>
      </c>
      <c r="BC216">
        <v>32</v>
      </c>
    </row>
    <row r="217" spans="1:55" x14ac:dyDescent="0.25">
      <c r="A217" t="s">
        <v>3851</v>
      </c>
      <c r="B217" t="s">
        <v>71</v>
      </c>
      <c r="C217" t="s">
        <v>88</v>
      </c>
      <c r="D217">
        <v>412</v>
      </c>
      <c r="E217">
        <v>41.36</v>
      </c>
      <c r="F217">
        <v>16</v>
      </c>
      <c r="G217">
        <v>27</v>
      </c>
      <c r="H217">
        <v>33</v>
      </c>
      <c r="I217">
        <v>40</v>
      </c>
      <c r="J217">
        <v>39</v>
      </c>
      <c r="K217">
        <v>35</v>
      </c>
      <c r="L217">
        <v>39</v>
      </c>
      <c r="M217">
        <v>30</v>
      </c>
      <c r="N217">
        <v>29</v>
      </c>
      <c r="O217">
        <v>28</v>
      </c>
      <c r="P217">
        <v>31</v>
      </c>
      <c r="Q217">
        <v>36</v>
      </c>
      <c r="R217">
        <v>34</v>
      </c>
      <c r="S217">
        <v>32</v>
      </c>
      <c r="T217">
        <v>35</v>
      </c>
      <c r="U217">
        <v>34</v>
      </c>
      <c r="V217">
        <v>35</v>
      </c>
      <c r="W217">
        <v>34</v>
      </c>
      <c r="X217">
        <v>35</v>
      </c>
      <c r="Y217">
        <v>41</v>
      </c>
      <c r="Z217">
        <v>41</v>
      </c>
      <c r="AA217">
        <v>45</v>
      </c>
      <c r="AB217">
        <v>53</v>
      </c>
      <c r="AC217">
        <v>57</v>
      </c>
      <c r="AD217">
        <v>57</v>
      </c>
      <c r="AE217">
        <v>62</v>
      </c>
      <c r="AF217">
        <v>59</v>
      </c>
      <c r="AG217">
        <v>56</v>
      </c>
      <c r="AH217">
        <v>43</v>
      </c>
      <c r="AI217">
        <v>43</v>
      </c>
      <c r="AJ217">
        <v>26</v>
      </c>
      <c r="AK217">
        <v>27</v>
      </c>
      <c r="AL217">
        <v>31</v>
      </c>
      <c r="AM217">
        <v>39</v>
      </c>
      <c r="AN217">
        <v>56</v>
      </c>
      <c r="AO217">
        <v>61</v>
      </c>
      <c r="AP217">
        <v>52</v>
      </c>
      <c r="AQ217">
        <v>62</v>
      </c>
      <c r="AR217">
        <v>64</v>
      </c>
      <c r="AS217">
        <v>64</v>
      </c>
      <c r="AT217">
        <v>59</v>
      </c>
      <c r="AU217">
        <v>60</v>
      </c>
      <c r="AV217">
        <v>47</v>
      </c>
      <c r="AW217">
        <v>44</v>
      </c>
      <c r="AX217">
        <v>38</v>
      </c>
      <c r="AY217">
        <v>33</v>
      </c>
      <c r="AZ217">
        <v>36</v>
      </c>
      <c r="BA217">
        <v>31</v>
      </c>
      <c r="BB217">
        <v>29</v>
      </c>
      <c r="BC217">
        <v>30</v>
      </c>
    </row>
    <row r="218" spans="1:55" x14ac:dyDescent="0.25">
      <c r="A218" t="s">
        <v>3852</v>
      </c>
      <c r="B218" t="s">
        <v>127</v>
      </c>
      <c r="C218" t="s">
        <v>88</v>
      </c>
      <c r="D218">
        <v>253</v>
      </c>
      <c r="E218">
        <v>41.96</v>
      </c>
      <c r="F218">
        <v>12</v>
      </c>
      <c r="G218">
        <v>32</v>
      </c>
      <c r="H218">
        <v>32</v>
      </c>
      <c r="I218">
        <v>34</v>
      </c>
      <c r="J218">
        <v>30</v>
      </c>
      <c r="K218">
        <v>30</v>
      </c>
      <c r="L218">
        <v>31</v>
      </c>
      <c r="M218">
        <v>30</v>
      </c>
      <c r="N218">
        <v>26</v>
      </c>
      <c r="O218">
        <v>26</v>
      </c>
      <c r="P218">
        <v>30</v>
      </c>
      <c r="Q218">
        <v>31</v>
      </c>
      <c r="R218">
        <v>34</v>
      </c>
      <c r="S218">
        <v>28</v>
      </c>
      <c r="T218">
        <v>27</v>
      </c>
      <c r="U218">
        <v>27</v>
      </c>
      <c r="V218">
        <v>32</v>
      </c>
      <c r="W218">
        <v>35</v>
      </c>
      <c r="X218">
        <v>38</v>
      </c>
      <c r="Y218">
        <v>46</v>
      </c>
      <c r="Z218">
        <v>41</v>
      </c>
      <c r="AA218">
        <v>45</v>
      </c>
      <c r="AB218">
        <v>56</v>
      </c>
      <c r="AC218">
        <v>60</v>
      </c>
      <c r="AD218">
        <v>61</v>
      </c>
      <c r="AE218">
        <v>64</v>
      </c>
      <c r="AF218">
        <v>57</v>
      </c>
      <c r="AG218">
        <v>54</v>
      </c>
      <c r="AH218">
        <v>47</v>
      </c>
      <c r="AI218">
        <v>48</v>
      </c>
      <c r="AJ218">
        <v>23</v>
      </c>
      <c r="AK218">
        <v>30</v>
      </c>
      <c r="AL218">
        <v>35</v>
      </c>
      <c r="AM218">
        <v>41</v>
      </c>
      <c r="AN218">
        <v>60</v>
      </c>
      <c r="AO218">
        <v>67</v>
      </c>
      <c r="AP218">
        <v>61</v>
      </c>
      <c r="AQ218">
        <v>62</v>
      </c>
      <c r="AR218">
        <v>66</v>
      </c>
      <c r="AS218">
        <v>69</v>
      </c>
      <c r="AT218">
        <v>60</v>
      </c>
      <c r="AU218">
        <v>57</v>
      </c>
      <c r="AV218">
        <v>53</v>
      </c>
      <c r="AW218">
        <v>50</v>
      </c>
      <c r="AX218">
        <v>45</v>
      </c>
      <c r="AY218">
        <v>37</v>
      </c>
      <c r="AZ218">
        <v>37</v>
      </c>
      <c r="BA218">
        <v>35</v>
      </c>
      <c r="BB218">
        <v>32</v>
      </c>
      <c r="BC218">
        <v>34</v>
      </c>
    </row>
    <row r="219" spans="1:55" x14ac:dyDescent="0.25">
      <c r="A219" t="s">
        <v>3853</v>
      </c>
      <c r="B219" t="s">
        <v>128</v>
      </c>
      <c r="C219" t="s">
        <v>88</v>
      </c>
      <c r="D219">
        <v>917</v>
      </c>
      <c r="E219">
        <v>43.52</v>
      </c>
      <c r="F219">
        <v>10</v>
      </c>
      <c r="G219">
        <v>28</v>
      </c>
      <c r="H219">
        <v>33</v>
      </c>
      <c r="I219">
        <v>39</v>
      </c>
      <c r="J219">
        <v>40</v>
      </c>
      <c r="K219">
        <v>37</v>
      </c>
      <c r="L219">
        <v>38</v>
      </c>
      <c r="M219">
        <v>32</v>
      </c>
      <c r="N219">
        <v>29</v>
      </c>
      <c r="O219">
        <v>30</v>
      </c>
      <c r="P219">
        <v>33</v>
      </c>
      <c r="Q219">
        <v>36</v>
      </c>
      <c r="R219">
        <v>37</v>
      </c>
      <c r="S219">
        <v>35</v>
      </c>
      <c r="T219">
        <v>35</v>
      </c>
      <c r="U219">
        <v>37</v>
      </c>
      <c r="V219">
        <v>37</v>
      </c>
      <c r="W219">
        <v>36</v>
      </c>
      <c r="X219">
        <v>38</v>
      </c>
      <c r="Y219">
        <v>41</v>
      </c>
      <c r="Z219">
        <v>43</v>
      </c>
      <c r="AA219">
        <v>48</v>
      </c>
      <c r="AB219">
        <v>59</v>
      </c>
      <c r="AC219">
        <v>66</v>
      </c>
      <c r="AD219">
        <v>66</v>
      </c>
      <c r="AE219">
        <v>68</v>
      </c>
      <c r="AF219">
        <v>62</v>
      </c>
      <c r="AG219">
        <v>58</v>
      </c>
      <c r="AH219">
        <v>50</v>
      </c>
      <c r="AI219">
        <v>46</v>
      </c>
      <c r="AJ219">
        <v>18</v>
      </c>
      <c r="AK219">
        <v>25</v>
      </c>
      <c r="AL219">
        <v>30</v>
      </c>
      <c r="AM219">
        <v>38</v>
      </c>
      <c r="AN219">
        <v>59</v>
      </c>
      <c r="AO219">
        <v>63</v>
      </c>
      <c r="AP219">
        <v>53</v>
      </c>
      <c r="AQ219">
        <v>63</v>
      </c>
      <c r="AR219">
        <v>68</v>
      </c>
      <c r="AS219">
        <v>70</v>
      </c>
      <c r="AT219">
        <v>63</v>
      </c>
      <c r="AU219">
        <v>59</v>
      </c>
      <c r="AV219">
        <v>55</v>
      </c>
      <c r="AW219">
        <v>49</v>
      </c>
      <c r="AX219">
        <v>42</v>
      </c>
      <c r="AY219">
        <v>40</v>
      </c>
      <c r="AZ219">
        <v>38</v>
      </c>
      <c r="BA219">
        <v>33</v>
      </c>
      <c r="BB219">
        <v>30</v>
      </c>
      <c r="BC219">
        <v>33</v>
      </c>
    </row>
    <row r="220" spans="1:55" x14ac:dyDescent="0.25">
      <c r="A220" t="s">
        <v>3854</v>
      </c>
      <c r="B220" t="s">
        <v>72</v>
      </c>
      <c r="C220" t="s">
        <v>88</v>
      </c>
      <c r="D220">
        <v>122</v>
      </c>
      <c r="E220">
        <v>38.06</v>
      </c>
      <c r="F220">
        <v>8</v>
      </c>
      <c r="G220">
        <v>13</v>
      </c>
      <c r="H220">
        <v>33</v>
      </c>
      <c r="I220">
        <v>35</v>
      </c>
      <c r="J220">
        <v>36</v>
      </c>
      <c r="K220">
        <v>34</v>
      </c>
      <c r="L220">
        <v>34</v>
      </c>
      <c r="M220">
        <v>29</v>
      </c>
      <c r="N220">
        <v>22</v>
      </c>
      <c r="O220">
        <v>20</v>
      </c>
      <c r="P220">
        <v>26</v>
      </c>
      <c r="Q220">
        <v>24</v>
      </c>
      <c r="R220">
        <v>31</v>
      </c>
      <c r="S220">
        <v>28</v>
      </c>
      <c r="T220">
        <v>33</v>
      </c>
      <c r="U220">
        <v>32</v>
      </c>
      <c r="V220">
        <v>33</v>
      </c>
      <c r="W220">
        <v>34</v>
      </c>
      <c r="X220">
        <v>35</v>
      </c>
      <c r="Y220">
        <v>38</v>
      </c>
      <c r="Z220">
        <v>41</v>
      </c>
      <c r="AA220">
        <v>42</v>
      </c>
      <c r="AB220">
        <v>54</v>
      </c>
      <c r="AC220">
        <v>53</v>
      </c>
      <c r="AD220">
        <v>62</v>
      </c>
      <c r="AE220">
        <v>55</v>
      </c>
      <c r="AF220">
        <v>49</v>
      </c>
      <c r="AG220">
        <v>47</v>
      </c>
      <c r="AH220">
        <v>38</v>
      </c>
      <c r="AI220">
        <v>43</v>
      </c>
      <c r="AJ220">
        <v>10</v>
      </c>
      <c r="AK220">
        <v>27</v>
      </c>
      <c r="AL220">
        <v>34</v>
      </c>
      <c r="AM220">
        <v>39</v>
      </c>
      <c r="AN220">
        <v>49</v>
      </c>
      <c r="AO220">
        <v>61</v>
      </c>
      <c r="AP220">
        <v>52</v>
      </c>
      <c r="AQ220">
        <v>61</v>
      </c>
      <c r="AR220">
        <v>64</v>
      </c>
      <c r="AS220">
        <v>67</v>
      </c>
      <c r="AT220">
        <v>62</v>
      </c>
      <c r="AU220">
        <v>50</v>
      </c>
      <c r="AV220">
        <v>49</v>
      </c>
      <c r="AW220">
        <v>34</v>
      </c>
      <c r="AX220">
        <v>30</v>
      </c>
      <c r="AY220">
        <v>38</v>
      </c>
      <c r="AZ220">
        <v>28</v>
      </c>
      <c r="BA220">
        <v>27</v>
      </c>
      <c r="BB220">
        <v>27</v>
      </c>
      <c r="BC220">
        <v>32</v>
      </c>
    </row>
    <row r="221" spans="1:55" x14ac:dyDescent="0.25">
      <c r="A221" t="s">
        <v>3855</v>
      </c>
      <c r="B221" t="s">
        <v>240</v>
      </c>
      <c r="C221" t="s">
        <v>88</v>
      </c>
      <c r="D221">
        <v>46</v>
      </c>
      <c r="E221">
        <v>45.3</v>
      </c>
      <c r="F221">
        <v>18</v>
      </c>
      <c r="G221">
        <v>27</v>
      </c>
      <c r="H221">
        <v>34</v>
      </c>
      <c r="I221">
        <v>22</v>
      </c>
      <c r="J221">
        <v>43</v>
      </c>
      <c r="K221">
        <v>35</v>
      </c>
      <c r="L221">
        <v>41</v>
      </c>
      <c r="M221">
        <v>36</v>
      </c>
      <c r="N221">
        <v>27</v>
      </c>
      <c r="O221">
        <v>35</v>
      </c>
      <c r="P221">
        <v>29</v>
      </c>
      <c r="Q221">
        <v>34</v>
      </c>
      <c r="R221">
        <v>30</v>
      </c>
      <c r="S221">
        <v>39</v>
      </c>
      <c r="T221">
        <v>34</v>
      </c>
      <c r="U221">
        <v>32</v>
      </c>
      <c r="V221">
        <v>36</v>
      </c>
      <c r="W221">
        <v>40</v>
      </c>
      <c r="X221">
        <v>53</v>
      </c>
      <c r="Y221">
        <v>44</v>
      </c>
      <c r="Z221">
        <v>51</v>
      </c>
      <c r="AA221">
        <v>50</v>
      </c>
      <c r="AB221">
        <v>57</v>
      </c>
      <c r="AC221">
        <v>68</v>
      </c>
      <c r="AD221">
        <v>65</v>
      </c>
      <c r="AE221">
        <v>72</v>
      </c>
      <c r="AF221">
        <v>74</v>
      </c>
      <c r="AG221">
        <v>61</v>
      </c>
      <c r="AH221">
        <v>61</v>
      </c>
      <c r="AI221">
        <v>63</v>
      </c>
      <c r="AJ221">
        <v>27</v>
      </c>
      <c r="AK221">
        <v>23</v>
      </c>
      <c r="AL221">
        <v>28</v>
      </c>
      <c r="AM221">
        <v>29</v>
      </c>
      <c r="AN221">
        <v>43</v>
      </c>
      <c r="AO221">
        <v>53</v>
      </c>
      <c r="AP221">
        <v>49</v>
      </c>
      <c r="AQ221">
        <v>65</v>
      </c>
      <c r="AR221">
        <v>65</v>
      </c>
      <c r="AS221">
        <v>80</v>
      </c>
      <c r="AT221">
        <v>70</v>
      </c>
      <c r="AU221">
        <v>67</v>
      </c>
      <c r="AV221">
        <v>60</v>
      </c>
      <c r="AW221">
        <v>43</v>
      </c>
      <c r="AX221">
        <v>43</v>
      </c>
      <c r="AY221">
        <v>47</v>
      </c>
      <c r="AZ221">
        <v>38</v>
      </c>
      <c r="BA221">
        <v>45</v>
      </c>
      <c r="BB221">
        <v>34</v>
      </c>
      <c r="BC221">
        <v>45</v>
      </c>
    </row>
    <row r="222" spans="1:55" x14ac:dyDescent="0.25">
      <c r="A222" t="s">
        <v>3856</v>
      </c>
      <c r="B222" t="s">
        <v>129</v>
      </c>
      <c r="C222" t="s">
        <v>88</v>
      </c>
      <c r="D222">
        <v>97</v>
      </c>
      <c r="E222">
        <v>40.5</v>
      </c>
      <c r="F222">
        <v>11</v>
      </c>
      <c r="G222">
        <v>23</v>
      </c>
      <c r="H222">
        <v>23</v>
      </c>
      <c r="I222">
        <v>25</v>
      </c>
      <c r="J222">
        <v>32</v>
      </c>
      <c r="K222">
        <v>21</v>
      </c>
      <c r="L222">
        <v>27</v>
      </c>
      <c r="M222">
        <v>22</v>
      </c>
      <c r="N222">
        <v>24</v>
      </c>
      <c r="O222">
        <v>29</v>
      </c>
      <c r="P222">
        <v>25</v>
      </c>
      <c r="Q222">
        <v>31</v>
      </c>
      <c r="R222">
        <v>26</v>
      </c>
      <c r="S222">
        <v>32</v>
      </c>
      <c r="T222">
        <v>27</v>
      </c>
      <c r="U222">
        <v>32</v>
      </c>
      <c r="V222">
        <v>32</v>
      </c>
      <c r="W222">
        <v>34</v>
      </c>
      <c r="X222">
        <v>45</v>
      </c>
      <c r="Y222">
        <v>44</v>
      </c>
      <c r="Z222">
        <v>45</v>
      </c>
      <c r="AA222">
        <v>54</v>
      </c>
      <c r="AB222">
        <v>57</v>
      </c>
      <c r="AC222">
        <v>60</v>
      </c>
      <c r="AD222">
        <v>65</v>
      </c>
      <c r="AE222">
        <v>52</v>
      </c>
      <c r="AF222">
        <v>56</v>
      </c>
      <c r="AG222">
        <v>61</v>
      </c>
      <c r="AH222">
        <v>51</v>
      </c>
      <c r="AI222">
        <v>50</v>
      </c>
      <c r="AJ222">
        <v>18</v>
      </c>
      <c r="AK222">
        <v>45</v>
      </c>
      <c r="AL222">
        <v>45</v>
      </c>
      <c r="AM222">
        <v>46</v>
      </c>
      <c r="AN222">
        <v>60</v>
      </c>
      <c r="AO222">
        <v>66</v>
      </c>
      <c r="AP222">
        <v>54</v>
      </c>
      <c r="AQ222">
        <v>53</v>
      </c>
      <c r="AR222">
        <v>58</v>
      </c>
      <c r="AS222">
        <v>53</v>
      </c>
      <c r="AT222">
        <v>53</v>
      </c>
      <c r="AU222">
        <v>47</v>
      </c>
      <c r="AV222">
        <v>47</v>
      </c>
      <c r="AW222">
        <v>42</v>
      </c>
      <c r="AX222">
        <v>39</v>
      </c>
      <c r="AY222">
        <v>37</v>
      </c>
      <c r="AZ222">
        <v>39</v>
      </c>
      <c r="BA222">
        <v>40</v>
      </c>
      <c r="BB222">
        <v>32</v>
      </c>
      <c r="BC222">
        <v>35</v>
      </c>
    </row>
    <row r="223" spans="1:55" x14ac:dyDescent="0.25">
      <c r="A223" t="s">
        <v>3857</v>
      </c>
      <c r="B223" t="s">
        <v>241</v>
      </c>
      <c r="C223" t="s">
        <v>88</v>
      </c>
      <c r="D223">
        <v>166</v>
      </c>
      <c r="E223">
        <v>35.619999999999997</v>
      </c>
      <c r="F223">
        <v>12</v>
      </c>
      <c r="G223">
        <v>20</v>
      </c>
      <c r="H223">
        <v>23</v>
      </c>
      <c r="I223">
        <v>21</v>
      </c>
      <c r="J223">
        <v>22</v>
      </c>
      <c r="K223">
        <v>23</v>
      </c>
      <c r="L223">
        <v>21</v>
      </c>
      <c r="M223">
        <v>24</v>
      </c>
      <c r="N223">
        <v>22</v>
      </c>
      <c r="O223">
        <v>23</v>
      </c>
      <c r="P223">
        <v>27</v>
      </c>
      <c r="Q223">
        <v>32</v>
      </c>
      <c r="R223">
        <v>30</v>
      </c>
      <c r="S223">
        <v>28</v>
      </c>
      <c r="T223">
        <v>33</v>
      </c>
      <c r="U223">
        <v>29</v>
      </c>
      <c r="V223">
        <v>32</v>
      </c>
      <c r="W223">
        <v>33</v>
      </c>
      <c r="X223">
        <v>34</v>
      </c>
      <c r="Y223">
        <v>35</v>
      </c>
      <c r="Z223">
        <v>38</v>
      </c>
      <c r="AA223">
        <v>49</v>
      </c>
      <c r="AB223">
        <v>48</v>
      </c>
      <c r="AC223">
        <v>56</v>
      </c>
      <c r="AD223">
        <v>49</v>
      </c>
      <c r="AE223">
        <v>52</v>
      </c>
      <c r="AF223">
        <v>56</v>
      </c>
      <c r="AG223">
        <v>49</v>
      </c>
      <c r="AH223">
        <v>44</v>
      </c>
      <c r="AI223">
        <v>44</v>
      </c>
      <c r="AJ223">
        <v>13</v>
      </c>
      <c r="AK223">
        <v>27</v>
      </c>
      <c r="AL223">
        <v>25</v>
      </c>
      <c r="AM223">
        <v>39</v>
      </c>
      <c r="AN223">
        <v>49</v>
      </c>
      <c r="AO223">
        <v>51</v>
      </c>
      <c r="AP223">
        <v>51</v>
      </c>
      <c r="AQ223">
        <v>40</v>
      </c>
      <c r="AR223">
        <v>53</v>
      </c>
      <c r="AS223">
        <v>55</v>
      </c>
      <c r="AT223">
        <v>51</v>
      </c>
      <c r="AU223">
        <v>48</v>
      </c>
      <c r="AV223">
        <v>44</v>
      </c>
      <c r="AW223">
        <v>41</v>
      </c>
      <c r="AX223">
        <v>37</v>
      </c>
      <c r="AY223">
        <v>29</v>
      </c>
      <c r="AZ223">
        <v>32</v>
      </c>
      <c r="BA223">
        <v>34</v>
      </c>
      <c r="BB223">
        <v>28</v>
      </c>
      <c r="BC223">
        <v>25</v>
      </c>
    </row>
    <row r="224" spans="1:55" x14ac:dyDescent="0.25">
      <c r="A224" t="s">
        <v>3858</v>
      </c>
      <c r="B224" t="s">
        <v>242</v>
      </c>
      <c r="C224" t="s">
        <v>88</v>
      </c>
      <c r="D224">
        <v>99</v>
      </c>
      <c r="E224">
        <v>52.56</v>
      </c>
      <c r="F224">
        <v>20</v>
      </c>
      <c r="G224">
        <v>36</v>
      </c>
      <c r="H224">
        <v>54</v>
      </c>
      <c r="I224">
        <v>48</v>
      </c>
      <c r="J224">
        <v>53</v>
      </c>
      <c r="K224">
        <v>48</v>
      </c>
      <c r="L224">
        <v>50</v>
      </c>
      <c r="M224">
        <v>46</v>
      </c>
      <c r="N224">
        <v>44</v>
      </c>
      <c r="O224">
        <v>43</v>
      </c>
      <c r="P224">
        <v>40</v>
      </c>
      <c r="Q224">
        <v>43</v>
      </c>
      <c r="R224">
        <v>45</v>
      </c>
      <c r="S224">
        <v>47</v>
      </c>
      <c r="T224">
        <v>53</v>
      </c>
      <c r="U224">
        <v>42</v>
      </c>
      <c r="V224">
        <v>50</v>
      </c>
      <c r="W224">
        <v>47</v>
      </c>
      <c r="X224">
        <v>45</v>
      </c>
      <c r="Y224">
        <v>60</v>
      </c>
      <c r="Z224">
        <v>58</v>
      </c>
      <c r="AA224">
        <v>59</v>
      </c>
      <c r="AB224">
        <v>77</v>
      </c>
      <c r="AC224">
        <v>76</v>
      </c>
      <c r="AD224">
        <v>63</v>
      </c>
      <c r="AE224">
        <v>67</v>
      </c>
      <c r="AF224">
        <v>54</v>
      </c>
      <c r="AG224">
        <v>68</v>
      </c>
      <c r="AH224">
        <v>55</v>
      </c>
      <c r="AI224">
        <v>51</v>
      </c>
      <c r="AJ224">
        <v>13</v>
      </c>
      <c r="AK224">
        <v>47</v>
      </c>
      <c r="AL224">
        <v>45</v>
      </c>
      <c r="AM224">
        <v>43</v>
      </c>
      <c r="AN224">
        <v>65</v>
      </c>
      <c r="AO224">
        <v>71</v>
      </c>
      <c r="AP224">
        <v>68</v>
      </c>
      <c r="AQ224">
        <v>73</v>
      </c>
      <c r="AR224">
        <v>71</v>
      </c>
      <c r="AS224">
        <v>72</v>
      </c>
      <c r="AT224">
        <v>66</v>
      </c>
      <c r="AU224">
        <v>55</v>
      </c>
      <c r="AV224">
        <v>61</v>
      </c>
      <c r="AW224">
        <v>56</v>
      </c>
      <c r="AX224">
        <v>45</v>
      </c>
      <c r="AY224">
        <v>47</v>
      </c>
      <c r="AZ224">
        <v>53</v>
      </c>
      <c r="BA224">
        <v>48</v>
      </c>
      <c r="BB224">
        <v>41</v>
      </c>
      <c r="BC224">
        <v>46</v>
      </c>
    </row>
    <row r="225" spans="1:55" x14ac:dyDescent="0.25">
      <c r="A225" t="s">
        <v>3859</v>
      </c>
      <c r="B225" t="s">
        <v>132</v>
      </c>
      <c r="C225" t="s">
        <v>88</v>
      </c>
      <c r="D225">
        <v>139</v>
      </c>
      <c r="E225">
        <v>35.78</v>
      </c>
      <c r="F225">
        <v>13</v>
      </c>
      <c r="G225">
        <v>17</v>
      </c>
      <c r="H225">
        <v>19</v>
      </c>
      <c r="I225">
        <v>13</v>
      </c>
      <c r="J225">
        <v>16</v>
      </c>
      <c r="K225">
        <v>18</v>
      </c>
      <c r="L225">
        <v>19</v>
      </c>
      <c r="M225">
        <v>17</v>
      </c>
      <c r="N225">
        <v>19</v>
      </c>
      <c r="O225">
        <v>14</v>
      </c>
      <c r="P225">
        <v>16</v>
      </c>
      <c r="Q225">
        <v>14</v>
      </c>
      <c r="R225">
        <v>17</v>
      </c>
      <c r="S225">
        <v>21</v>
      </c>
      <c r="T225">
        <v>25</v>
      </c>
      <c r="U225">
        <v>24</v>
      </c>
      <c r="V225">
        <v>24</v>
      </c>
      <c r="W225">
        <v>30</v>
      </c>
      <c r="X225">
        <v>27</v>
      </c>
      <c r="Y225">
        <v>32</v>
      </c>
      <c r="Z225">
        <v>33</v>
      </c>
      <c r="AA225">
        <v>38</v>
      </c>
      <c r="AB225">
        <v>35</v>
      </c>
      <c r="AC225">
        <v>45</v>
      </c>
      <c r="AD225">
        <v>48</v>
      </c>
      <c r="AE225">
        <v>41</v>
      </c>
      <c r="AF225">
        <v>47</v>
      </c>
      <c r="AG225">
        <v>47</v>
      </c>
      <c r="AH225">
        <v>48</v>
      </c>
      <c r="AI225">
        <v>49</v>
      </c>
      <c r="AJ225">
        <v>23</v>
      </c>
      <c r="AK225">
        <v>38</v>
      </c>
      <c r="AL225">
        <v>42</v>
      </c>
      <c r="AM225">
        <v>35</v>
      </c>
      <c r="AN225">
        <v>56</v>
      </c>
      <c r="AO225">
        <v>60</v>
      </c>
      <c r="AP225">
        <v>43</v>
      </c>
      <c r="AQ225">
        <v>44</v>
      </c>
      <c r="AR225">
        <v>59</v>
      </c>
      <c r="AS225">
        <v>68</v>
      </c>
      <c r="AT225">
        <v>63</v>
      </c>
      <c r="AU225">
        <v>61</v>
      </c>
      <c r="AV225">
        <v>58</v>
      </c>
      <c r="AW225">
        <v>62</v>
      </c>
      <c r="AX225">
        <v>53</v>
      </c>
      <c r="AY225">
        <v>50</v>
      </c>
      <c r="AZ225">
        <v>39</v>
      </c>
      <c r="BA225">
        <v>42</v>
      </c>
      <c r="BB225">
        <v>40</v>
      </c>
      <c r="BC225">
        <v>27</v>
      </c>
    </row>
    <row r="226" spans="1:55" x14ac:dyDescent="0.25">
      <c r="A226" t="s">
        <v>3860</v>
      </c>
      <c r="B226" t="s">
        <v>243</v>
      </c>
      <c r="C226" t="s">
        <v>88</v>
      </c>
      <c r="D226">
        <v>207</v>
      </c>
      <c r="E226">
        <v>53.3</v>
      </c>
      <c r="F226">
        <v>12</v>
      </c>
      <c r="G226">
        <v>22</v>
      </c>
      <c r="H226">
        <v>20</v>
      </c>
      <c r="I226">
        <v>25</v>
      </c>
      <c r="J226">
        <v>32</v>
      </c>
      <c r="K226">
        <v>32</v>
      </c>
      <c r="L226">
        <v>35</v>
      </c>
      <c r="M226">
        <v>29</v>
      </c>
      <c r="N226">
        <v>31</v>
      </c>
      <c r="O226">
        <v>24</v>
      </c>
      <c r="P226">
        <v>32</v>
      </c>
      <c r="Q226">
        <v>34</v>
      </c>
      <c r="R226">
        <v>35</v>
      </c>
      <c r="S226">
        <v>38</v>
      </c>
      <c r="T226">
        <v>35</v>
      </c>
      <c r="U226">
        <v>34</v>
      </c>
      <c r="V226">
        <v>44</v>
      </c>
      <c r="W226">
        <v>43</v>
      </c>
      <c r="X226">
        <v>48</v>
      </c>
      <c r="Y226">
        <v>55</v>
      </c>
      <c r="Z226">
        <v>55</v>
      </c>
      <c r="AA226">
        <v>65</v>
      </c>
      <c r="AB226">
        <v>64</v>
      </c>
      <c r="AC226">
        <v>71</v>
      </c>
      <c r="AD226">
        <v>70</v>
      </c>
      <c r="AE226">
        <v>71</v>
      </c>
      <c r="AF226">
        <v>75</v>
      </c>
      <c r="AG226">
        <v>73</v>
      </c>
      <c r="AH226">
        <v>72</v>
      </c>
      <c r="AI226">
        <v>65</v>
      </c>
      <c r="AJ226">
        <v>49</v>
      </c>
      <c r="AK226">
        <v>59</v>
      </c>
      <c r="AL226">
        <v>64</v>
      </c>
      <c r="AM226">
        <v>64</v>
      </c>
      <c r="AN226">
        <v>79</v>
      </c>
      <c r="AO226">
        <v>70</v>
      </c>
      <c r="AP226">
        <v>73</v>
      </c>
      <c r="AQ226">
        <v>67</v>
      </c>
      <c r="AR226">
        <v>76</v>
      </c>
      <c r="AS226">
        <v>73</v>
      </c>
      <c r="AT226">
        <v>72</v>
      </c>
      <c r="AU226">
        <v>71</v>
      </c>
      <c r="AV226">
        <v>72</v>
      </c>
      <c r="AW226">
        <v>72</v>
      </c>
      <c r="AX226">
        <v>58</v>
      </c>
      <c r="AY226">
        <v>59</v>
      </c>
      <c r="AZ226">
        <v>65</v>
      </c>
      <c r="BA226">
        <v>63</v>
      </c>
      <c r="BB226">
        <v>60</v>
      </c>
      <c r="BC226">
        <v>58</v>
      </c>
    </row>
    <row r="227" spans="1:55" x14ac:dyDescent="0.25">
      <c r="A227" t="s">
        <v>3861</v>
      </c>
      <c r="B227" t="s">
        <v>37</v>
      </c>
      <c r="C227" t="s">
        <v>88</v>
      </c>
      <c r="D227">
        <v>1542</v>
      </c>
      <c r="E227">
        <v>61.1</v>
      </c>
      <c r="F227">
        <v>20</v>
      </c>
      <c r="G227">
        <v>33</v>
      </c>
      <c r="H227">
        <v>34</v>
      </c>
      <c r="I227">
        <v>40</v>
      </c>
      <c r="J227">
        <v>45</v>
      </c>
      <c r="K227">
        <v>44</v>
      </c>
      <c r="L227">
        <v>47</v>
      </c>
      <c r="M227">
        <v>46</v>
      </c>
      <c r="N227">
        <v>42</v>
      </c>
      <c r="O227">
        <v>48</v>
      </c>
      <c r="P227">
        <v>53</v>
      </c>
      <c r="Q227">
        <v>54</v>
      </c>
      <c r="R227">
        <v>52</v>
      </c>
      <c r="S227">
        <v>53</v>
      </c>
      <c r="T227">
        <v>54</v>
      </c>
      <c r="U227">
        <v>56</v>
      </c>
      <c r="V227">
        <v>59</v>
      </c>
      <c r="W227">
        <v>59</v>
      </c>
      <c r="X227">
        <v>61</v>
      </c>
      <c r="Y227">
        <v>69</v>
      </c>
      <c r="Z227">
        <v>70</v>
      </c>
      <c r="AA227">
        <v>74</v>
      </c>
      <c r="AB227">
        <v>77</v>
      </c>
      <c r="AC227">
        <v>79</v>
      </c>
      <c r="AD227">
        <v>82</v>
      </c>
      <c r="AE227">
        <v>82</v>
      </c>
      <c r="AF227">
        <v>81</v>
      </c>
      <c r="AG227">
        <v>79</v>
      </c>
      <c r="AH227">
        <v>79</v>
      </c>
      <c r="AI227">
        <v>77</v>
      </c>
      <c r="AJ227">
        <v>54</v>
      </c>
      <c r="AK227">
        <v>69</v>
      </c>
      <c r="AL227">
        <v>67</v>
      </c>
      <c r="AM227">
        <v>67</v>
      </c>
      <c r="AN227">
        <v>80</v>
      </c>
      <c r="AO227">
        <v>78</v>
      </c>
      <c r="AP227">
        <v>71</v>
      </c>
      <c r="AQ227">
        <v>70</v>
      </c>
      <c r="AR227">
        <v>72</v>
      </c>
      <c r="AS227">
        <v>70</v>
      </c>
      <c r="AT227">
        <v>64</v>
      </c>
      <c r="AU227">
        <v>62</v>
      </c>
      <c r="AV227">
        <v>64</v>
      </c>
      <c r="AW227">
        <v>65</v>
      </c>
      <c r="AX227">
        <v>59</v>
      </c>
      <c r="AY227">
        <v>64</v>
      </c>
      <c r="AZ227">
        <v>59</v>
      </c>
      <c r="BA227">
        <v>60</v>
      </c>
      <c r="BB227">
        <v>54</v>
      </c>
      <c r="BC227">
        <v>57</v>
      </c>
    </row>
    <row r="228" spans="1:55" x14ac:dyDescent="0.25">
      <c r="A228" t="s">
        <v>3862</v>
      </c>
      <c r="B228" t="s">
        <v>134</v>
      </c>
      <c r="C228" t="s">
        <v>88</v>
      </c>
      <c r="D228">
        <v>436</v>
      </c>
      <c r="E228">
        <v>57.52</v>
      </c>
      <c r="F228">
        <v>14</v>
      </c>
      <c r="G228">
        <v>29</v>
      </c>
      <c r="H228">
        <v>29</v>
      </c>
      <c r="I228">
        <v>37</v>
      </c>
      <c r="J228">
        <v>40</v>
      </c>
      <c r="K228">
        <v>40</v>
      </c>
      <c r="L228">
        <v>44</v>
      </c>
      <c r="M228">
        <v>41</v>
      </c>
      <c r="N228">
        <v>40</v>
      </c>
      <c r="O228">
        <v>45</v>
      </c>
      <c r="P228">
        <v>50</v>
      </c>
      <c r="Q228">
        <v>52</v>
      </c>
      <c r="R228">
        <v>49</v>
      </c>
      <c r="S228">
        <v>48</v>
      </c>
      <c r="T228">
        <v>49</v>
      </c>
      <c r="U228">
        <v>52</v>
      </c>
      <c r="V228">
        <v>53</v>
      </c>
      <c r="W228">
        <v>55</v>
      </c>
      <c r="X228">
        <v>56</v>
      </c>
      <c r="Y228">
        <v>64</v>
      </c>
      <c r="Z228">
        <v>65</v>
      </c>
      <c r="AA228">
        <v>69</v>
      </c>
      <c r="AB228">
        <v>74</v>
      </c>
      <c r="AC228">
        <v>74</v>
      </c>
      <c r="AD228">
        <v>80</v>
      </c>
      <c r="AE228">
        <v>80</v>
      </c>
      <c r="AF228">
        <v>80</v>
      </c>
      <c r="AG228">
        <v>78</v>
      </c>
      <c r="AH228">
        <v>77</v>
      </c>
      <c r="AI228">
        <v>76</v>
      </c>
      <c r="AJ228">
        <v>53</v>
      </c>
      <c r="AK228">
        <v>66</v>
      </c>
      <c r="AL228">
        <v>68</v>
      </c>
      <c r="AM228">
        <v>66</v>
      </c>
      <c r="AN228">
        <v>79</v>
      </c>
      <c r="AO228">
        <v>78</v>
      </c>
      <c r="AP228">
        <v>67</v>
      </c>
      <c r="AQ228">
        <v>65</v>
      </c>
      <c r="AR228">
        <v>64</v>
      </c>
      <c r="AS228">
        <v>62</v>
      </c>
      <c r="AT228">
        <v>57</v>
      </c>
      <c r="AU228">
        <v>54</v>
      </c>
      <c r="AV228">
        <v>55</v>
      </c>
      <c r="AW228">
        <v>58</v>
      </c>
      <c r="AX228">
        <v>51</v>
      </c>
      <c r="AY228">
        <v>56</v>
      </c>
      <c r="AZ228">
        <v>61</v>
      </c>
      <c r="BA228">
        <v>62</v>
      </c>
      <c r="BB228">
        <v>53</v>
      </c>
      <c r="BC228">
        <v>61</v>
      </c>
    </row>
    <row r="229" spans="1:55" x14ac:dyDescent="0.25">
      <c r="A229" t="s">
        <v>3863</v>
      </c>
      <c r="B229" t="s">
        <v>135</v>
      </c>
      <c r="C229" t="s">
        <v>88</v>
      </c>
      <c r="D229">
        <v>201</v>
      </c>
      <c r="E229">
        <v>65.099999999999994</v>
      </c>
      <c r="F229">
        <v>28</v>
      </c>
      <c r="G229">
        <v>32</v>
      </c>
      <c r="H229">
        <v>35</v>
      </c>
      <c r="I229">
        <v>41</v>
      </c>
      <c r="J229">
        <v>49</v>
      </c>
      <c r="K229">
        <v>51</v>
      </c>
      <c r="L229">
        <v>48</v>
      </c>
      <c r="M229">
        <v>51</v>
      </c>
      <c r="N229">
        <v>42</v>
      </c>
      <c r="O229">
        <v>51</v>
      </c>
      <c r="P229">
        <v>53</v>
      </c>
      <c r="Q229">
        <v>49</v>
      </c>
      <c r="R229">
        <v>49</v>
      </c>
      <c r="S229">
        <v>54</v>
      </c>
      <c r="T229">
        <v>54</v>
      </c>
      <c r="U229">
        <v>57</v>
      </c>
      <c r="V229">
        <v>64</v>
      </c>
      <c r="W229">
        <v>60</v>
      </c>
      <c r="X229">
        <v>62</v>
      </c>
      <c r="Y229">
        <v>74</v>
      </c>
      <c r="Z229">
        <v>74</v>
      </c>
      <c r="AA229">
        <v>81</v>
      </c>
      <c r="AB229">
        <v>84</v>
      </c>
      <c r="AC229">
        <v>85</v>
      </c>
      <c r="AD229">
        <v>82</v>
      </c>
      <c r="AE229">
        <v>83</v>
      </c>
      <c r="AF229">
        <v>85</v>
      </c>
      <c r="AG229">
        <v>82</v>
      </c>
      <c r="AH229">
        <v>81</v>
      </c>
      <c r="AI229">
        <v>78</v>
      </c>
      <c r="AJ229">
        <v>66</v>
      </c>
      <c r="AK229">
        <v>66</v>
      </c>
      <c r="AL229">
        <v>68</v>
      </c>
      <c r="AM229">
        <v>66</v>
      </c>
      <c r="AN229">
        <v>83</v>
      </c>
      <c r="AO229">
        <v>78</v>
      </c>
      <c r="AP229">
        <v>73</v>
      </c>
      <c r="AQ229">
        <v>77</v>
      </c>
      <c r="AR229">
        <v>77</v>
      </c>
      <c r="AS229">
        <v>76</v>
      </c>
      <c r="AT229">
        <v>77</v>
      </c>
      <c r="AU229">
        <v>71</v>
      </c>
      <c r="AV229">
        <v>75</v>
      </c>
      <c r="AW229">
        <v>74</v>
      </c>
      <c r="AX229">
        <v>71</v>
      </c>
      <c r="AY229">
        <v>69</v>
      </c>
      <c r="AZ229">
        <v>69</v>
      </c>
      <c r="BA229">
        <v>72</v>
      </c>
      <c r="BB229">
        <v>58</v>
      </c>
      <c r="BC229">
        <v>70</v>
      </c>
    </row>
    <row r="230" spans="1:55" x14ac:dyDescent="0.25">
      <c r="A230" t="s">
        <v>3864</v>
      </c>
      <c r="B230" t="s">
        <v>136</v>
      </c>
      <c r="C230" t="s">
        <v>88</v>
      </c>
      <c r="D230">
        <v>600</v>
      </c>
      <c r="E230">
        <v>65.44</v>
      </c>
      <c r="F230">
        <v>26</v>
      </c>
      <c r="G230">
        <v>40</v>
      </c>
      <c r="H230">
        <v>41</v>
      </c>
      <c r="I230">
        <v>44</v>
      </c>
      <c r="J230">
        <v>48</v>
      </c>
      <c r="K230">
        <v>48</v>
      </c>
      <c r="L230">
        <v>52</v>
      </c>
      <c r="M230">
        <v>51</v>
      </c>
      <c r="N230">
        <v>46</v>
      </c>
      <c r="O230">
        <v>53</v>
      </c>
      <c r="P230">
        <v>57</v>
      </c>
      <c r="Q230">
        <v>60</v>
      </c>
      <c r="R230">
        <v>57</v>
      </c>
      <c r="S230">
        <v>59</v>
      </c>
      <c r="T230">
        <v>59</v>
      </c>
      <c r="U230">
        <v>62</v>
      </c>
      <c r="V230">
        <v>65</v>
      </c>
      <c r="W230">
        <v>65</v>
      </c>
      <c r="X230">
        <v>66</v>
      </c>
      <c r="Y230">
        <v>73</v>
      </c>
      <c r="Z230">
        <v>74</v>
      </c>
      <c r="AA230">
        <v>77</v>
      </c>
      <c r="AB230">
        <v>80</v>
      </c>
      <c r="AC230">
        <v>83</v>
      </c>
      <c r="AD230">
        <v>84</v>
      </c>
      <c r="AE230">
        <v>83</v>
      </c>
      <c r="AF230">
        <v>81</v>
      </c>
      <c r="AG230">
        <v>81</v>
      </c>
      <c r="AH230">
        <v>82</v>
      </c>
      <c r="AI230">
        <v>80</v>
      </c>
      <c r="AJ230">
        <v>51</v>
      </c>
      <c r="AK230">
        <v>74</v>
      </c>
      <c r="AL230">
        <v>69</v>
      </c>
      <c r="AM230">
        <v>69</v>
      </c>
      <c r="AN230">
        <v>81</v>
      </c>
      <c r="AO230">
        <v>80</v>
      </c>
      <c r="AP230">
        <v>76</v>
      </c>
      <c r="AQ230">
        <v>74</v>
      </c>
      <c r="AR230">
        <v>78</v>
      </c>
      <c r="AS230">
        <v>78</v>
      </c>
      <c r="AT230">
        <v>70</v>
      </c>
      <c r="AU230">
        <v>70</v>
      </c>
      <c r="AV230">
        <v>71</v>
      </c>
      <c r="AW230">
        <v>71</v>
      </c>
      <c r="AX230">
        <v>64</v>
      </c>
      <c r="AY230">
        <v>72</v>
      </c>
      <c r="AZ230">
        <v>65</v>
      </c>
      <c r="BA230">
        <v>63</v>
      </c>
      <c r="BB230">
        <v>61</v>
      </c>
      <c r="BC230">
        <v>58</v>
      </c>
    </row>
    <row r="231" spans="1:55" x14ac:dyDescent="0.25">
      <c r="A231" t="s">
        <v>3865</v>
      </c>
      <c r="B231" t="s">
        <v>38</v>
      </c>
      <c r="C231" t="s">
        <v>88</v>
      </c>
      <c r="D231">
        <v>5004</v>
      </c>
      <c r="E231">
        <v>37.799999999999997</v>
      </c>
      <c r="F231">
        <v>12</v>
      </c>
      <c r="G231">
        <v>20</v>
      </c>
      <c r="H231">
        <v>22</v>
      </c>
      <c r="I231">
        <v>23</v>
      </c>
      <c r="J231">
        <v>24</v>
      </c>
      <c r="K231">
        <v>24</v>
      </c>
      <c r="L231">
        <v>26</v>
      </c>
      <c r="M231">
        <v>25</v>
      </c>
      <c r="N231">
        <v>24</v>
      </c>
      <c r="O231">
        <v>22</v>
      </c>
      <c r="P231">
        <v>27</v>
      </c>
      <c r="Q231">
        <v>29</v>
      </c>
      <c r="R231">
        <v>30</v>
      </c>
      <c r="S231">
        <v>31</v>
      </c>
      <c r="T231">
        <v>31</v>
      </c>
      <c r="U231">
        <v>30</v>
      </c>
      <c r="V231">
        <v>35</v>
      </c>
      <c r="W231">
        <v>37</v>
      </c>
      <c r="X231">
        <v>37</v>
      </c>
      <c r="Y231">
        <v>41</v>
      </c>
      <c r="Z231">
        <v>41</v>
      </c>
      <c r="AA231">
        <v>42</v>
      </c>
      <c r="AB231">
        <v>48</v>
      </c>
      <c r="AC231">
        <v>52</v>
      </c>
      <c r="AD231">
        <v>54</v>
      </c>
      <c r="AE231">
        <v>54</v>
      </c>
      <c r="AF231">
        <v>54</v>
      </c>
      <c r="AG231">
        <v>52</v>
      </c>
      <c r="AH231">
        <v>50</v>
      </c>
      <c r="AI231">
        <v>49</v>
      </c>
      <c r="AJ231">
        <v>22</v>
      </c>
      <c r="AK231">
        <v>34</v>
      </c>
      <c r="AL231">
        <v>32</v>
      </c>
      <c r="AM231">
        <v>35</v>
      </c>
      <c r="AN231">
        <v>52</v>
      </c>
      <c r="AO231">
        <v>52</v>
      </c>
      <c r="AP231">
        <v>47</v>
      </c>
      <c r="AQ231">
        <v>48</v>
      </c>
      <c r="AR231">
        <v>52</v>
      </c>
      <c r="AS231">
        <v>53</v>
      </c>
      <c r="AT231">
        <v>50</v>
      </c>
      <c r="AU231">
        <v>49</v>
      </c>
      <c r="AV231">
        <v>48</v>
      </c>
      <c r="AW231">
        <v>46</v>
      </c>
      <c r="AX231">
        <v>42</v>
      </c>
      <c r="AY231">
        <v>40</v>
      </c>
      <c r="AZ231">
        <v>41</v>
      </c>
      <c r="BA231">
        <v>37</v>
      </c>
      <c r="BB231">
        <v>31</v>
      </c>
      <c r="BC231">
        <v>33</v>
      </c>
    </row>
    <row r="232" spans="1:55" x14ac:dyDescent="0.25">
      <c r="A232" t="s">
        <v>3866</v>
      </c>
      <c r="B232" t="s">
        <v>137</v>
      </c>
      <c r="C232" t="s">
        <v>88</v>
      </c>
      <c r="D232">
        <v>2336</v>
      </c>
      <c r="E232">
        <v>35.04</v>
      </c>
      <c r="F232">
        <v>10</v>
      </c>
      <c r="G232">
        <v>17</v>
      </c>
      <c r="H232">
        <v>20</v>
      </c>
      <c r="I232">
        <v>22</v>
      </c>
      <c r="J232">
        <v>22</v>
      </c>
      <c r="K232">
        <v>22</v>
      </c>
      <c r="L232">
        <v>23</v>
      </c>
      <c r="M232">
        <v>23</v>
      </c>
      <c r="N232">
        <v>23</v>
      </c>
      <c r="O232">
        <v>20</v>
      </c>
      <c r="P232">
        <v>23</v>
      </c>
      <c r="Q232">
        <v>26</v>
      </c>
      <c r="R232">
        <v>28</v>
      </c>
      <c r="S232">
        <v>27</v>
      </c>
      <c r="T232">
        <v>27</v>
      </c>
      <c r="U232">
        <v>27</v>
      </c>
      <c r="V232">
        <v>30</v>
      </c>
      <c r="W232">
        <v>32</v>
      </c>
      <c r="X232">
        <v>34</v>
      </c>
      <c r="Y232">
        <v>37</v>
      </c>
      <c r="Z232">
        <v>37</v>
      </c>
      <c r="AA232">
        <v>39</v>
      </c>
      <c r="AB232">
        <v>45</v>
      </c>
      <c r="AC232">
        <v>49</v>
      </c>
      <c r="AD232">
        <v>52</v>
      </c>
      <c r="AE232">
        <v>53</v>
      </c>
      <c r="AF232">
        <v>52</v>
      </c>
      <c r="AG232">
        <v>50</v>
      </c>
      <c r="AH232">
        <v>45</v>
      </c>
      <c r="AI232">
        <v>43</v>
      </c>
      <c r="AJ232">
        <v>20</v>
      </c>
      <c r="AK232">
        <v>30</v>
      </c>
      <c r="AL232">
        <v>31</v>
      </c>
      <c r="AM232">
        <v>33</v>
      </c>
      <c r="AN232">
        <v>50</v>
      </c>
      <c r="AO232">
        <v>51</v>
      </c>
      <c r="AP232">
        <v>44</v>
      </c>
      <c r="AQ232">
        <v>47</v>
      </c>
      <c r="AR232">
        <v>50</v>
      </c>
      <c r="AS232">
        <v>51</v>
      </c>
      <c r="AT232">
        <v>48</v>
      </c>
      <c r="AU232">
        <v>48</v>
      </c>
      <c r="AV232">
        <v>44</v>
      </c>
      <c r="AW232">
        <v>42</v>
      </c>
      <c r="AX232">
        <v>38</v>
      </c>
      <c r="AY232">
        <v>36</v>
      </c>
      <c r="AZ232">
        <v>38</v>
      </c>
      <c r="BA232">
        <v>34</v>
      </c>
      <c r="BB232">
        <v>28</v>
      </c>
      <c r="BC232">
        <v>31</v>
      </c>
    </row>
    <row r="233" spans="1:55" x14ac:dyDescent="0.25">
      <c r="A233" t="s">
        <v>3867</v>
      </c>
      <c r="B233" t="s">
        <v>138</v>
      </c>
      <c r="C233" t="s">
        <v>88</v>
      </c>
      <c r="D233">
        <v>2668</v>
      </c>
      <c r="E233">
        <v>38.880000000000003</v>
      </c>
      <c r="F233">
        <v>15</v>
      </c>
      <c r="G233">
        <v>22</v>
      </c>
      <c r="H233">
        <v>23</v>
      </c>
      <c r="I233">
        <v>23</v>
      </c>
      <c r="J233">
        <v>25</v>
      </c>
      <c r="K233">
        <v>25</v>
      </c>
      <c r="L233">
        <v>28</v>
      </c>
      <c r="M233">
        <v>27</v>
      </c>
      <c r="N233">
        <v>26</v>
      </c>
      <c r="O233">
        <v>24</v>
      </c>
      <c r="P233">
        <v>29</v>
      </c>
      <c r="Q233">
        <v>31</v>
      </c>
      <c r="R233">
        <v>31</v>
      </c>
      <c r="S233">
        <v>34</v>
      </c>
      <c r="T233">
        <v>34</v>
      </c>
      <c r="U233">
        <v>33</v>
      </c>
      <c r="V233">
        <v>37</v>
      </c>
      <c r="W233">
        <v>40</v>
      </c>
      <c r="X233">
        <v>39</v>
      </c>
      <c r="Y233">
        <v>43</v>
      </c>
      <c r="Z233">
        <v>42</v>
      </c>
      <c r="AA233">
        <v>43</v>
      </c>
      <c r="AB233">
        <v>49</v>
      </c>
      <c r="AC233">
        <v>51</v>
      </c>
      <c r="AD233">
        <v>53</v>
      </c>
      <c r="AE233">
        <v>53</v>
      </c>
      <c r="AF233">
        <v>53</v>
      </c>
      <c r="AG233">
        <v>51</v>
      </c>
      <c r="AH233">
        <v>53</v>
      </c>
      <c r="AI233">
        <v>52</v>
      </c>
      <c r="AJ233">
        <v>23</v>
      </c>
      <c r="AK233">
        <v>38</v>
      </c>
      <c r="AL233">
        <v>33</v>
      </c>
      <c r="AM233">
        <v>35</v>
      </c>
      <c r="AN233">
        <v>53</v>
      </c>
      <c r="AO233">
        <v>52</v>
      </c>
      <c r="AP233">
        <v>48</v>
      </c>
      <c r="AQ233">
        <v>47</v>
      </c>
      <c r="AR233">
        <v>51</v>
      </c>
      <c r="AS233">
        <v>52</v>
      </c>
      <c r="AT233">
        <v>49</v>
      </c>
      <c r="AU233">
        <v>47</v>
      </c>
      <c r="AV233">
        <v>48</v>
      </c>
      <c r="AW233">
        <v>46</v>
      </c>
      <c r="AX233">
        <v>42</v>
      </c>
      <c r="AY233">
        <v>40</v>
      </c>
      <c r="AZ233">
        <v>44</v>
      </c>
      <c r="BA233">
        <v>39</v>
      </c>
      <c r="BB233">
        <v>34</v>
      </c>
      <c r="BC233">
        <v>34</v>
      </c>
    </row>
    <row r="234" spans="1:55" x14ac:dyDescent="0.25">
      <c r="A234" t="s">
        <v>3868</v>
      </c>
      <c r="B234" t="s">
        <v>139</v>
      </c>
      <c r="C234" t="s">
        <v>88</v>
      </c>
      <c r="D234">
        <v>10866</v>
      </c>
      <c r="E234">
        <v>47.42</v>
      </c>
      <c r="F234">
        <v>20</v>
      </c>
      <c r="G234">
        <v>31</v>
      </c>
      <c r="H234">
        <v>33</v>
      </c>
      <c r="I234">
        <v>35</v>
      </c>
      <c r="J234">
        <v>36</v>
      </c>
      <c r="K234">
        <v>38</v>
      </c>
      <c r="L234">
        <v>39</v>
      </c>
      <c r="M234">
        <v>38</v>
      </c>
      <c r="N234">
        <v>37</v>
      </c>
      <c r="O234">
        <v>37</v>
      </c>
      <c r="P234">
        <v>41</v>
      </c>
      <c r="Q234">
        <v>41</v>
      </c>
      <c r="R234">
        <v>42</v>
      </c>
      <c r="S234">
        <v>43</v>
      </c>
      <c r="T234">
        <v>42</v>
      </c>
      <c r="U234">
        <v>44</v>
      </c>
      <c r="V234">
        <v>46</v>
      </c>
      <c r="W234">
        <v>47</v>
      </c>
      <c r="X234">
        <v>47</v>
      </c>
      <c r="Y234">
        <v>51</v>
      </c>
      <c r="Z234">
        <v>51</v>
      </c>
      <c r="AA234">
        <v>54</v>
      </c>
      <c r="AB234">
        <v>57</v>
      </c>
      <c r="AC234">
        <v>60</v>
      </c>
      <c r="AD234">
        <v>61</v>
      </c>
      <c r="AE234">
        <v>63</v>
      </c>
      <c r="AF234">
        <v>63</v>
      </c>
      <c r="AG234">
        <v>62</v>
      </c>
      <c r="AH234">
        <v>59</v>
      </c>
      <c r="AI234">
        <v>58</v>
      </c>
      <c r="AJ234">
        <v>27</v>
      </c>
      <c r="AK234">
        <v>39</v>
      </c>
      <c r="AL234">
        <v>39</v>
      </c>
      <c r="AM234">
        <v>44</v>
      </c>
      <c r="AN234">
        <v>60</v>
      </c>
      <c r="AO234">
        <v>62</v>
      </c>
      <c r="AP234">
        <v>59</v>
      </c>
      <c r="AQ234">
        <v>58</v>
      </c>
      <c r="AR234">
        <v>61</v>
      </c>
      <c r="AS234">
        <v>62</v>
      </c>
      <c r="AT234">
        <v>60</v>
      </c>
      <c r="AU234">
        <v>58</v>
      </c>
      <c r="AV234">
        <v>56</v>
      </c>
      <c r="AW234">
        <v>53</v>
      </c>
      <c r="AX234">
        <v>49</v>
      </c>
      <c r="AY234">
        <v>47</v>
      </c>
      <c r="AZ234">
        <v>46</v>
      </c>
      <c r="BA234">
        <v>42</v>
      </c>
      <c r="BB234">
        <v>37</v>
      </c>
      <c r="BC234">
        <v>36</v>
      </c>
    </row>
    <row r="235" spans="1:55" x14ac:dyDescent="0.25">
      <c r="A235" t="s">
        <v>3869</v>
      </c>
      <c r="B235" t="s">
        <v>140</v>
      </c>
      <c r="C235" t="s">
        <v>88</v>
      </c>
      <c r="D235">
        <v>1355</v>
      </c>
      <c r="E235">
        <v>55.04</v>
      </c>
      <c r="F235">
        <v>15</v>
      </c>
      <c r="G235">
        <v>32</v>
      </c>
      <c r="H235">
        <v>33</v>
      </c>
      <c r="I235">
        <v>34</v>
      </c>
      <c r="J235">
        <v>40</v>
      </c>
      <c r="K235">
        <v>40</v>
      </c>
      <c r="L235">
        <v>38</v>
      </c>
      <c r="M235">
        <v>42</v>
      </c>
      <c r="N235">
        <v>39</v>
      </c>
      <c r="O235">
        <v>36</v>
      </c>
      <c r="P235">
        <v>45</v>
      </c>
      <c r="Q235">
        <v>46</v>
      </c>
      <c r="R235">
        <v>45</v>
      </c>
      <c r="S235">
        <v>49</v>
      </c>
      <c r="T235">
        <v>49</v>
      </c>
      <c r="U235">
        <v>49</v>
      </c>
      <c r="V235">
        <v>56</v>
      </c>
      <c r="W235">
        <v>58</v>
      </c>
      <c r="X235">
        <v>54</v>
      </c>
      <c r="Y235">
        <v>65</v>
      </c>
      <c r="Z235">
        <v>61</v>
      </c>
      <c r="AA235">
        <v>63</v>
      </c>
      <c r="AB235">
        <v>71</v>
      </c>
      <c r="AC235">
        <v>75</v>
      </c>
      <c r="AD235">
        <v>72</v>
      </c>
      <c r="AE235">
        <v>77</v>
      </c>
      <c r="AF235">
        <v>74</v>
      </c>
      <c r="AG235">
        <v>69</v>
      </c>
      <c r="AH235">
        <v>69</v>
      </c>
      <c r="AI235">
        <v>67</v>
      </c>
      <c r="AJ235">
        <v>30</v>
      </c>
      <c r="AK235">
        <v>45</v>
      </c>
      <c r="AL235">
        <v>46</v>
      </c>
      <c r="AM235">
        <v>52</v>
      </c>
      <c r="AN235">
        <v>72</v>
      </c>
      <c r="AO235">
        <v>73</v>
      </c>
      <c r="AP235">
        <v>69</v>
      </c>
      <c r="AQ235">
        <v>72</v>
      </c>
      <c r="AR235">
        <v>72</v>
      </c>
      <c r="AS235">
        <v>72</v>
      </c>
      <c r="AT235">
        <v>67</v>
      </c>
      <c r="AU235">
        <v>65</v>
      </c>
      <c r="AV235">
        <v>62</v>
      </c>
      <c r="AW235">
        <v>64</v>
      </c>
      <c r="AX235">
        <v>58</v>
      </c>
      <c r="AY235">
        <v>58</v>
      </c>
      <c r="AZ235">
        <v>60</v>
      </c>
      <c r="BA235">
        <v>54</v>
      </c>
      <c r="BB235">
        <v>47</v>
      </c>
      <c r="BC235">
        <v>51</v>
      </c>
    </row>
    <row r="236" spans="1:55" x14ac:dyDescent="0.25">
      <c r="A236" t="s">
        <v>3870</v>
      </c>
      <c r="B236" t="s">
        <v>141</v>
      </c>
      <c r="C236" t="s">
        <v>88</v>
      </c>
      <c r="D236">
        <v>708</v>
      </c>
      <c r="E236">
        <v>56.92</v>
      </c>
      <c r="F236">
        <v>17</v>
      </c>
      <c r="G236">
        <v>29</v>
      </c>
      <c r="H236">
        <v>32</v>
      </c>
      <c r="I236">
        <v>31</v>
      </c>
      <c r="J236">
        <v>39</v>
      </c>
      <c r="K236">
        <v>40</v>
      </c>
      <c r="L236">
        <v>35</v>
      </c>
      <c r="M236">
        <v>42</v>
      </c>
      <c r="N236">
        <v>42</v>
      </c>
      <c r="O236">
        <v>38</v>
      </c>
      <c r="P236">
        <v>49</v>
      </c>
      <c r="Q236">
        <v>49</v>
      </c>
      <c r="R236">
        <v>48</v>
      </c>
      <c r="S236">
        <v>50</v>
      </c>
      <c r="T236">
        <v>52</v>
      </c>
      <c r="U236">
        <v>53</v>
      </c>
      <c r="V236">
        <v>60</v>
      </c>
      <c r="W236">
        <v>62</v>
      </c>
      <c r="X236">
        <v>59</v>
      </c>
      <c r="Y236">
        <v>69</v>
      </c>
      <c r="Z236">
        <v>65</v>
      </c>
      <c r="AA236">
        <v>69</v>
      </c>
      <c r="AB236">
        <v>74</v>
      </c>
      <c r="AC236">
        <v>76</v>
      </c>
      <c r="AD236">
        <v>75</v>
      </c>
      <c r="AE236">
        <v>79</v>
      </c>
      <c r="AF236">
        <v>74</v>
      </c>
      <c r="AG236">
        <v>71</v>
      </c>
      <c r="AH236">
        <v>72</v>
      </c>
      <c r="AI236">
        <v>70</v>
      </c>
      <c r="AJ236">
        <v>34</v>
      </c>
      <c r="AK236">
        <v>47</v>
      </c>
      <c r="AL236">
        <v>50</v>
      </c>
      <c r="AM236">
        <v>52</v>
      </c>
      <c r="AN236">
        <v>72</v>
      </c>
      <c r="AO236">
        <v>73</v>
      </c>
      <c r="AP236">
        <v>68</v>
      </c>
      <c r="AQ236">
        <v>72</v>
      </c>
      <c r="AR236">
        <v>74</v>
      </c>
      <c r="AS236">
        <v>73</v>
      </c>
      <c r="AT236">
        <v>68</v>
      </c>
      <c r="AU236">
        <v>69</v>
      </c>
      <c r="AV236">
        <v>65</v>
      </c>
      <c r="AW236">
        <v>68</v>
      </c>
      <c r="AX236">
        <v>61</v>
      </c>
      <c r="AY236">
        <v>61</v>
      </c>
      <c r="AZ236">
        <v>63</v>
      </c>
      <c r="BA236">
        <v>55</v>
      </c>
      <c r="BB236">
        <v>47</v>
      </c>
      <c r="BC236">
        <v>53</v>
      </c>
    </row>
    <row r="237" spans="1:55" x14ac:dyDescent="0.25">
      <c r="A237" t="s">
        <v>3871</v>
      </c>
      <c r="B237" t="s">
        <v>142</v>
      </c>
      <c r="C237" t="s">
        <v>88</v>
      </c>
      <c r="D237">
        <v>583</v>
      </c>
      <c r="E237">
        <v>54.7</v>
      </c>
      <c r="F237">
        <v>12</v>
      </c>
      <c r="G237">
        <v>36</v>
      </c>
      <c r="H237">
        <v>36</v>
      </c>
      <c r="I237">
        <v>40</v>
      </c>
      <c r="J237">
        <v>44</v>
      </c>
      <c r="K237">
        <v>43</v>
      </c>
      <c r="L237">
        <v>43</v>
      </c>
      <c r="M237">
        <v>43</v>
      </c>
      <c r="N237">
        <v>38</v>
      </c>
      <c r="O237">
        <v>35</v>
      </c>
      <c r="P237">
        <v>42</v>
      </c>
      <c r="Q237">
        <v>44</v>
      </c>
      <c r="R237">
        <v>44</v>
      </c>
      <c r="S237">
        <v>51</v>
      </c>
      <c r="T237">
        <v>49</v>
      </c>
      <c r="U237">
        <v>48</v>
      </c>
      <c r="V237">
        <v>55</v>
      </c>
      <c r="W237">
        <v>56</v>
      </c>
      <c r="X237">
        <v>50</v>
      </c>
      <c r="Y237">
        <v>62</v>
      </c>
      <c r="Z237">
        <v>58</v>
      </c>
      <c r="AA237">
        <v>59</v>
      </c>
      <c r="AB237">
        <v>72</v>
      </c>
      <c r="AC237">
        <v>75</v>
      </c>
      <c r="AD237">
        <v>71</v>
      </c>
      <c r="AE237">
        <v>77</v>
      </c>
      <c r="AF237">
        <v>75</v>
      </c>
      <c r="AG237">
        <v>69</v>
      </c>
      <c r="AH237">
        <v>66</v>
      </c>
      <c r="AI237">
        <v>64</v>
      </c>
      <c r="AJ237">
        <v>28</v>
      </c>
      <c r="AK237">
        <v>43</v>
      </c>
      <c r="AL237">
        <v>44</v>
      </c>
      <c r="AM237">
        <v>54</v>
      </c>
      <c r="AN237">
        <v>75</v>
      </c>
      <c r="AO237">
        <v>76</v>
      </c>
      <c r="AP237">
        <v>73</v>
      </c>
      <c r="AQ237">
        <v>73</v>
      </c>
      <c r="AR237">
        <v>71</v>
      </c>
      <c r="AS237">
        <v>72</v>
      </c>
      <c r="AT237">
        <v>67</v>
      </c>
      <c r="AU237">
        <v>62</v>
      </c>
      <c r="AV237">
        <v>59</v>
      </c>
      <c r="AW237">
        <v>60</v>
      </c>
      <c r="AX237">
        <v>56</v>
      </c>
      <c r="AY237">
        <v>56</v>
      </c>
      <c r="AZ237">
        <v>59</v>
      </c>
      <c r="BA237">
        <v>52</v>
      </c>
      <c r="BB237">
        <v>48</v>
      </c>
      <c r="BC237">
        <v>50</v>
      </c>
    </row>
    <row r="238" spans="1:55" x14ac:dyDescent="0.25">
      <c r="A238" t="s">
        <v>3872</v>
      </c>
      <c r="B238" t="s">
        <v>143</v>
      </c>
      <c r="C238" t="s">
        <v>88</v>
      </c>
      <c r="D238">
        <v>2034</v>
      </c>
      <c r="E238">
        <v>56.5</v>
      </c>
      <c r="F238">
        <v>20</v>
      </c>
      <c r="G238">
        <v>35</v>
      </c>
      <c r="H238">
        <v>41</v>
      </c>
      <c r="I238">
        <v>41</v>
      </c>
      <c r="J238">
        <v>49</v>
      </c>
      <c r="K238">
        <v>47</v>
      </c>
      <c r="L238">
        <v>50</v>
      </c>
      <c r="M238">
        <v>52</v>
      </c>
      <c r="N238">
        <v>51</v>
      </c>
      <c r="O238">
        <v>49</v>
      </c>
      <c r="P238">
        <v>55</v>
      </c>
      <c r="Q238">
        <v>57</v>
      </c>
      <c r="R238">
        <v>56</v>
      </c>
      <c r="S238">
        <v>62</v>
      </c>
      <c r="T238">
        <v>61</v>
      </c>
      <c r="U238">
        <v>59</v>
      </c>
      <c r="V238">
        <v>64</v>
      </c>
      <c r="W238">
        <v>65</v>
      </c>
      <c r="X238">
        <v>68</v>
      </c>
      <c r="Y238">
        <v>71</v>
      </c>
      <c r="Z238">
        <v>70</v>
      </c>
      <c r="AA238">
        <v>70</v>
      </c>
      <c r="AB238">
        <v>74</v>
      </c>
      <c r="AC238">
        <v>72</v>
      </c>
      <c r="AD238">
        <v>74</v>
      </c>
      <c r="AE238">
        <v>75</v>
      </c>
      <c r="AF238">
        <v>74</v>
      </c>
      <c r="AG238">
        <v>74</v>
      </c>
      <c r="AH238">
        <v>71</v>
      </c>
      <c r="AI238">
        <v>71</v>
      </c>
      <c r="AJ238">
        <v>14</v>
      </c>
      <c r="AK238">
        <v>40</v>
      </c>
      <c r="AL238">
        <v>37</v>
      </c>
      <c r="AM238">
        <v>46</v>
      </c>
      <c r="AN238">
        <v>75</v>
      </c>
      <c r="AO238">
        <v>67</v>
      </c>
      <c r="AP238">
        <v>63</v>
      </c>
      <c r="AQ238">
        <v>63</v>
      </c>
      <c r="AR238">
        <v>66</v>
      </c>
      <c r="AS238">
        <v>67</v>
      </c>
      <c r="AT238">
        <v>66</v>
      </c>
      <c r="AU238">
        <v>62</v>
      </c>
      <c r="AV238">
        <v>58</v>
      </c>
      <c r="AW238">
        <v>56</v>
      </c>
      <c r="AX238">
        <v>52</v>
      </c>
      <c r="AY238">
        <v>46</v>
      </c>
      <c r="AZ238">
        <v>49</v>
      </c>
      <c r="BA238">
        <v>45</v>
      </c>
      <c r="BB238">
        <v>37</v>
      </c>
      <c r="BC238">
        <v>38</v>
      </c>
    </row>
    <row r="239" spans="1:55" x14ac:dyDescent="0.25">
      <c r="A239" t="s">
        <v>3873</v>
      </c>
      <c r="B239" t="s">
        <v>144</v>
      </c>
      <c r="C239" t="s">
        <v>88</v>
      </c>
      <c r="D239">
        <v>1273</v>
      </c>
      <c r="E239">
        <v>57.48</v>
      </c>
      <c r="F239">
        <v>21</v>
      </c>
      <c r="G239">
        <v>37</v>
      </c>
      <c r="H239">
        <v>44</v>
      </c>
      <c r="I239">
        <v>45</v>
      </c>
      <c r="J239">
        <v>50</v>
      </c>
      <c r="K239">
        <v>49</v>
      </c>
      <c r="L239">
        <v>53</v>
      </c>
      <c r="M239">
        <v>54</v>
      </c>
      <c r="N239">
        <v>53</v>
      </c>
      <c r="O239">
        <v>51</v>
      </c>
      <c r="P239">
        <v>56</v>
      </c>
      <c r="Q239">
        <v>58</v>
      </c>
      <c r="R239">
        <v>57</v>
      </c>
      <c r="S239">
        <v>64</v>
      </c>
      <c r="T239">
        <v>62</v>
      </c>
      <c r="U239">
        <v>63</v>
      </c>
      <c r="V239">
        <v>66</v>
      </c>
      <c r="W239">
        <v>68</v>
      </c>
      <c r="X239">
        <v>71</v>
      </c>
      <c r="Y239">
        <v>74</v>
      </c>
      <c r="Z239">
        <v>73</v>
      </c>
      <c r="AA239">
        <v>71</v>
      </c>
      <c r="AB239">
        <v>77</v>
      </c>
      <c r="AC239">
        <v>75</v>
      </c>
      <c r="AD239">
        <v>74</v>
      </c>
      <c r="AE239">
        <v>77</v>
      </c>
      <c r="AF239">
        <v>77</v>
      </c>
      <c r="AG239">
        <v>75</v>
      </c>
      <c r="AH239">
        <v>71</v>
      </c>
      <c r="AI239">
        <v>72</v>
      </c>
      <c r="AJ239">
        <v>11</v>
      </c>
      <c r="AK239">
        <v>39</v>
      </c>
      <c r="AL239">
        <v>38</v>
      </c>
      <c r="AM239">
        <v>46</v>
      </c>
      <c r="AN239">
        <v>76</v>
      </c>
      <c r="AO239">
        <v>68</v>
      </c>
      <c r="AP239">
        <v>63</v>
      </c>
      <c r="AQ239">
        <v>63</v>
      </c>
      <c r="AR239">
        <v>65</v>
      </c>
      <c r="AS239">
        <v>67</v>
      </c>
      <c r="AT239">
        <v>66</v>
      </c>
      <c r="AU239">
        <v>62</v>
      </c>
      <c r="AV239">
        <v>57</v>
      </c>
      <c r="AW239">
        <v>54</v>
      </c>
      <c r="AX239">
        <v>50</v>
      </c>
      <c r="AY239">
        <v>45</v>
      </c>
      <c r="AZ239">
        <v>49</v>
      </c>
      <c r="BA239">
        <v>43</v>
      </c>
      <c r="BB239">
        <v>36</v>
      </c>
      <c r="BC239">
        <v>38</v>
      </c>
    </row>
    <row r="240" spans="1:55" x14ac:dyDescent="0.25">
      <c r="A240" t="s">
        <v>3874</v>
      </c>
      <c r="B240" t="s">
        <v>145</v>
      </c>
      <c r="C240" t="s">
        <v>88</v>
      </c>
      <c r="D240">
        <v>761</v>
      </c>
      <c r="E240">
        <v>54.58</v>
      </c>
      <c r="F240">
        <v>18</v>
      </c>
      <c r="G240">
        <v>31</v>
      </c>
      <c r="H240">
        <v>38</v>
      </c>
      <c r="I240">
        <v>35</v>
      </c>
      <c r="J240">
        <v>46</v>
      </c>
      <c r="K240">
        <v>43</v>
      </c>
      <c r="L240">
        <v>44</v>
      </c>
      <c r="M240">
        <v>48</v>
      </c>
      <c r="N240">
        <v>48</v>
      </c>
      <c r="O240">
        <v>45</v>
      </c>
      <c r="P240">
        <v>53</v>
      </c>
      <c r="Q240">
        <v>54</v>
      </c>
      <c r="R240">
        <v>53</v>
      </c>
      <c r="S240">
        <v>59</v>
      </c>
      <c r="T240">
        <v>57</v>
      </c>
      <c r="U240">
        <v>53</v>
      </c>
      <c r="V240">
        <v>60</v>
      </c>
      <c r="W240">
        <v>59</v>
      </c>
      <c r="X240">
        <v>61</v>
      </c>
      <c r="Y240">
        <v>67</v>
      </c>
      <c r="Z240">
        <v>64</v>
      </c>
      <c r="AA240">
        <v>69</v>
      </c>
      <c r="AB240">
        <v>68</v>
      </c>
      <c r="AC240">
        <v>67</v>
      </c>
      <c r="AD240">
        <v>73</v>
      </c>
      <c r="AE240">
        <v>71</v>
      </c>
      <c r="AF240">
        <v>69</v>
      </c>
      <c r="AG240">
        <v>73</v>
      </c>
      <c r="AH240">
        <v>72</v>
      </c>
      <c r="AI240">
        <v>70</v>
      </c>
      <c r="AJ240">
        <v>17</v>
      </c>
      <c r="AK240">
        <v>42</v>
      </c>
      <c r="AL240">
        <v>35</v>
      </c>
      <c r="AM240">
        <v>48</v>
      </c>
      <c r="AN240">
        <v>73</v>
      </c>
      <c r="AO240">
        <v>64</v>
      </c>
      <c r="AP240">
        <v>62</v>
      </c>
      <c r="AQ240">
        <v>64</v>
      </c>
      <c r="AR240">
        <v>68</v>
      </c>
      <c r="AS240">
        <v>67</v>
      </c>
      <c r="AT240">
        <v>66</v>
      </c>
      <c r="AU240">
        <v>62</v>
      </c>
      <c r="AV240">
        <v>60</v>
      </c>
      <c r="AW240">
        <v>58</v>
      </c>
      <c r="AX240">
        <v>54</v>
      </c>
      <c r="AY240">
        <v>47</v>
      </c>
      <c r="AZ240">
        <v>50</v>
      </c>
      <c r="BA240">
        <v>48</v>
      </c>
      <c r="BB240">
        <v>38</v>
      </c>
      <c r="BC240">
        <v>38</v>
      </c>
    </row>
    <row r="241" spans="1:55" x14ac:dyDescent="0.25">
      <c r="A241" t="s">
        <v>3875</v>
      </c>
      <c r="B241" t="s">
        <v>146</v>
      </c>
      <c r="C241" t="s">
        <v>88</v>
      </c>
      <c r="D241">
        <v>83</v>
      </c>
      <c r="E241">
        <v>24.98</v>
      </c>
      <c r="F241">
        <v>7</v>
      </c>
      <c r="G241">
        <v>19</v>
      </c>
      <c r="H241">
        <v>19</v>
      </c>
      <c r="I241">
        <v>12</v>
      </c>
      <c r="J241">
        <v>18</v>
      </c>
      <c r="K241">
        <v>14</v>
      </c>
      <c r="L241">
        <v>14</v>
      </c>
      <c r="M241">
        <v>20</v>
      </c>
      <c r="N241">
        <v>11</v>
      </c>
      <c r="O241">
        <v>13</v>
      </c>
      <c r="P241">
        <v>18</v>
      </c>
      <c r="Q241">
        <v>19</v>
      </c>
      <c r="R241">
        <v>23</v>
      </c>
      <c r="S241">
        <v>12</v>
      </c>
      <c r="T241">
        <v>15</v>
      </c>
      <c r="U241">
        <v>14</v>
      </c>
      <c r="V241">
        <v>20</v>
      </c>
      <c r="W241">
        <v>20</v>
      </c>
      <c r="X241">
        <v>16</v>
      </c>
      <c r="Y241">
        <v>22</v>
      </c>
      <c r="Z241">
        <v>20</v>
      </c>
      <c r="AA241">
        <v>29</v>
      </c>
      <c r="AB241">
        <v>36</v>
      </c>
      <c r="AC241">
        <v>34</v>
      </c>
      <c r="AD241">
        <v>35</v>
      </c>
      <c r="AE241">
        <v>40</v>
      </c>
      <c r="AF241">
        <v>35</v>
      </c>
      <c r="AG241">
        <v>32</v>
      </c>
      <c r="AH241">
        <v>30</v>
      </c>
      <c r="AI241">
        <v>31</v>
      </c>
      <c r="AJ241">
        <v>11</v>
      </c>
      <c r="AK241">
        <v>13</v>
      </c>
      <c r="AL241">
        <v>14</v>
      </c>
      <c r="AM241">
        <v>19</v>
      </c>
      <c r="AN241">
        <v>34</v>
      </c>
      <c r="AO241">
        <v>38</v>
      </c>
      <c r="AP241">
        <v>33</v>
      </c>
      <c r="AQ241">
        <v>37</v>
      </c>
      <c r="AR241">
        <v>44</v>
      </c>
      <c r="AS241">
        <v>41</v>
      </c>
      <c r="AT241">
        <v>47</v>
      </c>
      <c r="AU241">
        <v>39</v>
      </c>
      <c r="AV241">
        <v>45</v>
      </c>
      <c r="AW241">
        <v>40</v>
      </c>
      <c r="AX241">
        <v>27</v>
      </c>
      <c r="AY241">
        <v>34</v>
      </c>
      <c r="AZ241">
        <v>18</v>
      </c>
      <c r="BA241">
        <v>26</v>
      </c>
      <c r="BB241">
        <v>23</v>
      </c>
      <c r="BC241">
        <v>18</v>
      </c>
    </row>
    <row r="242" spans="1:55" x14ac:dyDescent="0.25">
      <c r="A242" t="s">
        <v>3876</v>
      </c>
      <c r="B242" t="s">
        <v>147</v>
      </c>
      <c r="C242" t="s">
        <v>88</v>
      </c>
      <c r="D242">
        <v>108</v>
      </c>
      <c r="E242">
        <v>19.64</v>
      </c>
      <c r="F242">
        <v>7</v>
      </c>
      <c r="G242">
        <v>5</v>
      </c>
      <c r="H242">
        <v>6</v>
      </c>
      <c r="I242">
        <v>12</v>
      </c>
      <c r="J242">
        <v>6</v>
      </c>
      <c r="K242">
        <v>18</v>
      </c>
      <c r="L242">
        <v>10</v>
      </c>
      <c r="M242">
        <v>10</v>
      </c>
      <c r="N242">
        <v>10</v>
      </c>
      <c r="O242">
        <v>9</v>
      </c>
      <c r="P242">
        <v>15</v>
      </c>
      <c r="Q242">
        <v>10</v>
      </c>
      <c r="R242">
        <v>16</v>
      </c>
      <c r="S242">
        <v>9</v>
      </c>
      <c r="T242">
        <v>8</v>
      </c>
      <c r="U242">
        <v>17</v>
      </c>
      <c r="V242">
        <v>22</v>
      </c>
      <c r="W242">
        <v>18</v>
      </c>
      <c r="X242">
        <v>20</v>
      </c>
      <c r="Y242">
        <v>25</v>
      </c>
      <c r="Z242">
        <v>25</v>
      </c>
      <c r="AA242">
        <v>19</v>
      </c>
      <c r="AB242">
        <v>22</v>
      </c>
      <c r="AC242">
        <v>29</v>
      </c>
      <c r="AD242">
        <v>29</v>
      </c>
      <c r="AE242">
        <v>28</v>
      </c>
      <c r="AF242">
        <v>25</v>
      </c>
      <c r="AG242">
        <v>31</v>
      </c>
      <c r="AH242">
        <v>30</v>
      </c>
      <c r="AI242">
        <v>25</v>
      </c>
      <c r="AJ242">
        <v>12</v>
      </c>
      <c r="AK242">
        <v>18</v>
      </c>
      <c r="AL242">
        <v>15</v>
      </c>
      <c r="AM242">
        <v>18</v>
      </c>
      <c r="AN242">
        <v>32</v>
      </c>
      <c r="AO242">
        <v>34</v>
      </c>
      <c r="AP242">
        <v>28</v>
      </c>
      <c r="AQ242">
        <v>36</v>
      </c>
      <c r="AR242">
        <v>36</v>
      </c>
      <c r="AS242">
        <v>33</v>
      </c>
      <c r="AT242">
        <v>30</v>
      </c>
      <c r="AU242">
        <v>35</v>
      </c>
      <c r="AV242">
        <v>25</v>
      </c>
      <c r="AW242">
        <v>28</v>
      </c>
      <c r="AX242">
        <v>18</v>
      </c>
      <c r="AY242">
        <v>23</v>
      </c>
      <c r="AZ242">
        <v>14</v>
      </c>
      <c r="BA242">
        <v>12</v>
      </c>
      <c r="BB242">
        <v>8</v>
      </c>
      <c r="BC242">
        <v>11</v>
      </c>
    </row>
    <row r="243" spans="1:55" x14ac:dyDescent="0.25">
      <c r="A243" t="s">
        <v>3877</v>
      </c>
      <c r="B243" t="s">
        <v>148</v>
      </c>
      <c r="C243" t="s">
        <v>88</v>
      </c>
      <c r="D243">
        <v>817</v>
      </c>
      <c r="E243">
        <v>49</v>
      </c>
      <c r="F243">
        <v>26</v>
      </c>
      <c r="G243">
        <v>39</v>
      </c>
      <c r="H243">
        <v>37</v>
      </c>
      <c r="I243">
        <v>48</v>
      </c>
      <c r="J243">
        <v>45</v>
      </c>
      <c r="K243">
        <v>46</v>
      </c>
      <c r="L243">
        <v>50</v>
      </c>
      <c r="M243">
        <v>43</v>
      </c>
      <c r="N243">
        <v>44</v>
      </c>
      <c r="O243">
        <v>44</v>
      </c>
      <c r="P243">
        <v>43</v>
      </c>
      <c r="Q243">
        <v>49</v>
      </c>
      <c r="R243">
        <v>51</v>
      </c>
      <c r="S243">
        <v>46</v>
      </c>
      <c r="T243">
        <v>48</v>
      </c>
      <c r="U243">
        <v>50</v>
      </c>
      <c r="V243">
        <v>49</v>
      </c>
      <c r="W243">
        <v>48</v>
      </c>
      <c r="X243">
        <v>51</v>
      </c>
      <c r="Y243">
        <v>57</v>
      </c>
      <c r="Z243">
        <v>56</v>
      </c>
      <c r="AA243">
        <v>58</v>
      </c>
      <c r="AB243">
        <v>60</v>
      </c>
      <c r="AC243">
        <v>67</v>
      </c>
      <c r="AD243">
        <v>70</v>
      </c>
      <c r="AE243">
        <v>65</v>
      </c>
      <c r="AF243">
        <v>68</v>
      </c>
      <c r="AG243">
        <v>65</v>
      </c>
      <c r="AH243">
        <v>61</v>
      </c>
      <c r="AI243">
        <v>61</v>
      </c>
      <c r="AJ243">
        <v>32</v>
      </c>
      <c r="AK243">
        <v>43</v>
      </c>
      <c r="AL243">
        <v>45</v>
      </c>
      <c r="AM243">
        <v>52</v>
      </c>
      <c r="AN243">
        <v>58</v>
      </c>
      <c r="AO243">
        <v>63</v>
      </c>
      <c r="AP243">
        <v>62</v>
      </c>
      <c r="AQ243">
        <v>54</v>
      </c>
      <c r="AR243">
        <v>58</v>
      </c>
      <c r="AS243">
        <v>62</v>
      </c>
      <c r="AT243">
        <v>54</v>
      </c>
      <c r="AU243">
        <v>52</v>
      </c>
      <c r="AV243">
        <v>50</v>
      </c>
      <c r="AW243">
        <v>43</v>
      </c>
      <c r="AX243">
        <v>38</v>
      </c>
      <c r="AY243">
        <v>34</v>
      </c>
      <c r="AZ243">
        <v>31</v>
      </c>
      <c r="BA243">
        <v>27</v>
      </c>
      <c r="BB243">
        <v>26</v>
      </c>
      <c r="BC243">
        <v>21</v>
      </c>
    </row>
    <row r="244" spans="1:55" x14ac:dyDescent="0.25">
      <c r="A244" t="s">
        <v>3878</v>
      </c>
      <c r="B244" t="s">
        <v>149</v>
      </c>
      <c r="C244" t="s">
        <v>88</v>
      </c>
      <c r="D244">
        <v>66</v>
      </c>
      <c r="E244">
        <v>38.72</v>
      </c>
      <c r="F244">
        <v>22</v>
      </c>
      <c r="G244">
        <v>25</v>
      </c>
      <c r="H244">
        <v>32</v>
      </c>
      <c r="I244">
        <v>27</v>
      </c>
      <c r="J244">
        <v>26</v>
      </c>
      <c r="K244">
        <v>35</v>
      </c>
      <c r="L244">
        <v>30</v>
      </c>
      <c r="M244">
        <v>31</v>
      </c>
      <c r="N244">
        <v>24</v>
      </c>
      <c r="O244">
        <v>30</v>
      </c>
      <c r="P244">
        <v>33</v>
      </c>
      <c r="Q244">
        <v>32</v>
      </c>
      <c r="R244">
        <v>36</v>
      </c>
      <c r="S244">
        <v>30</v>
      </c>
      <c r="T244">
        <v>37</v>
      </c>
      <c r="U244">
        <v>33</v>
      </c>
      <c r="V244">
        <v>32</v>
      </c>
      <c r="W244">
        <v>37</v>
      </c>
      <c r="X244">
        <v>33</v>
      </c>
      <c r="Y244">
        <v>43</v>
      </c>
      <c r="Z244">
        <v>45</v>
      </c>
      <c r="AA244">
        <v>50</v>
      </c>
      <c r="AB244">
        <v>43</v>
      </c>
      <c r="AC244">
        <v>58</v>
      </c>
      <c r="AD244">
        <v>47</v>
      </c>
      <c r="AE244">
        <v>56</v>
      </c>
      <c r="AF244">
        <v>60</v>
      </c>
      <c r="AG244">
        <v>50</v>
      </c>
      <c r="AH244">
        <v>46</v>
      </c>
      <c r="AI244">
        <v>56</v>
      </c>
      <c r="AJ244">
        <v>14</v>
      </c>
      <c r="AK244">
        <v>32</v>
      </c>
      <c r="AL244">
        <v>41</v>
      </c>
      <c r="AM244">
        <v>42</v>
      </c>
      <c r="AN244">
        <v>47</v>
      </c>
      <c r="AO244">
        <v>60</v>
      </c>
      <c r="AP244">
        <v>53</v>
      </c>
      <c r="AQ244">
        <v>50</v>
      </c>
      <c r="AR244">
        <v>54</v>
      </c>
      <c r="AS244">
        <v>57</v>
      </c>
      <c r="AT244">
        <v>59</v>
      </c>
      <c r="AU244">
        <v>51</v>
      </c>
      <c r="AV244">
        <v>46</v>
      </c>
      <c r="AW244">
        <v>39</v>
      </c>
      <c r="AX244">
        <v>31</v>
      </c>
      <c r="AY244">
        <v>28</v>
      </c>
      <c r="AZ244">
        <v>31</v>
      </c>
      <c r="BA244">
        <v>21</v>
      </c>
      <c r="BB244">
        <v>27</v>
      </c>
      <c r="BC244">
        <v>14</v>
      </c>
    </row>
    <row r="245" spans="1:55" x14ac:dyDescent="0.25">
      <c r="A245" t="s">
        <v>3879</v>
      </c>
      <c r="B245" t="s">
        <v>150</v>
      </c>
      <c r="C245" t="s">
        <v>88</v>
      </c>
      <c r="D245">
        <v>981</v>
      </c>
      <c r="E245">
        <v>40.159999999999997</v>
      </c>
      <c r="F245">
        <v>17</v>
      </c>
      <c r="G245">
        <v>21</v>
      </c>
      <c r="H245">
        <v>24</v>
      </c>
      <c r="I245">
        <v>24</v>
      </c>
      <c r="J245">
        <v>24</v>
      </c>
      <c r="K245">
        <v>27</v>
      </c>
      <c r="L245">
        <v>28</v>
      </c>
      <c r="M245">
        <v>26</v>
      </c>
      <c r="N245">
        <v>27</v>
      </c>
      <c r="O245">
        <v>29</v>
      </c>
      <c r="P245">
        <v>30</v>
      </c>
      <c r="Q245">
        <v>29</v>
      </c>
      <c r="R245">
        <v>29</v>
      </c>
      <c r="S245">
        <v>28</v>
      </c>
      <c r="T245">
        <v>29</v>
      </c>
      <c r="U245">
        <v>27</v>
      </c>
      <c r="V245">
        <v>25</v>
      </c>
      <c r="W245">
        <v>27</v>
      </c>
      <c r="X245">
        <v>26</v>
      </c>
      <c r="Y245">
        <v>27</v>
      </c>
      <c r="Z245">
        <v>27</v>
      </c>
      <c r="AA245">
        <v>32</v>
      </c>
      <c r="AB245">
        <v>36</v>
      </c>
      <c r="AC245">
        <v>39</v>
      </c>
      <c r="AD245">
        <v>43</v>
      </c>
      <c r="AE245">
        <v>48</v>
      </c>
      <c r="AF245">
        <v>50</v>
      </c>
      <c r="AG245">
        <v>53</v>
      </c>
      <c r="AH245">
        <v>48</v>
      </c>
      <c r="AI245">
        <v>49</v>
      </c>
      <c r="AJ245">
        <v>29</v>
      </c>
      <c r="AK245">
        <v>36</v>
      </c>
      <c r="AL245">
        <v>38</v>
      </c>
      <c r="AM245">
        <v>39</v>
      </c>
      <c r="AN245">
        <v>51</v>
      </c>
      <c r="AO245">
        <v>58</v>
      </c>
      <c r="AP245">
        <v>55</v>
      </c>
      <c r="AQ245">
        <v>57</v>
      </c>
      <c r="AR245">
        <v>65</v>
      </c>
      <c r="AS245">
        <v>67</v>
      </c>
      <c r="AT245">
        <v>66</v>
      </c>
      <c r="AU245">
        <v>68</v>
      </c>
      <c r="AV245">
        <v>65</v>
      </c>
      <c r="AW245">
        <v>62</v>
      </c>
      <c r="AX245">
        <v>59</v>
      </c>
      <c r="AY245">
        <v>59</v>
      </c>
      <c r="AZ245">
        <v>51</v>
      </c>
      <c r="BA245">
        <v>50</v>
      </c>
      <c r="BB245">
        <v>44</v>
      </c>
      <c r="BC245">
        <v>40</v>
      </c>
    </row>
    <row r="246" spans="1:55" x14ac:dyDescent="0.25">
      <c r="A246" t="s">
        <v>3880</v>
      </c>
      <c r="B246" t="s">
        <v>151</v>
      </c>
      <c r="C246" t="s">
        <v>88</v>
      </c>
      <c r="D246">
        <v>409</v>
      </c>
      <c r="E246">
        <v>42.84</v>
      </c>
      <c r="F246">
        <v>15</v>
      </c>
      <c r="G246">
        <v>19</v>
      </c>
      <c r="H246">
        <v>23</v>
      </c>
      <c r="I246">
        <v>25</v>
      </c>
      <c r="J246">
        <v>24</v>
      </c>
      <c r="K246">
        <v>27</v>
      </c>
      <c r="L246">
        <v>27</v>
      </c>
      <c r="M246">
        <v>28</v>
      </c>
      <c r="N246">
        <v>28</v>
      </c>
      <c r="O246">
        <v>27</v>
      </c>
      <c r="P246">
        <v>31</v>
      </c>
      <c r="Q246">
        <v>26</v>
      </c>
      <c r="R246">
        <v>26</v>
      </c>
      <c r="S246">
        <v>26</v>
      </c>
      <c r="T246">
        <v>28</v>
      </c>
      <c r="U246">
        <v>26</v>
      </c>
      <c r="V246">
        <v>24</v>
      </c>
      <c r="W246">
        <v>22</v>
      </c>
      <c r="X246">
        <v>21</v>
      </c>
      <c r="Y246">
        <v>21</v>
      </c>
      <c r="Z246">
        <v>22</v>
      </c>
      <c r="AA246">
        <v>28</v>
      </c>
      <c r="AB246">
        <v>32</v>
      </c>
      <c r="AC246">
        <v>37</v>
      </c>
      <c r="AD246">
        <v>41</v>
      </c>
      <c r="AE246">
        <v>47</v>
      </c>
      <c r="AF246">
        <v>50</v>
      </c>
      <c r="AG246">
        <v>54</v>
      </c>
      <c r="AH246">
        <v>49</v>
      </c>
      <c r="AI246">
        <v>53</v>
      </c>
      <c r="AJ246">
        <v>29</v>
      </c>
      <c r="AK246">
        <v>39</v>
      </c>
      <c r="AL246">
        <v>42</v>
      </c>
      <c r="AM246">
        <v>41</v>
      </c>
      <c r="AN246">
        <v>54</v>
      </c>
      <c r="AO246">
        <v>64</v>
      </c>
      <c r="AP246">
        <v>60</v>
      </c>
      <c r="AQ246">
        <v>66</v>
      </c>
      <c r="AR246">
        <v>75</v>
      </c>
      <c r="AS246">
        <v>79</v>
      </c>
      <c r="AT246">
        <v>79</v>
      </c>
      <c r="AU246">
        <v>80</v>
      </c>
      <c r="AV246">
        <v>77</v>
      </c>
      <c r="AW246">
        <v>74</v>
      </c>
      <c r="AX246">
        <v>75</v>
      </c>
      <c r="AY246">
        <v>66</v>
      </c>
      <c r="AZ246">
        <v>66</v>
      </c>
      <c r="BA246">
        <v>64</v>
      </c>
      <c r="BB246">
        <v>54</v>
      </c>
      <c r="BC246">
        <v>51</v>
      </c>
    </row>
    <row r="247" spans="1:55" x14ac:dyDescent="0.25">
      <c r="A247" t="s">
        <v>3881</v>
      </c>
      <c r="B247" t="s">
        <v>152</v>
      </c>
      <c r="C247" t="s">
        <v>88</v>
      </c>
      <c r="D247">
        <v>57</v>
      </c>
      <c r="E247">
        <v>48.36</v>
      </c>
      <c r="F247">
        <v>24</v>
      </c>
      <c r="G247">
        <v>27</v>
      </c>
      <c r="H247">
        <v>26</v>
      </c>
      <c r="I247">
        <v>35</v>
      </c>
      <c r="J247">
        <v>28</v>
      </c>
      <c r="K247">
        <v>29</v>
      </c>
      <c r="L247">
        <v>26</v>
      </c>
      <c r="M247">
        <v>28</v>
      </c>
      <c r="N247">
        <v>27</v>
      </c>
      <c r="O247">
        <v>32</v>
      </c>
      <c r="P247">
        <v>30</v>
      </c>
      <c r="Q247">
        <v>37</v>
      </c>
      <c r="R247">
        <v>37</v>
      </c>
      <c r="S247">
        <v>34</v>
      </c>
      <c r="T247">
        <v>33</v>
      </c>
      <c r="U247">
        <v>29</v>
      </c>
      <c r="V247">
        <v>26</v>
      </c>
      <c r="W247">
        <v>35</v>
      </c>
      <c r="X247">
        <v>39</v>
      </c>
      <c r="Y247">
        <v>38</v>
      </c>
      <c r="Z247">
        <v>35</v>
      </c>
      <c r="AA247">
        <v>38</v>
      </c>
      <c r="AB247">
        <v>46</v>
      </c>
      <c r="AC247">
        <v>50</v>
      </c>
      <c r="AD247">
        <v>46</v>
      </c>
      <c r="AE247">
        <v>50</v>
      </c>
      <c r="AF247">
        <v>57</v>
      </c>
      <c r="AG247">
        <v>54</v>
      </c>
      <c r="AH247">
        <v>52</v>
      </c>
      <c r="AI247">
        <v>51</v>
      </c>
      <c r="AJ247">
        <v>43</v>
      </c>
      <c r="AK247">
        <v>45</v>
      </c>
      <c r="AL247">
        <v>41</v>
      </c>
      <c r="AM247">
        <v>55</v>
      </c>
      <c r="AN247">
        <v>58</v>
      </c>
      <c r="AO247">
        <v>70</v>
      </c>
      <c r="AP247">
        <v>67</v>
      </c>
      <c r="AQ247">
        <v>64</v>
      </c>
      <c r="AR247">
        <v>78</v>
      </c>
      <c r="AS247">
        <v>87</v>
      </c>
      <c r="AT247">
        <v>84</v>
      </c>
      <c r="AU247">
        <v>76</v>
      </c>
      <c r="AV247">
        <v>78</v>
      </c>
      <c r="AW247">
        <v>77</v>
      </c>
      <c r="AX247">
        <v>78</v>
      </c>
      <c r="AY247">
        <v>75</v>
      </c>
      <c r="AZ247">
        <v>67</v>
      </c>
      <c r="BA247">
        <v>64</v>
      </c>
      <c r="BB247">
        <v>65</v>
      </c>
      <c r="BC247">
        <v>47</v>
      </c>
    </row>
    <row r="248" spans="1:55" x14ac:dyDescent="0.25">
      <c r="A248" t="s">
        <v>3882</v>
      </c>
      <c r="B248" t="s">
        <v>153</v>
      </c>
      <c r="C248" t="s">
        <v>88</v>
      </c>
      <c r="D248">
        <v>968</v>
      </c>
      <c r="E248">
        <v>34.42</v>
      </c>
      <c r="F248">
        <v>12</v>
      </c>
      <c r="G248">
        <v>16</v>
      </c>
      <c r="H248">
        <v>19</v>
      </c>
      <c r="I248">
        <v>15</v>
      </c>
      <c r="J248">
        <v>21</v>
      </c>
      <c r="K248">
        <v>20</v>
      </c>
      <c r="L248">
        <v>20</v>
      </c>
      <c r="M248">
        <v>19</v>
      </c>
      <c r="N248">
        <v>20</v>
      </c>
      <c r="O248">
        <v>20</v>
      </c>
      <c r="P248">
        <v>27</v>
      </c>
      <c r="Q248">
        <v>22</v>
      </c>
      <c r="R248">
        <v>26</v>
      </c>
      <c r="S248">
        <v>25</v>
      </c>
      <c r="T248">
        <v>27</v>
      </c>
      <c r="U248">
        <v>27</v>
      </c>
      <c r="V248">
        <v>33</v>
      </c>
      <c r="W248">
        <v>31</v>
      </c>
      <c r="X248">
        <v>33</v>
      </c>
      <c r="Y248">
        <v>34</v>
      </c>
      <c r="Z248">
        <v>33</v>
      </c>
      <c r="AA248">
        <v>35</v>
      </c>
      <c r="AB248">
        <v>41</v>
      </c>
      <c r="AC248">
        <v>48</v>
      </c>
      <c r="AD248">
        <v>49</v>
      </c>
      <c r="AE248">
        <v>48</v>
      </c>
      <c r="AF248">
        <v>47</v>
      </c>
      <c r="AG248">
        <v>51</v>
      </c>
      <c r="AH248">
        <v>45</v>
      </c>
      <c r="AI248">
        <v>47</v>
      </c>
      <c r="AJ248">
        <v>28</v>
      </c>
      <c r="AK248">
        <v>37</v>
      </c>
      <c r="AL248">
        <v>36</v>
      </c>
      <c r="AM248">
        <v>37</v>
      </c>
      <c r="AN248">
        <v>44</v>
      </c>
      <c r="AO248">
        <v>50</v>
      </c>
      <c r="AP248">
        <v>46</v>
      </c>
      <c r="AQ248">
        <v>43</v>
      </c>
      <c r="AR248">
        <v>45</v>
      </c>
      <c r="AS248">
        <v>47</v>
      </c>
      <c r="AT248">
        <v>44</v>
      </c>
      <c r="AU248">
        <v>42</v>
      </c>
      <c r="AV248">
        <v>46</v>
      </c>
      <c r="AW248">
        <v>45</v>
      </c>
      <c r="AX248">
        <v>42</v>
      </c>
      <c r="AY248">
        <v>39</v>
      </c>
      <c r="AZ248">
        <v>39</v>
      </c>
      <c r="BA248">
        <v>37</v>
      </c>
      <c r="BB248">
        <v>33</v>
      </c>
      <c r="BC248">
        <v>30</v>
      </c>
    </row>
    <row r="249" spans="1:55" x14ac:dyDescent="0.25">
      <c r="A249" t="s">
        <v>3883</v>
      </c>
      <c r="B249" t="s">
        <v>154</v>
      </c>
      <c r="C249" t="s">
        <v>88</v>
      </c>
      <c r="D249">
        <v>109</v>
      </c>
      <c r="E249">
        <v>37.380000000000003</v>
      </c>
      <c r="F249">
        <v>18</v>
      </c>
      <c r="G249">
        <v>30</v>
      </c>
      <c r="H249">
        <v>33</v>
      </c>
      <c r="I249">
        <v>34</v>
      </c>
      <c r="J249">
        <v>41</v>
      </c>
      <c r="K249">
        <v>31</v>
      </c>
      <c r="L249">
        <v>47</v>
      </c>
      <c r="M249">
        <v>34</v>
      </c>
      <c r="N249">
        <v>27</v>
      </c>
      <c r="O249">
        <v>24</v>
      </c>
      <c r="P249">
        <v>32</v>
      </c>
      <c r="Q249">
        <v>33</v>
      </c>
      <c r="R249">
        <v>36</v>
      </c>
      <c r="S249">
        <v>34</v>
      </c>
      <c r="T249">
        <v>28</v>
      </c>
      <c r="U249">
        <v>29</v>
      </c>
      <c r="V249">
        <v>30</v>
      </c>
      <c r="W249">
        <v>27</v>
      </c>
      <c r="X249">
        <v>33</v>
      </c>
      <c r="Y249">
        <v>38</v>
      </c>
      <c r="Z249">
        <v>34</v>
      </c>
      <c r="AA249">
        <v>40</v>
      </c>
      <c r="AB249">
        <v>43</v>
      </c>
      <c r="AC249">
        <v>46</v>
      </c>
      <c r="AD249">
        <v>45</v>
      </c>
      <c r="AE249">
        <v>44</v>
      </c>
      <c r="AF249">
        <v>48</v>
      </c>
      <c r="AG249">
        <v>56</v>
      </c>
      <c r="AH249">
        <v>47</v>
      </c>
      <c r="AI249">
        <v>41</v>
      </c>
      <c r="AJ249">
        <v>15</v>
      </c>
      <c r="AK249">
        <v>30</v>
      </c>
      <c r="AL249">
        <v>35</v>
      </c>
      <c r="AM249">
        <v>34</v>
      </c>
      <c r="AN249">
        <v>39</v>
      </c>
      <c r="AO249">
        <v>47</v>
      </c>
      <c r="AP249">
        <v>54</v>
      </c>
      <c r="AQ249">
        <v>54</v>
      </c>
      <c r="AR249">
        <v>52</v>
      </c>
      <c r="AS249">
        <v>54</v>
      </c>
      <c r="AT249">
        <v>47</v>
      </c>
      <c r="AU249">
        <v>50</v>
      </c>
      <c r="AV249">
        <v>51</v>
      </c>
      <c r="AW249">
        <v>37</v>
      </c>
      <c r="AX249">
        <v>34</v>
      </c>
      <c r="AY249">
        <v>43</v>
      </c>
      <c r="AZ249">
        <v>35</v>
      </c>
      <c r="BA249">
        <v>30</v>
      </c>
      <c r="BB249">
        <v>25</v>
      </c>
      <c r="BC249">
        <v>20</v>
      </c>
    </row>
    <row r="250" spans="1:55" x14ac:dyDescent="0.25">
      <c r="A250" t="s">
        <v>3884</v>
      </c>
      <c r="B250" t="s">
        <v>155</v>
      </c>
      <c r="C250" t="s">
        <v>88</v>
      </c>
      <c r="D250">
        <v>248</v>
      </c>
      <c r="E250">
        <v>31.54</v>
      </c>
      <c r="F250">
        <v>18</v>
      </c>
      <c r="G250">
        <v>19</v>
      </c>
      <c r="H250">
        <v>28</v>
      </c>
      <c r="I250">
        <v>30</v>
      </c>
      <c r="J250">
        <v>25</v>
      </c>
      <c r="K250">
        <v>25</v>
      </c>
      <c r="L250">
        <v>33</v>
      </c>
      <c r="M250">
        <v>25</v>
      </c>
      <c r="N250">
        <v>27</v>
      </c>
      <c r="O250">
        <v>25</v>
      </c>
      <c r="P250">
        <v>28</v>
      </c>
      <c r="Q250">
        <v>29</v>
      </c>
      <c r="R250">
        <v>28</v>
      </c>
      <c r="S250">
        <v>25</v>
      </c>
      <c r="T250">
        <v>27</v>
      </c>
      <c r="U250">
        <v>30</v>
      </c>
      <c r="V250">
        <v>35</v>
      </c>
      <c r="W250">
        <v>29</v>
      </c>
      <c r="X250">
        <v>33</v>
      </c>
      <c r="Y250">
        <v>33</v>
      </c>
      <c r="Z250">
        <v>35</v>
      </c>
      <c r="AA250">
        <v>39</v>
      </c>
      <c r="AB250">
        <v>37</v>
      </c>
      <c r="AC250">
        <v>44</v>
      </c>
      <c r="AD250">
        <v>49</v>
      </c>
      <c r="AE250">
        <v>45</v>
      </c>
      <c r="AF250">
        <v>42</v>
      </c>
      <c r="AG250">
        <v>41</v>
      </c>
      <c r="AH250">
        <v>40</v>
      </c>
      <c r="AI250">
        <v>40</v>
      </c>
      <c r="AJ250">
        <v>9</v>
      </c>
      <c r="AK250">
        <v>16</v>
      </c>
      <c r="AL250">
        <v>24</v>
      </c>
      <c r="AM250">
        <v>32</v>
      </c>
      <c r="AN250">
        <v>40</v>
      </c>
      <c r="AO250">
        <v>43</v>
      </c>
      <c r="AP250">
        <v>43</v>
      </c>
      <c r="AQ250">
        <v>38</v>
      </c>
      <c r="AR250">
        <v>47</v>
      </c>
      <c r="AS250">
        <v>47</v>
      </c>
      <c r="AT250">
        <v>35</v>
      </c>
      <c r="AU250">
        <v>37</v>
      </c>
      <c r="AV250">
        <v>37</v>
      </c>
      <c r="AW250">
        <v>30</v>
      </c>
      <c r="AX250">
        <v>31</v>
      </c>
      <c r="AY250">
        <v>27</v>
      </c>
      <c r="AZ250">
        <v>18</v>
      </c>
      <c r="BA250">
        <v>23</v>
      </c>
      <c r="BB250">
        <v>20</v>
      </c>
      <c r="BC250">
        <v>16</v>
      </c>
    </row>
    <row r="251" spans="1:55" x14ac:dyDescent="0.25">
      <c r="A251" t="s">
        <v>3885</v>
      </c>
      <c r="B251" t="s">
        <v>156</v>
      </c>
      <c r="C251" t="s">
        <v>88</v>
      </c>
      <c r="D251">
        <v>127</v>
      </c>
      <c r="E251">
        <v>40.58</v>
      </c>
      <c r="F251">
        <v>11</v>
      </c>
      <c r="G251">
        <v>12</v>
      </c>
      <c r="H251">
        <v>19</v>
      </c>
      <c r="I251">
        <v>29</v>
      </c>
      <c r="J251">
        <v>29</v>
      </c>
      <c r="K251">
        <v>31</v>
      </c>
      <c r="L251">
        <v>31</v>
      </c>
      <c r="M251">
        <v>30</v>
      </c>
      <c r="N251">
        <v>25</v>
      </c>
      <c r="O251">
        <v>37</v>
      </c>
      <c r="P251">
        <v>35</v>
      </c>
      <c r="Q251">
        <v>28</v>
      </c>
      <c r="R251">
        <v>33</v>
      </c>
      <c r="S251">
        <v>29</v>
      </c>
      <c r="T251">
        <v>37</v>
      </c>
      <c r="U251">
        <v>36</v>
      </c>
      <c r="V251">
        <v>43</v>
      </c>
      <c r="W251">
        <v>42</v>
      </c>
      <c r="X251">
        <v>39</v>
      </c>
      <c r="Y251">
        <v>44</v>
      </c>
      <c r="Z251">
        <v>43</v>
      </c>
      <c r="AA251">
        <v>54</v>
      </c>
      <c r="AB251">
        <v>49</v>
      </c>
      <c r="AC251">
        <v>47</v>
      </c>
      <c r="AD251">
        <v>53</v>
      </c>
      <c r="AE251">
        <v>58</v>
      </c>
      <c r="AF251">
        <v>55</v>
      </c>
      <c r="AG251">
        <v>51</v>
      </c>
      <c r="AH251">
        <v>56</v>
      </c>
      <c r="AI251">
        <v>55</v>
      </c>
      <c r="AJ251">
        <v>26</v>
      </c>
      <c r="AK251">
        <v>30</v>
      </c>
      <c r="AL251">
        <v>31</v>
      </c>
      <c r="AM251">
        <v>41</v>
      </c>
      <c r="AN251">
        <v>52</v>
      </c>
      <c r="AO251">
        <v>57</v>
      </c>
      <c r="AP251">
        <v>49</v>
      </c>
      <c r="AQ251">
        <v>47</v>
      </c>
      <c r="AR251">
        <v>59</v>
      </c>
      <c r="AS251">
        <v>57</v>
      </c>
      <c r="AT251">
        <v>51</v>
      </c>
      <c r="AU251">
        <v>47</v>
      </c>
      <c r="AV251">
        <v>46</v>
      </c>
      <c r="AW251">
        <v>48</v>
      </c>
      <c r="AX251">
        <v>45</v>
      </c>
      <c r="AY251">
        <v>43</v>
      </c>
      <c r="AZ251">
        <v>46</v>
      </c>
      <c r="BA251">
        <v>42</v>
      </c>
      <c r="BB251">
        <v>36</v>
      </c>
      <c r="BC251">
        <v>35</v>
      </c>
    </row>
    <row r="252" spans="1:55" x14ac:dyDescent="0.25">
      <c r="A252" t="s">
        <v>3886</v>
      </c>
      <c r="B252" t="s">
        <v>157</v>
      </c>
      <c r="C252" t="s">
        <v>88</v>
      </c>
      <c r="D252">
        <v>112</v>
      </c>
      <c r="E252">
        <v>73.58</v>
      </c>
      <c r="F252">
        <v>53</v>
      </c>
      <c r="G252">
        <v>79</v>
      </c>
      <c r="H252">
        <v>83</v>
      </c>
      <c r="I252">
        <v>78</v>
      </c>
      <c r="J252">
        <v>81</v>
      </c>
      <c r="K252">
        <v>82</v>
      </c>
      <c r="L252">
        <v>82</v>
      </c>
      <c r="M252">
        <v>77</v>
      </c>
      <c r="N252">
        <v>70</v>
      </c>
      <c r="O252">
        <v>71</v>
      </c>
      <c r="P252">
        <v>71</v>
      </c>
      <c r="Q252">
        <v>73</v>
      </c>
      <c r="R252">
        <v>74</v>
      </c>
      <c r="S252">
        <v>75</v>
      </c>
      <c r="T252">
        <v>72</v>
      </c>
      <c r="U252">
        <v>76</v>
      </c>
      <c r="V252">
        <v>72</v>
      </c>
      <c r="W252">
        <v>76</v>
      </c>
      <c r="X252">
        <v>78</v>
      </c>
      <c r="Y252">
        <v>80</v>
      </c>
      <c r="Z252">
        <v>77</v>
      </c>
      <c r="AA252">
        <v>73</v>
      </c>
      <c r="AB252">
        <v>76</v>
      </c>
      <c r="AC252">
        <v>82</v>
      </c>
      <c r="AD252">
        <v>83</v>
      </c>
      <c r="AE252">
        <v>89</v>
      </c>
      <c r="AF252">
        <v>87</v>
      </c>
      <c r="AG252">
        <v>85</v>
      </c>
      <c r="AH252">
        <v>81</v>
      </c>
      <c r="AI252">
        <v>80</v>
      </c>
      <c r="AJ252">
        <v>34</v>
      </c>
      <c r="AK252">
        <v>59</v>
      </c>
      <c r="AL252">
        <v>63</v>
      </c>
      <c r="AM252">
        <v>66</v>
      </c>
      <c r="AN252">
        <v>81</v>
      </c>
      <c r="AO252">
        <v>81</v>
      </c>
      <c r="AP252">
        <v>80</v>
      </c>
      <c r="AQ252">
        <v>81</v>
      </c>
      <c r="AR252">
        <v>84</v>
      </c>
      <c r="AS252">
        <v>85</v>
      </c>
      <c r="AT252">
        <v>84</v>
      </c>
      <c r="AU252">
        <v>76</v>
      </c>
      <c r="AV252">
        <v>70</v>
      </c>
      <c r="AW252">
        <v>73</v>
      </c>
      <c r="AX252">
        <v>64</v>
      </c>
      <c r="AY252">
        <v>58</v>
      </c>
      <c r="AZ252">
        <v>57</v>
      </c>
      <c r="BA252">
        <v>51</v>
      </c>
      <c r="BB252">
        <v>52</v>
      </c>
      <c r="BC252">
        <v>64</v>
      </c>
    </row>
    <row r="253" spans="1:55" x14ac:dyDescent="0.25">
      <c r="A253" t="s">
        <v>3887</v>
      </c>
      <c r="B253" t="s">
        <v>158</v>
      </c>
      <c r="C253" t="s">
        <v>88</v>
      </c>
      <c r="D253">
        <v>308</v>
      </c>
      <c r="E253">
        <v>35.28</v>
      </c>
      <c r="F253">
        <v>12</v>
      </c>
      <c r="G253">
        <v>21</v>
      </c>
      <c r="H253">
        <v>21</v>
      </c>
      <c r="I253">
        <v>20</v>
      </c>
      <c r="J253">
        <v>24</v>
      </c>
      <c r="K253">
        <v>26</v>
      </c>
      <c r="L253">
        <v>26</v>
      </c>
      <c r="M253">
        <v>33</v>
      </c>
      <c r="N253">
        <v>28</v>
      </c>
      <c r="O253">
        <v>29</v>
      </c>
      <c r="P253">
        <v>30</v>
      </c>
      <c r="Q253">
        <v>31</v>
      </c>
      <c r="R253">
        <v>33</v>
      </c>
      <c r="S253">
        <v>36</v>
      </c>
      <c r="T253">
        <v>37</v>
      </c>
      <c r="U253">
        <v>34</v>
      </c>
      <c r="V253">
        <v>40</v>
      </c>
      <c r="W253">
        <v>39</v>
      </c>
      <c r="X253">
        <v>37</v>
      </c>
      <c r="Y253">
        <v>38</v>
      </c>
      <c r="Z253">
        <v>43</v>
      </c>
      <c r="AA253">
        <v>39</v>
      </c>
      <c r="AB253">
        <v>45</v>
      </c>
      <c r="AC253">
        <v>49</v>
      </c>
      <c r="AD253">
        <v>46</v>
      </c>
      <c r="AE253">
        <v>47</v>
      </c>
      <c r="AF253">
        <v>49</v>
      </c>
      <c r="AG253">
        <v>51</v>
      </c>
      <c r="AH253">
        <v>44</v>
      </c>
      <c r="AI253">
        <v>38</v>
      </c>
      <c r="AJ253">
        <v>14</v>
      </c>
      <c r="AK253">
        <v>9</v>
      </c>
      <c r="AL253">
        <v>11</v>
      </c>
      <c r="AM253">
        <v>16</v>
      </c>
      <c r="AN253">
        <v>36</v>
      </c>
      <c r="AO253">
        <v>34</v>
      </c>
      <c r="AP253">
        <v>45</v>
      </c>
      <c r="AQ253">
        <v>43</v>
      </c>
      <c r="AR253">
        <v>52</v>
      </c>
      <c r="AS253">
        <v>50</v>
      </c>
      <c r="AT253">
        <v>51</v>
      </c>
      <c r="AU253">
        <v>53</v>
      </c>
      <c r="AV253">
        <v>49</v>
      </c>
      <c r="AW253">
        <v>46</v>
      </c>
      <c r="AX253">
        <v>41</v>
      </c>
      <c r="AY253">
        <v>39</v>
      </c>
      <c r="AZ253">
        <v>38</v>
      </c>
      <c r="BA253">
        <v>36</v>
      </c>
      <c r="BB253">
        <v>28</v>
      </c>
      <c r="BC253">
        <v>27</v>
      </c>
    </row>
    <row r="254" spans="1:55" x14ac:dyDescent="0.25">
      <c r="A254" t="s">
        <v>3888</v>
      </c>
      <c r="B254" t="s">
        <v>159</v>
      </c>
      <c r="C254" t="s">
        <v>88</v>
      </c>
      <c r="D254">
        <v>231</v>
      </c>
      <c r="E254">
        <v>68</v>
      </c>
      <c r="F254">
        <v>36</v>
      </c>
      <c r="G254">
        <v>45</v>
      </c>
      <c r="H254">
        <v>48</v>
      </c>
      <c r="I254">
        <v>52</v>
      </c>
      <c r="J254">
        <v>46</v>
      </c>
      <c r="K254">
        <v>50</v>
      </c>
      <c r="L254">
        <v>57</v>
      </c>
      <c r="M254">
        <v>55</v>
      </c>
      <c r="N254">
        <v>61</v>
      </c>
      <c r="O254">
        <v>60</v>
      </c>
      <c r="P254">
        <v>60</v>
      </c>
      <c r="Q254">
        <v>61</v>
      </c>
      <c r="R254">
        <v>58</v>
      </c>
      <c r="S254">
        <v>58</v>
      </c>
      <c r="T254">
        <v>63</v>
      </c>
      <c r="U254">
        <v>67</v>
      </c>
      <c r="V254">
        <v>61</v>
      </c>
      <c r="W254">
        <v>72</v>
      </c>
      <c r="X254">
        <v>67</v>
      </c>
      <c r="Y254">
        <v>71</v>
      </c>
      <c r="Z254">
        <v>72</v>
      </c>
      <c r="AA254">
        <v>77</v>
      </c>
      <c r="AB254">
        <v>73</v>
      </c>
      <c r="AC254">
        <v>79</v>
      </c>
      <c r="AD254">
        <v>79</v>
      </c>
      <c r="AE254">
        <v>75</v>
      </c>
      <c r="AF254">
        <v>77</v>
      </c>
      <c r="AG254">
        <v>80</v>
      </c>
      <c r="AH254">
        <v>79</v>
      </c>
      <c r="AI254">
        <v>74</v>
      </c>
      <c r="AJ254">
        <v>55</v>
      </c>
      <c r="AK254">
        <v>67</v>
      </c>
      <c r="AL254">
        <v>65</v>
      </c>
      <c r="AM254">
        <v>71</v>
      </c>
      <c r="AN254">
        <v>78</v>
      </c>
      <c r="AO254">
        <v>83</v>
      </c>
      <c r="AP254">
        <v>84</v>
      </c>
      <c r="AQ254">
        <v>77</v>
      </c>
      <c r="AR254">
        <v>82</v>
      </c>
      <c r="AS254">
        <v>84</v>
      </c>
      <c r="AT254">
        <v>82</v>
      </c>
      <c r="AU254">
        <v>82</v>
      </c>
      <c r="AV254">
        <v>80</v>
      </c>
      <c r="AW254">
        <v>81</v>
      </c>
      <c r="AX254">
        <v>75</v>
      </c>
      <c r="AY254">
        <v>77</v>
      </c>
      <c r="AZ254">
        <v>69</v>
      </c>
      <c r="BA254">
        <v>70</v>
      </c>
      <c r="BB254">
        <v>62</v>
      </c>
      <c r="BC254">
        <v>63</v>
      </c>
    </row>
    <row r="255" spans="1:55" x14ac:dyDescent="0.25">
      <c r="A255" t="s">
        <v>3889</v>
      </c>
      <c r="B255" t="s">
        <v>160</v>
      </c>
      <c r="C255" t="s">
        <v>88</v>
      </c>
      <c r="D255">
        <v>723</v>
      </c>
      <c r="E255">
        <v>38.28</v>
      </c>
      <c r="F255">
        <v>22</v>
      </c>
      <c r="G255">
        <v>30</v>
      </c>
      <c r="H255">
        <v>34</v>
      </c>
      <c r="I255">
        <v>35</v>
      </c>
      <c r="J255">
        <v>32</v>
      </c>
      <c r="K255">
        <v>34</v>
      </c>
      <c r="L255">
        <v>40</v>
      </c>
      <c r="M255">
        <v>32</v>
      </c>
      <c r="N255">
        <v>33</v>
      </c>
      <c r="O255">
        <v>31</v>
      </c>
      <c r="P255">
        <v>31</v>
      </c>
      <c r="Q255">
        <v>34</v>
      </c>
      <c r="R255">
        <v>33</v>
      </c>
      <c r="S255">
        <v>31</v>
      </c>
      <c r="T255">
        <v>29</v>
      </c>
      <c r="U255">
        <v>39</v>
      </c>
      <c r="V255">
        <v>35</v>
      </c>
      <c r="W255">
        <v>36</v>
      </c>
      <c r="X255">
        <v>39</v>
      </c>
      <c r="Y255">
        <v>38</v>
      </c>
      <c r="Z255">
        <v>40</v>
      </c>
      <c r="AA255">
        <v>46</v>
      </c>
      <c r="AB255">
        <v>47</v>
      </c>
      <c r="AC255">
        <v>50</v>
      </c>
      <c r="AD255">
        <v>52</v>
      </c>
      <c r="AE255">
        <v>52</v>
      </c>
      <c r="AF255">
        <v>50</v>
      </c>
      <c r="AG255">
        <v>50</v>
      </c>
      <c r="AH255">
        <v>44</v>
      </c>
      <c r="AI255">
        <v>44</v>
      </c>
      <c r="AJ255">
        <v>20</v>
      </c>
      <c r="AK255">
        <v>31</v>
      </c>
      <c r="AL255">
        <v>32</v>
      </c>
      <c r="AM255">
        <v>36</v>
      </c>
      <c r="AN255">
        <v>47</v>
      </c>
      <c r="AO255">
        <v>50</v>
      </c>
      <c r="AP255">
        <v>50</v>
      </c>
      <c r="AQ255">
        <v>47</v>
      </c>
      <c r="AR255">
        <v>53</v>
      </c>
      <c r="AS255">
        <v>49</v>
      </c>
      <c r="AT255">
        <v>46</v>
      </c>
      <c r="AU255">
        <v>44</v>
      </c>
      <c r="AV255">
        <v>45</v>
      </c>
      <c r="AW255">
        <v>37</v>
      </c>
      <c r="AX255">
        <v>36</v>
      </c>
      <c r="AY255">
        <v>33</v>
      </c>
      <c r="AZ255">
        <v>33</v>
      </c>
      <c r="BA255">
        <v>28</v>
      </c>
      <c r="BB255">
        <v>28</v>
      </c>
      <c r="BC255">
        <v>26</v>
      </c>
    </row>
    <row r="256" spans="1:55" x14ac:dyDescent="0.25">
      <c r="A256" t="s">
        <v>3890</v>
      </c>
      <c r="B256" t="s">
        <v>244</v>
      </c>
      <c r="C256" t="s">
        <v>88</v>
      </c>
      <c r="D256">
        <v>838</v>
      </c>
      <c r="E256">
        <v>53.58</v>
      </c>
      <c r="F256">
        <v>25</v>
      </c>
      <c r="G256">
        <v>41</v>
      </c>
      <c r="H256">
        <v>42</v>
      </c>
      <c r="I256">
        <v>46</v>
      </c>
      <c r="J256">
        <v>40</v>
      </c>
      <c r="K256">
        <v>45</v>
      </c>
      <c r="L256">
        <v>45</v>
      </c>
      <c r="M256">
        <v>45</v>
      </c>
      <c r="N256">
        <v>43</v>
      </c>
      <c r="O256">
        <v>44</v>
      </c>
      <c r="P256">
        <v>47</v>
      </c>
      <c r="Q256">
        <v>46</v>
      </c>
      <c r="R256">
        <v>49</v>
      </c>
      <c r="S256">
        <v>45</v>
      </c>
      <c r="T256">
        <v>45</v>
      </c>
      <c r="U256">
        <v>46</v>
      </c>
      <c r="V256">
        <v>48</v>
      </c>
      <c r="W256">
        <v>52</v>
      </c>
      <c r="X256">
        <v>51</v>
      </c>
      <c r="Y256">
        <v>57</v>
      </c>
      <c r="Z256">
        <v>58</v>
      </c>
      <c r="AA256">
        <v>61</v>
      </c>
      <c r="AB256">
        <v>64</v>
      </c>
      <c r="AC256">
        <v>68</v>
      </c>
      <c r="AD256">
        <v>68</v>
      </c>
      <c r="AE256">
        <v>72</v>
      </c>
      <c r="AF256">
        <v>71</v>
      </c>
      <c r="AG256">
        <v>67</v>
      </c>
      <c r="AH256">
        <v>65</v>
      </c>
      <c r="AI256">
        <v>65</v>
      </c>
      <c r="AJ256">
        <v>33</v>
      </c>
      <c r="AK256">
        <v>46</v>
      </c>
      <c r="AL256">
        <v>48</v>
      </c>
      <c r="AM256">
        <v>56</v>
      </c>
      <c r="AN256">
        <v>65</v>
      </c>
      <c r="AO256">
        <v>70</v>
      </c>
      <c r="AP256">
        <v>65</v>
      </c>
      <c r="AQ256">
        <v>67</v>
      </c>
      <c r="AR256">
        <v>67</v>
      </c>
      <c r="AS256">
        <v>68</v>
      </c>
      <c r="AT256">
        <v>64</v>
      </c>
      <c r="AU256">
        <v>62</v>
      </c>
      <c r="AV256">
        <v>60</v>
      </c>
      <c r="AW256">
        <v>56</v>
      </c>
      <c r="AX256">
        <v>51</v>
      </c>
      <c r="AY256">
        <v>52</v>
      </c>
      <c r="AZ256">
        <v>52</v>
      </c>
      <c r="BA256">
        <v>49</v>
      </c>
      <c r="BB256">
        <v>46</v>
      </c>
      <c r="BC256">
        <v>41</v>
      </c>
    </row>
    <row r="257" spans="1:55" x14ac:dyDescent="0.25">
      <c r="A257" t="s">
        <v>3891</v>
      </c>
      <c r="B257" t="s">
        <v>245</v>
      </c>
      <c r="C257" t="s">
        <v>88</v>
      </c>
      <c r="D257">
        <v>180</v>
      </c>
      <c r="E257">
        <v>32.54</v>
      </c>
      <c r="F257">
        <v>12</v>
      </c>
      <c r="G257">
        <v>26</v>
      </c>
      <c r="H257">
        <v>20</v>
      </c>
      <c r="I257">
        <v>23</v>
      </c>
      <c r="J257">
        <v>20</v>
      </c>
      <c r="K257">
        <v>33</v>
      </c>
      <c r="L257">
        <v>28</v>
      </c>
      <c r="M257">
        <v>27</v>
      </c>
      <c r="N257">
        <v>29</v>
      </c>
      <c r="O257">
        <v>24</v>
      </c>
      <c r="P257">
        <v>26</v>
      </c>
      <c r="Q257">
        <v>25</v>
      </c>
      <c r="R257">
        <v>26</v>
      </c>
      <c r="S257">
        <v>23</v>
      </c>
      <c r="T257">
        <v>23</v>
      </c>
      <c r="U257">
        <v>35</v>
      </c>
      <c r="V257">
        <v>28</v>
      </c>
      <c r="W257">
        <v>30</v>
      </c>
      <c r="X257">
        <v>29</v>
      </c>
      <c r="Y257">
        <v>35</v>
      </c>
      <c r="Z257">
        <v>37</v>
      </c>
      <c r="AA257">
        <v>37</v>
      </c>
      <c r="AB257">
        <v>41</v>
      </c>
      <c r="AC257">
        <v>48</v>
      </c>
      <c r="AD257">
        <v>43</v>
      </c>
      <c r="AE257">
        <v>45</v>
      </c>
      <c r="AF257">
        <v>49</v>
      </c>
      <c r="AG257">
        <v>38</v>
      </c>
      <c r="AH257">
        <v>41</v>
      </c>
      <c r="AI257">
        <v>40</v>
      </c>
      <c r="AJ257">
        <v>19</v>
      </c>
      <c r="AK257">
        <v>22</v>
      </c>
      <c r="AL257">
        <v>29</v>
      </c>
      <c r="AM257">
        <v>31</v>
      </c>
      <c r="AN257">
        <v>42</v>
      </c>
      <c r="AO257">
        <v>48</v>
      </c>
      <c r="AP257">
        <v>41</v>
      </c>
      <c r="AQ257">
        <v>44</v>
      </c>
      <c r="AR257">
        <v>41</v>
      </c>
      <c r="AS257">
        <v>46</v>
      </c>
      <c r="AT257">
        <v>44</v>
      </c>
      <c r="AU257">
        <v>40</v>
      </c>
      <c r="AV257">
        <v>37</v>
      </c>
      <c r="AW257">
        <v>39</v>
      </c>
      <c r="AX257">
        <v>33</v>
      </c>
      <c r="AY257">
        <v>33</v>
      </c>
      <c r="AZ257">
        <v>25</v>
      </c>
      <c r="BA257">
        <v>24</v>
      </c>
      <c r="BB257">
        <v>20</v>
      </c>
      <c r="BC257">
        <v>28</v>
      </c>
    </row>
    <row r="258" spans="1:55" x14ac:dyDescent="0.25">
      <c r="A258" t="s">
        <v>3892</v>
      </c>
      <c r="B258" t="s">
        <v>246</v>
      </c>
      <c r="C258" t="s">
        <v>88</v>
      </c>
      <c r="D258">
        <v>314</v>
      </c>
      <c r="E258">
        <v>39.76</v>
      </c>
      <c r="F258">
        <v>18</v>
      </c>
      <c r="G258">
        <v>28</v>
      </c>
      <c r="H258">
        <v>26</v>
      </c>
      <c r="I258">
        <v>29</v>
      </c>
      <c r="J258">
        <v>29</v>
      </c>
      <c r="K258">
        <v>27</v>
      </c>
      <c r="L258">
        <v>25</v>
      </c>
      <c r="M258">
        <v>28</v>
      </c>
      <c r="N258">
        <v>25</v>
      </c>
      <c r="O258">
        <v>24</v>
      </c>
      <c r="P258">
        <v>31</v>
      </c>
      <c r="Q258">
        <v>34</v>
      </c>
      <c r="R258">
        <v>33</v>
      </c>
      <c r="S258">
        <v>37</v>
      </c>
      <c r="T258">
        <v>32</v>
      </c>
      <c r="U258">
        <v>38</v>
      </c>
      <c r="V258">
        <v>37</v>
      </c>
      <c r="W258">
        <v>42</v>
      </c>
      <c r="X258">
        <v>37</v>
      </c>
      <c r="Y258">
        <v>40</v>
      </c>
      <c r="Z258">
        <v>49</v>
      </c>
      <c r="AA258">
        <v>43</v>
      </c>
      <c r="AB258">
        <v>49</v>
      </c>
      <c r="AC258">
        <v>52</v>
      </c>
      <c r="AD258">
        <v>49</v>
      </c>
      <c r="AE258">
        <v>54</v>
      </c>
      <c r="AF258">
        <v>54</v>
      </c>
      <c r="AG258">
        <v>52</v>
      </c>
      <c r="AH258">
        <v>52</v>
      </c>
      <c r="AI258">
        <v>49</v>
      </c>
      <c r="AJ258">
        <v>23</v>
      </c>
      <c r="AK258">
        <v>31</v>
      </c>
      <c r="AL258">
        <v>36</v>
      </c>
      <c r="AM258">
        <v>36</v>
      </c>
      <c r="AN258">
        <v>48</v>
      </c>
      <c r="AO258">
        <v>58</v>
      </c>
      <c r="AP258">
        <v>52</v>
      </c>
      <c r="AQ258">
        <v>55</v>
      </c>
      <c r="AR258">
        <v>54</v>
      </c>
      <c r="AS258">
        <v>57</v>
      </c>
      <c r="AT258">
        <v>54</v>
      </c>
      <c r="AU258">
        <v>50</v>
      </c>
      <c r="AV258">
        <v>53</v>
      </c>
      <c r="AW258">
        <v>47</v>
      </c>
      <c r="AX258">
        <v>41</v>
      </c>
      <c r="AY258">
        <v>42</v>
      </c>
      <c r="AZ258">
        <v>37</v>
      </c>
      <c r="BA258">
        <v>35</v>
      </c>
      <c r="BB258">
        <v>25</v>
      </c>
      <c r="BC258">
        <v>31</v>
      </c>
    </row>
    <row r="259" spans="1:55" x14ac:dyDescent="0.25">
      <c r="A259" t="s">
        <v>3893</v>
      </c>
      <c r="B259" t="s">
        <v>164</v>
      </c>
      <c r="C259" t="s">
        <v>88</v>
      </c>
      <c r="D259">
        <v>61</v>
      </c>
      <c r="E259">
        <v>61.72</v>
      </c>
      <c r="F259">
        <v>29</v>
      </c>
      <c r="G259">
        <v>30</v>
      </c>
      <c r="H259">
        <v>44</v>
      </c>
      <c r="I259">
        <v>39</v>
      </c>
      <c r="J259">
        <v>39</v>
      </c>
      <c r="K259">
        <v>56</v>
      </c>
      <c r="L259">
        <v>39</v>
      </c>
      <c r="M259">
        <v>47</v>
      </c>
      <c r="N259">
        <v>37</v>
      </c>
      <c r="O259">
        <v>46</v>
      </c>
      <c r="P259">
        <v>50</v>
      </c>
      <c r="Q259">
        <v>43</v>
      </c>
      <c r="R259">
        <v>51</v>
      </c>
      <c r="S259">
        <v>53</v>
      </c>
      <c r="T259">
        <v>68</v>
      </c>
      <c r="U259">
        <v>68</v>
      </c>
      <c r="V259">
        <v>69</v>
      </c>
      <c r="W259">
        <v>75</v>
      </c>
      <c r="X259">
        <v>71</v>
      </c>
      <c r="Y259">
        <v>72</v>
      </c>
      <c r="Z259">
        <v>66</v>
      </c>
      <c r="AA259">
        <v>80</v>
      </c>
      <c r="AB259">
        <v>79</v>
      </c>
      <c r="AC259">
        <v>77</v>
      </c>
      <c r="AD259">
        <v>75</v>
      </c>
      <c r="AE259">
        <v>74</v>
      </c>
      <c r="AF259">
        <v>80</v>
      </c>
      <c r="AG259">
        <v>77</v>
      </c>
      <c r="AH259">
        <v>86</v>
      </c>
      <c r="AI259">
        <v>65</v>
      </c>
      <c r="AJ259">
        <v>52</v>
      </c>
      <c r="AK259">
        <v>57</v>
      </c>
      <c r="AL259">
        <v>52</v>
      </c>
      <c r="AM259">
        <v>51</v>
      </c>
      <c r="AN259">
        <v>64</v>
      </c>
      <c r="AO259">
        <v>77</v>
      </c>
      <c r="AP259">
        <v>73</v>
      </c>
      <c r="AQ259">
        <v>73</v>
      </c>
      <c r="AR259">
        <v>72</v>
      </c>
      <c r="AS259">
        <v>71</v>
      </c>
      <c r="AT259">
        <v>81</v>
      </c>
      <c r="AU259">
        <v>74</v>
      </c>
      <c r="AV259">
        <v>74</v>
      </c>
      <c r="AW259">
        <v>67</v>
      </c>
      <c r="AX259">
        <v>59</v>
      </c>
      <c r="AY259">
        <v>72</v>
      </c>
      <c r="AZ259">
        <v>73</v>
      </c>
      <c r="BA259">
        <v>50</v>
      </c>
      <c r="BB259">
        <v>58</v>
      </c>
      <c r="BC259">
        <v>51</v>
      </c>
    </row>
    <row r="260" spans="1:55" x14ac:dyDescent="0.25">
      <c r="A260" t="s">
        <v>3894</v>
      </c>
      <c r="B260" t="s">
        <v>165</v>
      </c>
      <c r="C260" t="s">
        <v>88</v>
      </c>
      <c r="D260">
        <v>269</v>
      </c>
      <c r="E260">
        <v>55.94</v>
      </c>
      <c r="F260">
        <v>21</v>
      </c>
      <c r="G260">
        <v>30</v>
      </c>
      <c r="H260">
        <v>33</v>
      </c>
      <c r="I260">
        <v>37</v>
      </c>
      <c r="J260">
        <v>36</v>
      </c>
      <c r="K260">
        <v>43</v>
      </c>
      <c r="L260">
        <v>43</v>
      </c>
      <c r="M260">
        <v>49</v>
      </c>
      <c r="N260">
        <v>39</v>
      </c>
      <c r="O260">
        <v>39</v>
      </c>
      <c r="P260">
        <v>43</v>
      </c>
      <c r="Q260">
        <v>44</v>
      </c>
      <c r="R260">
        <v>45</v>
      </c>
      <c r="S260">
        <v>50</v>
      </c>
      <c r="T260">
        <v>48</v>
      </c>
      <c r="U260">
        <v>48</v>
      </c>
      <c r="V260">
        <v>56</v>
      </c>
      <c r="W260">
        <v>52</v>
      </c>
      <c r="X260">
        <v>55</v>
      </c>
      <c r="Y260">
        <v>59</v>
      </c>
      <c r="Z260">
        <v>61</v>
      </c>
      <c r="AA260">
        <v>62</v>
      </c>
      <c r="AB260">
        <v>66</v>
      </c>
      <c r="AC260">
        <v>72</v>
      </c>
      <c r="AD260">
        <v>74</v>
      </c>
      <c r="AE260">
        <v>75</v>
      </c>
      <c r="AF260">
        <v>77</v>
      </c>
      <c r="AG260">
        <v>73</v>
      </c>
      <c r="AH260">
        <v>75</v>
      </c>
      <c r="AI260">
        <v>73</v>
      </c>
      <c r="AJ260">
        <v>49</v>
      </c>
      <c r="AK260">
        <v>60</v>
      </c>
      <c r="AL260">
        <v>57</v>
      </c>
      <c r="AM260">
        <v>60</v>
      </c>
      <c r="AN260">
        <v>70</v>
      </c>
      <c r="AO260">
        <v>72</v>
      </c>
      <c r="AP260">
        <v>67</v>
      </c>
      <c r="AQ260">
        <v>65</v>
      </c>
      <c r="AR260">
        <v>72</v>
      </c>
      <c r="AS260">
        <v>68</v>
      </c>
      <c r="AT260">
        <v>66</v>
      </c>
      <c r="AU260">
        <v>61</v>
      </c>
      <c r="AV260">
        <v>65</v>
      </c>
      <c r="AW260">
        <v>64</v>
      </c>
      <c r="AX260">
        <v>57</v>
      </c>
      <c r="AY260">
        <v>55</v>
      </c>
      <c r="AZ260">
        <v>58</v>
      </c>
      <c r="BA260">
        <v>55</v>
      </c>
      <c r="BB260">
        <v>51</v>
      </c>
      <c r="BC260">
        <v>47</v>
      </c>
    </row>
    <row r="261" spans="1:55" x14ac:dyDescent="0.25">
      <c r="A261" t="s">
        <v>3895</v>
      </c>
      <c r="B261" t="s">
        <v>166</v>
      </c>
      <c r="C261" t="s">
        <v>88</v>
      </c>
      <c r="D261">
        <v>135</v>
      </c>
      <c r="E261">
        <v>38.659999999999997</v>
      </c>
      <c r="F261">
        <v>19</v>
      </c>
      <c r="G261">
        <v>23</v>
      </c>
      <c r="H261">
        <v>15</v>
      </c>
      <c r="I261">
        <v>20</v>
      </c>
      <c r="J261">
        <v>17</v>
      </c>
      <c r="K261">
        <v>23</v>
      </c>
      <c r="L261">
        <v>27</v>
      </c>
      <c r="M261">
        <v>26</v>
      </c>
      <c r="N261">
        <v>25</v>
      </c>
      <c r="O261">
        <v>24</v>
      </c>
      <c r="P261">
        <v>27</v>
      </c>
      <c r="Q261">
        <v>31</v>
      </c>
      <c r="R261">
        <v>39</v>
      </c>
      <c r="S261">
        <v>41</v>
      </c>
      <c r="T261">
        <v>28</v>
      </c>
      <c r="U261">
        <v>35</v>
      </c>
      <c r="V261">
        <v>30</v>
      </c>
      <c r="W261">
        <v>40</v>
      </c>
      <c r="X261">
        <v>42</v>
      </c>
      <c r="Y261">
        <v>50</v>
      </c>
      <c r="Z261">
        <v>46</v>
      </c>
      <c r="AA261">
        <v>43</v>
      </c>
      <c r="AB261">
        <v>54</v>
      </c>
      <c r="AC261">
        <v>50</v>
      </c>
      <c r="AD261">
        <v>58</v>
      </c>
      <c r="AE261">
        <v>50</v>
      </c>
      <c r="AF261">
        <v>58</v>
      </c>
      <c r="AG261">
        <v>60</v>
      </c>
      <c r="AH261">
        <v>62</v>
      </c>
      <c r="AI261">
        <v>56</v>
      </c>
      <c r="AJ261">
        <v>24</v>
      </c>
      <c r="AK261">
        <v>31</v>
      </c>
      <c r="AL261">
        <v>29</v>
      </c>
      <c r="AM261">
        <v>36</v>
      </c>
      <c r="AN261">
        <v>49</v>
      </c>
      <c r="AO261">
        <v>53</v>
      </c>
      <c r="AP261">
        <v>50</v>
      </c>
      <c r="AQ261">
        <v>53</v>
      </c>
      <c r="AR261">
        <v>57</v>
      </c>
      <c r="AS261">
        <v>53</v>
      </c>
      <c r="AT261">
        <v>52</v>
      </c>
      <c r="AU261">
        <v>53</v>
      </c>
      <c r="AV261">
        <v>45</v>
      </c>
      <c r="AW261">
        <v>43</v>
      </c>
      <c r="AX261">
        <v>34</v>
      </c>
      <c r="AY261">
        <v>34</v>
      </c>
      <c r="AZ261">
        <v>36</v>
      </c>
      <c r="BA261">
        <v>30</v>
      </c>
      <c r="BB261">
        <v>27</v>
      </c>
      <c r="BC261">
        <v>25</v>
      </c>
    </row>
    <row r="262" spans="1:55" x14ac:dyDescent="0.25">
      <c r="A262" t="s">
        <v>3896</v>
      </c>
      <c r="B262" t="s">
        <v>167</v>
      </c>
      <c r="C262" t="s">
        <v>88</v>
      </c>
      <c r="D262">
        <v>285</v>
      </c>
      <c r="E262">
        <v>72.06</v>
      </c>
      <c r="F262">
        <v>53</v>
      </c>
      <c r="G262">
        <v>55</v>
      </c>
      <c r="H262">
        <v>65</v>
      </c>
      <c r="I262">
        <v>66</v>
      </c>
      <c r="J262">
        <v>65</v>
      </c>
      <c r="K262">
        <v>67</v>
      </c>
      <c r="L262">
        <v>67</v>
      </c>
      <c r="M262">
        <v>65</v>
      </c>
      <c r="N262">
        <v>61</v>
      </c>
      <c r="O262">
        <v>65</v>
      </c>
      <c r="P262">
        <v>62</v>
      </c>
      <c r="Q262">
        <v>58</v>
      </c>
      <c r="R262">
        <v>64</v>
      </c>
      <c r="S262">
        <v>59</v>
      </c>
      <c r="T262">
        <v>58</v>
      </c>
      <c r="U262">
        <v>63</v>
      </c>
      <c r="V262">
        <v>73</v>
      </c>
      <c r="W262">
        <v>69</v>
      </c>
      <c r="X262">
        <v>69</v>
      </c>
      <c r="Y262">
        <v>76</v>
      </c>
      <c r="Z262">
        <v>82</v>
      </c>
      <c r="AA262">
        <v>77</v>
      </c>
      <c r="AB262">
        <v>80</v>
      </c>
      <c r="AC262">
        <v>79</v>
      </c>
      <c r="AD262">
        <v>84</v>
      </c>
      <c r="AE262">
        <v>85</v>
      </c>
      <c r="AF262">
        <v>84</v>
      </c>
      <c r="AG262">
        <v>84</v>
      </c>
      <c r="AH262">
        <v>83</v>
      </c>
      <c r="AI262">
        <v>86</v>
      </c>
      <c r="AJ262">
        <v>70</v>
      </c>
      <c r="AK262">
        <v>75</v>
      </c>
      <c r="AL262">
        <v>73</v>
      </c>
      <c r="AM262">
        <v>70</v>
      </c>
      <c r="AN262">
        <v>83</v>
      </c>
      <c r="AO262">
        <v>81</v>
      </c>
      <c r="AP262">
        <v>85</v>
      </c>
      <c r="AQ262">
        <v>80</v>
      </c>
      <c r="AR262">
        <v>79</v>
      </c>
      <c r="AS262">
        <v>82</v>
      </c>
      <c r="AT262">
        <v>87</v>
      </c>
      <c r="AU262">
        <v>81</v>
      </c>
      <c r="AV262">
        <v>83</v>
      </c>
      <c r="AW262">
        <v>78</v>
      </c>
      <c r="AX262">
        <v>77</v>
      </c>
      <c r="AY262">
        <v>68</v>
      </c>
      <c r="AZ262">
        <v>68</v>
      </c>
      <c r="BA262">
        <v>63</v>
      </c>
      <c r="BB262">
        <v>62</v>
      </c>
      <c r="BC262">
        <v>54</v>
      </c>
    </row>
    <row r="263" spans="1:55" x14ac:dyDescent="0.25">
      <c r="A263" t="s">
        <v>3897</v>
      </c>
      <c r="B263" t="s">
        <v>247</v>
      </c>
      <c r="C263" t="s">
        <v>88</v>
      </c>
      <c r="D263">
        <v>240</v>
      </c>
      <c r="E263">
        <v>30.18</v>
      </c>
      <c r="F263">
        <v>13</v>
      </c>
      <c r="G263">
        <v>10</v>
      </c>
      <c r="H263">
        <v>11</v>
      </c>
      <c r="I263">
        <v>14</v>
      </c>
      <c r="J263">
        <v>14</v>
      </c>
      <c r="K263">
        <v>17</v>
      </c>
      <c r="L263">
        <v>20</v>
      </c>
      <c r="M263">
        <v>14</v>
      </c>
      <c r="N263">
        <v>14</v>
      </c>
      <c r="O263">
        <v>16</v>
      </c>
      <c r="P263">
        <v>16</v>
      </c>
      <c r="Q263">
        <v>17</v>
      </c>
      <c r="R263">
        <v>21</v>
      </c>
      <c r="S263">
        <v>25</v>
      </c>
      <c r="T263">
        <v>24</v>
      </c>
      <c r="U263">
        <v>25</v>
      </c>
      <c r="V263">
        <v>19</v>
      </c>
      <c r="W263">
        <v>21</v>
      </c>
      <c r="X263">
        <v>24</v>
      </c>
      <c r="Y263">
        <v>26</v>
      </c>
      <c r="Z263">
        <v>33</v>
      </c>
      <c r="AA263">
        <v>41</v>
      </c>
      <c r="AB263">
        <v>36</v>
      </c>
      <c r="AC263">
        <v>42</v>
      </c>
      <c r="AD263">
        <v>36</v>
      </c>
      <c r="AE263">
        <v>41</v>
      </c>
      <c r="AF263">
        <v>42</v>
      </c>
      <c r="AG263">
        <v>43</v>
      </c>
      <c r="AH263">
        <v>48</v>
      </c>
      <c r="AI263">
        <v>36</v>
      </c>
      <c r="AJ263">
        <v>13</v>
      </c>
      <c r="AK263">
        <v>16</v>
      </c>
      <c r="AL263">
        <v>13</v>
      </c>
      <c r="AM263">
        <v>20</v>
      </c>
      <c r="AN263">
        <v>49</v>
      </c>
      <c r="AO263">
        <v>42</v>
      </c>
      <c r="AP263">
        <v>49</v>
      </c>
      <c r="AQ263">
        <v>48</v>
      </c>
      <c r="AR263">
        <v>53</v>
      </c>
      <c r="AS263">
        <v>50</v>
      </c>
      <c r="AT263">
        <v>52</v>
      </c>
      <c r="AU263">
        <v>48</v>
      </c>
      <c r="AV263">
        <v>57</v>
      </c>
      <c r="AW263">
        <v>43</v>
      </c>
      <c r="AX263">
        <v>43</v>
      </c>
      <c r="AY263">
        <v>45</v>
      </c>
      <c r="AZ263">
        <v>30</v>
      </c>
      <c r="BA263">
        <v>27</v>
      </c>
      <c r="BB263">
        <v>28</v>
      </c>
      <c r="BC263">
        <v>24</v>
      </c>
    </row>
    <row r="264" spans="1:55" x14ac:dyDescent="0.25">
      <c r="A264" t="s">
        <v>3898</v>
      </c>
      <c r="B264" t="s">
        <v>169</v>
      </c>
      <c r="C264" t="s">
        <v>88</v>
      </c>
      <c r="D264">
        <v>146</v>
      </c>
      <c r="E264">
        <v>41.94</v>
      </c>
      <c r="F264">
        <v>18</v>
      </c>
      <c r="G264">
        <v>25</v>
      </c>
      <c r="H264">
        <v>19</v>
      </c>
      <c r="I264">
        <v>34</v>
      </c>
      <c r="J264">
        <v>32</v>
      </c>
      <c r="K264">
        <v>30</v>
      </c>
      <c r="L264">
        <v>31</v>
      </c>
      <c r="M264">
        <v>27</v>
      </c>
      <c r="N264">
        <v>39</v>
      </c>
      <c r="O264">
        <v>35</v>
      </c>
      <c r="P264">
        <v>35</v>
      </c>
      <c r="Q264">
        <v>36</v>
      </c>
      <c r="R264">
        <v>33</v>
      </c>
      <c r="S264">
        <v>43</v>
      </c>
      <c r="T264">
        <v>44</v>
      </c>
      <c r="U264">
        <v>37</v>
      </c>
      <c r="V264">
        <v>42</v>
      </c>
      <c r="W264">
        <v>47</v>
      </c>
      <c r="X264">
        <v>45</v>
      </c>
      <c r="Y264">
        <v>52</v>
      </c>
      <c r="Z264">
        <v>49</v>
      </c>
      <c r="AA264">
        <v>47</v>
      </c>
      <c r="AB264">
        <v>51</v>
      </c>
      <c r="AC264">
        <v>57</v>
      </c>
      <c r="AD264">
        <v>53</v>
      </c>
      <c r="AE264">
        <v>58</v>
      </c>
      <c r="AF264">
        <v>64</v>
      </c>
      <c r="AG264">
        <v>49</v>
      </c>
      <c r="AH264">
        <v>54</v>
      </c>
      <c r="AI264">
        <v>52</v>
      </c>
      <c r="AJ264">
        <v>37</v>
      </c>
      <c r="AK264">
        <v>31</v>
      </c>
      <c r="AL264">
        <v>31</v>
      </c>
      <c r="AM264">
        <v>35</v>
      </c>
      <c r="AN264">
        <v>52</v>
      </c>
      <c r="AO264">
        <v>50</v>
      </c>
      <c r="AP264">
        <v>43</v>
      </c>
      <c r="AQ264">
        <v>49</v>
      </c>
      <c r="AR264">
        <v>47</v>
      </c>
      <c r="AS264">
        <v>43</v>
      </c>
      <c r="AT264">
        <v>52</v>
      </c>
      <c r="AU264">
        <v>50</v>
      </c>
      <c r="AV264">
        <v>53</v>
      </c>
      <c r="AW264">
        <v>51</v>
      </c>
      <c r="AX264">
        <v>44</v>
      </c>
      <c r="AY264">
        <v>42</v>
      </c>
      <c r="AZ264">
        <v>46</v>
      </c>
      <c r="BA264">
        <v>39</v>
      </c>
      <c r="BB264">
        <v>29</v>
      </c>
      <c r="BC264">
        <v>35</v>
      </c>
    </row>
    <row r="265" spans="1:55" x14ac:dyDescent="0.25">
      <c r="A265" t="s">
        <v>3899</v>
      </c>
      <c r="B265" t="s">
        <v>170</v>
      </c>
      <c r="C265" t="s">
        <v>88</v>
      </c>
      <c r="D265">
        <v>1097</v>
      </c>
      <c r="E265">
        <v>42.18</v>
      </c>
      <c r="F265">
        <v>20</v>
      </c>
      <c r="G265">
        <v>30</v>
      </c>
      <c r="H265">
        <v>30</v>
      </c>
      <c r="I265">
        <v>37</v>
      </c>
      <c r="J265">
        <v>35</v>
      </c>
      <c r="K265">
        <v>38</v>
      </c>
      <c r="L265">
        <v>38</v>
      </c>
      <c r="M265">
        <v>35</v>
      </c>
      <c r="N265">
        <v>34</v>
      </c>
      <c r="O265">
        <v>35</v>
      </c>
      <c r="P265">
        <v>36</v>
      </c>
      <c r="Q265">
        <v>39</v>
      </c>
      <c r="R265">
        <v>42</v>
      </c>
      <c r="S265">
        <v>36</v>
      </c>
      <c r="T265">
        <v>39</v>
      </c>
      <c r="U265">
        <v>40</v>
      </c>
      <c r="V265">
        <v>41</v>
      </c>
      <c r="W265">
        <v>40</v>
      </c>
      <c r="X265">
        <v>41</v>
      </c>
      <c r="Y265">
        <v>47</v>
      </c>
      <c r="Z265">
        <v>47</v>
      </c>
      <c r="AA265">
        <v>49</v>
      </c>
      <c r="AB265">
        <v>52</v>
      </c>
      <c r="AC265">
        <v>58</v>
      </c>
      <c r="AD265">
        <v>60</v>
      </c>
      <c r="AE265">
        <v>58</v>
      </c>
      <c r="AF265">
        <v>59</v>
      </c>
      <c r="AG265">
        <v>57</v>
      </c>
      <c r="AH265">
        <v>54</v>
      </c>
      <c r="AI265">
        <v>54</v>
      </c>
      <c r="AJ265">
        <v>27</v>
      </c>
      <c r="AK265">
        <v>37</v>
      </c>
      <c r="AL265">
        <v>39</v>
      </c>
      <c r="AM265">
        <v>44</v>
      </c>
      <c r="AN265">
        <v>53</v>
      </c>
      <c r="AO265">
        <v>58</v>
      </c>
      <c r="AP265">
        <v>54</v>
      </c>
      <c r="AQ265">
        <v>50</v>
      </c>
      <c r="AR265">
        <v>54</v>
      </c>
      <c r="AS265">
        <v>57</v>
      </c>
      <c r="AT265">
        <v>52</v>
      </c>
      <c r="AU265">
        <v>50</v>
      </c>
      <c r="AV265">
        <v>47</v>
      </c>
      <c r="AW265">
        <v>41</v>
      </c>
      <c r="AX265">
        <v>35</v>
      </c>
      <c r="AY265">
        <v>33</v>
      </c>
      <c r="AZ265">
        <v>28</v>
      </c>
      <c r="BA265">
        <v>25</v>
      </c>
      <c r="BB265">
        <v>24</v>
      </c>
      <c r="BC265">
        <v>20</v>
      </c>
    </row>
    <row r="266" spans="1:55" x14ac:dyDescent="0.25">
      <c r="A266" t="s">
        <v>3900</v>
      </c>
      <c r="B266" t="s">
        <v>45</v>
      </c>
      <c r="C266" t="s">
        <v>90</v>
      </c>
      <c r="D266">
        <v>22933</v>
      </c>
      <c r="E266">
        <v>13.24</v>
      </c>
      <c r="F266">
        <v>27</v>
      </c>
      <c r="G266">
        <v>20</v>
      </c>
      <c r="H266">
        <v>18</v>
      </c>
      <c r="I266">
        <v>15</v>
      </c>
      <c r="J266">
        <v>15</v>
      </c>
      <c r="K266">
        <v>17</v>
      </c>
      <c r="L266">
        <v>14</v>
      </c>
      <c r="M266">
        <v>15</v>
      </c>
      <c r="N266">
        <v>15</v>
      </c>
      <c r="O266">
        <v>15</v>
      </c>
      <c r="P266">
        <v>15</v>
      </c>
      <c r="Q266">
        <v>14</v>
      </c>
      <c r="R266">
        <v>13</v>
      </c>
      <c r="S266">
        <v>12</v>
      </c>
      <c r="T266">
        <v>12</v>
      </c>
      <c r="U266">
        <v>11</v>
      </c>
      <c r="V266">
        <v>11</v>
      </c>
      <c r="W266">
        <v>11</v>
      </c>
      <c r="X266">
        <v>11</v>
      </c>
      <c r="Y266">
        <v>11</v>
      </c>
      <c r="Z266">
        <v>11</v>
      </c>
      <c r="AA266">
        <v>11</v>
      </c>
      <c r="AB266">
        <v>10</v>
      </c>
      <c r="AC266">
        <v>10</v>
      </c>
      <c r="AD266">
        <v>10</v>
      </c>
      <c r="AE266">
        <v>9</v>
      </c>
      <c r="AF266">
        <v>9</v>
      </c>
      <c r="AG266">
        <v>9</v>
      </c>
      <c r="AH266">
        <v>9</v>
      </c>
      <c r="AI266">
        <v>9</v>
      </c>
      <c r="AJ266">
        <v>20</v>
      </c>
      <c r="AK266">
        <v>12</v>
      </c>
      <c r="AL266">
        <v>12</v>
      </c>
      <c r="AM266">
        <v>11</v>
      </c>
      <c r="AN266">
        <v>8</v>
      </c>
      <c r="AO266">
        <v>8</v>
      </c>
      <c r="AP266">
        <v>10</v>
      </c>
      <c r="AQ266">
        <v>14</v>
      </c>
      <c r="AR266">
        <v>13</v>
      </c>
      <c r="AS266">
        <v>15</v>
      </c>
      <c r="AT266">
        <v>17</v>
      </c>
      <c r="AU266">
        <v>16</v>
      </c>
      <c r="AV266">
        <v>14</v>
      </c>
      <c r="AW266">
        <v>14</v>
      </c>
      <c r="AX266">
        <v>14</v>
      </c>
      <c r="AY266">
        <v>15</v>
      </c>
      <c r="AZ266">
        <v>14</v>
      </c>
      <c r="BA266">
        <v>15</v>
      </c>
      <c r="BB266">
        <v>15</v>
      </c>
      <c r="BC266">
        <v>16</v>
      </c>
    </row>
    <row r="267" spans="1:55" x14ac:dyDescent="0.25">
      <c r="A267" t="s">
        <v>3901</v>
      </c>
      <c r="B267" t="s">
        <v>110</v>
      </c>
      <c r="C267" t="s">
        <v>90</v>
      </c>
      <c r="D267">
        <v>5680</v>
      </c>
      <c r="E267">
        <v>10.98</v>
      </c>
      <c r="F267">
        <v>25</v>
      </c>
      <c r="G267">
        <v>17</v>
      </c>
      <c r="H267">
        <v>15</v>
      </c>
      <c r="I267">
        <v>12</v>
      </c>
      <c r="J267">
        <v>13</v>
      </c>
      <c r="K267">
        <v>15</v>
      </c>
      <c r="L267">
        <v>12</v>
      </c>
      <c r="M267">
        <v>12</v>
      </c>
      <c r="N267">
        <v>12</v>
      </c>
      <c r="O267">
        <v>12</v>
      </c>
      <c r="P267">
        <v>12</v>
      </c>
      <c r="Q267">
        <v>12</v>
      </c>
      <c r="R267">
        <v>11</v>
      </c>
      <c r="S267">
        <v>9</v>
      </c>
      <c r="T267">
        <v>9</v>
      </c>
      <c r="U267">
        <v>9</v>
      </c>
      <c r="V267">
        <v>9</v>
      </c>
      <c r="W267">
        <v>9</v>
      </c>
      <c r="X267">
        <v>9</v>
      </c>
      <c r="Y267">
        <v>9</v>
      </c>
      <c r="Z267">
        <v>9</v>
      </c>
      <c r="AA267">
        <v>9</v>
      </c>
      <c r="AB267">
        <v>8</v>
      </c>
      <c r="AC267">
        <v>8</v>
      </c>
      <c r="AD267">
        <v>8</v>
      </c>
      <c r="AE267">
        <v>8</v>
      </c>
      <c r="AF267">
        <v>8</v>
      </c>
      <c r="AG267">
        <v>8</v>
      </c>
      <c r="AH267">
        <v>7</v>
      </c>
      <c r="AI267">
        <v>8</v>
      </c>
      <c r="AJ267">
        <v>18</v>
      </c>
      <c r="AK267">
        <v>10</v>
      </c>
      <c r="AL267">
        <v>9</v>
      </c>
      <c r="AM267">
        <v>8</v>
      </c>
      <c r="AN267">
        <v>7</v>
      </c>
      <c r="AO267">
        <v>7</v>
      </c>
      <c r="AP267">
        <v>8</v>
      </c>
      <c r="AQ267">
        <v>11</v>
      </c>
      <c r="AR267">
        <v>11</v>
      </c>
      <c r="AS267">
        <v>13</v>
      </c>
      <c r="AT267">
        <v>15</v>
      </c>
      <c r="AU267">
        <v>13</v>
      </c>
      <c r="AV267">
        <v>12</v>
      </c>
      <c r="AW267">
        <v>12</v>
      </c>
      <c r="AX267">
        <v>12</v>
      </c>
      <c r="AY267">
        <v>11</v>
      </c>
      <c r="AZ267">
        <v>11</v>
      </c>
      <c r="BA267">
        <v>12</v>
      </c>
      <c r="BB267">
        <v>12</v>
      </c>
      <c r="BC267">
        <v>13</v>
      </c>
    </row>
    <row r="268" spans="1:55" x14ac:dyDescent="0.25">
      <c r="A268" t="s">
        <v>3902</v>
      </c>
      <c r="B268" t="s">
        <v>111</v>
      </c>
      <c r="C268" t="s">
        <v>90</v>
      </c>
      <c r="D268">
        <v>64</v>
      </c>
      <c r="E268">
        <v>8.08</v>
      </c>
      <c r="F268">
        <v>13</v>
      </c>
      <c r="G268">
        <v>13</v>
      </c>
      <c r="H268">
        <v>8</v>
      </c>
      <c r="I268">
        <v>12</v>
      </c>
      <c r="J268">
        <v>13</v>
      </c>
      <c r="K268">
        <v>12</v>
      </c>
      <c r="L268">
        <v>9</v>
      </c>
      <c r="M268">
        <v>11</v>
      </c>
      <c r="N268">
        <v>14</v>
      </c>
      <c r="O268">
        <v>9</v>
      </c>
      <c r="P268">
        <v>12</v>
      </c>
      <c r="Q268">
        <v>9</v>
      </c>
      <c r="R268">
        <v>7</v>
      </c>
      <c r="S268">
        <v>6</v>
      </c>
      <c r="T268">
        <v>7</v>
      </c>
      <c r="U268">
        <v>7</v>
      </c>
      <c r="V268">
        <v>9</v>
      </c>
      <c r="W268">
        <v>6</v>
      </c>
      <c r="X268">
        <v>10</v>
      </c>
      <c r="Y268">
        <v>10</v>
      </c>
      <c r="Z268">
        <v>4</v>
      </c>
      <c r="AA268">
        <v>4</v>
      </c>
      <c r="AB268">
        <v>3</v>
      </c>
      <c r="AC268">
        <v>8</v>
      </c>
      <c r="AD268">
        <v>4</v>
      </c>
      <c r="AE268">
        <v>6</v>
      </c>
      <c r="AF268">
        <v>5</v>
      </c>
      <c r="AG268">
        <v>3</v>
      </c>
      <c r="AH268">
        <v>4</v>
      </c>
      <c r="AI268">
        <v>3</v>
      </c>
      <c r="AJ268">
        <v>4</v>
      </c>
      <c r="AK268">
        <v>5</v>
      </c>
      <c r="AL268">
        <v>6</v>
      </c>
      <c r="AM268">
        <v>4</v>
      </c>
      <c r="AN268">
        <v>3</v>
      </c>
      <c r="AO268">
        <v>4</v>
      </c>
      <c r="AP268">
        <v>5</v>
      </c>
      <c r="AQ268">
        <v>8</v>
      </c>
      <c r="AR268">
        <v>13</v>
      </c>
      <c r="AS268">
        <v>18</v>
      </c>
      <c r="AT268">
        <v>10</v>
      </c>
      <c r="AU268">
        <v>11</v>
      </c>
      <c r="AV268">
        <v>13</v>
      </c>
      <c r="AW268">
        <v>10</v>
      </c>
      <c r="AX268">
        <v>6</v>
      </c>
      <c r="AY268">
        <v>7</v>
      </c>
      <c r="AZ268">
        <v>8</v>
      </c>
      <c r="BA268">
        <v>8</v>
      </c>
      <c r="BB268">
        <v>7</v>
      </c>
      <c r="BC268">
        <v>13</v>
      </c>
    </row>
    <row r="269" spans="1:55" x14ac:dyDescent="0.25">
      <c r="A269" t="s">
        <v>3903</v>
      </c>
      <c r="B269" t="s">
        <v>112</v>
      </c>
      <c r="C269" t="s">
        <v>90</v>
      </c>
      <c r="D269">
        <v>221</v>
      </c>
      <c r="E269">
        <v>9.92</v>
      </c>
      <c r="F269">
        <v>17</v>
      </c>
      <c r="G269">
        <v>11</v>
      </c>
      <c r="H269">
        <v>8</v>
      </c>
      <c r="I269">
        <v>10</v>
      </c>
      <c r="J269">
        <v>11</v>
      </c>
      <c r="K269">
        <v>14</v>
      </c>
      <c r="L269">
        <v>13</v>
      </c>
      <c r="M269">
        <v>9</v>
      </c>
      <c r="N269">
        <v>8</v>
      </c>
      <c r="O269">
        <v>12</v>
      </c>
      <c r="P269">
        <v>13</v>
      </c>
      <c r="Q269">
        <v>12</v>
      </c>
      <c r="R269">
        <v>9</v>
      </c>
      <c r="S269">
        <v>9</v>
      </c>
      <c r="T269">
        <v>9</v>
      </c>
      <c r="U269">
        <v>11</v>
      </c>
      <c r="V269">
        <v>8</v>
      </c>
      <c r="W269">
        <v>8</v>
      </c>
      <c r="X269">
        <v>7</v>
      </c>
      <c r="Y269">
        <v>6</v>
      </c>
      <c r="Z269">
        <v>6</v>
      </c>
      <c r="AA269">
        <v>10</v>
      </c>
      <c r="AB269">
        <v>7</v>
      </c>
      <c r="AC269">
        <v>7</v>
      </c>
      <c r="AD269">
        <v>6</v>
      </c>
      <c r="AE269">
        <v>5</v>
      </c>
      <c r="AF269">
        <v>6</v>
      </c>
      <c r="AG269">
        <v>8</v>
      </c>
      <c r="AH269">
        <v>5</v>
      </c>
      <c r="AI269">
        <v>6</v>
      </c>
      <c r="AJ269">
        <v>18</v>
      </c>
      <c r="AK269">
        <v>6</v>
      </c>
      <c r="AL269">
        <v>8</v>
      </c>
      <c r="AM269">
        <v>8</v>
      </c>
      <c r="AN269">
        <v>5</v>
      </c>
      <c r="AO269">
        <v>7</v>
      </c>
      <c r="AP269">
        <v>9</v>
      </c>
      <c r="AQ269">
        <v>13</v>
      </c>
      <c r="AR269">
        <v>15</v>
      </c>
      <c r="AS269">
        <v>16</v>
      </c>
      <c r="AT269">
        <v>15</v>
      </c>
      <c r="AU269">
        <v>15</v>
      </c>
      <c r="AV269">
        <v>13</v>
      </c>
      <c r="AW269">
        <v>9</v>
      </c>
      <c r="AX269">
        <v>15</v>
      </c>
      <c r="AY269">
        <v>11</v>
      </c>
      <c r="AZ269">
        <v>11</v>
      </c>
      <c r="BA269">
        <v>11</v>
      </c>
      <c r="BB269">
        <v>7</v>
      </c>
      <c r="BC269">
        <v>13</v>
      </c>
    </row>
    <row r="270" spans="1:55" x14ac:dyDescent="0.25">
      <c r="A270" t="s">
        <v>3904</v>
      </c>
      <c r="B270" t="s">
        <v>113</v>
      </c>
      <c r="C270" t="s">
        <v>90</v>
      </c>
      <c r="D270">
        <v>106</v>
      </c>
      <c r="E270">
        <v>12.94</v>
      </c>
      <c r="F270">
        <v>16</v>
      </c>
      <c r="G270">
        <v>16</v>
      </c>
      <c r="H270">
        <v>14</v>
      </c>
      <c r="I270">
        <v>12</v>
      </c>
      <c r="J270">
        <v>10</v>
      </c>
      <c r="K270">
        <v>14</v>
      </c>
      <c r="L270">
        <v>9</v>
      </c>
      <c r="M270">
        <v>12</v>
      </c>
      <c r="N270">
        <v>10</v>
      </c>
      <c r="O270">
        <v>9</v>
      </c>
      <c r="P270">
        <v>9</v>
      </c>
      <c r="Q270">
        <v>9</v>
      </c>
      <c r="R270">
        <v>13</v>
      </c>
      <c r="S270">
        <v>10</v>
      </c>
      <c r="T270">
        <v>11</v>
      </c>
      <c r="U270">
        <v>11</v>
      </c>
      <c r="V270">
        <v>11</v>
      </c>
      <c r="W270">
        <v>10</v>
      </c>
      <c r="X270">
        <v>12</v>
      </c>
      <c r="Y270">
        <v>11</v>
      </c>
      <c r="Z270">
        <v>9</v>
      </c>
      <c r="AA270">
        <v>12</v>
      </c>
      <c r="AB270">
        <v>13</v>
      </c>
      <c r="AC270">
        <v>10</v>
      </c>
      <c r="AD270">
        <v>13</v>
      </c>
      <c r="AE270">
        <v>12</v>
      </c>
      <c r="AF270">
        <v>10</v>
      </c>
      <c r="AG270">
        <v>10</v>
      </c>
      <c r="AH270">
        <v>11</v>
      </c>
      <c r="AI270">
        <v>8</v>
      </c>
      <c r="AJ270">
        <v>22</v>
      </c>
      <c r="AK270">
        <v>13</v>
      </c>
      <c r="AL270">
        <v>12</v>
      </c>
      <c r="AM270">
        <v>11</v>
      </c>
      <c r="AN270">
        <v>7</v>
      </c>
      <c r="AO270">
        <v>4</v>
      </c>
      <c r="AP270">
        <v>13</v>
      </c>
      <c r="AQ270">
        <v>11</v>
      </c>
      <c r="AR270">
        <v>15</v>
      </c>
      <c r="AS270">
        <v>16</v>
      </c>
      <c r="AT270">
        <v>19</v>
      </c>
      <c r="AU270">
        <v>16</v>
      </c>
      <c r="AV270">
        <v>21</v>
      </c>
      <c r="AW270">
        <v>14</v>
      </c>
      <c r="AX270">
        <v>15</v>
      </c>
      <c r="AY270">
        <v>23</v>
      </c>
      <c r="AZ270">
        <v>18</v>
      </c>
      <c r="BA270">
        <v>15</v>
      </c>
      <c r="BB270">
        <v>23</v>
      </c>
      <c r="BC270">
        <v>22</v>
      </c>
    </row>
    <row r="271" spans="1:55" x14ac:dyDescent="0.25">
      <c r="A271" t="s">
        <v>3905</v>
      </c>
      <c r="B271" t="s">
        <v>114</v>
      </c>
      <c r="C271" t="s">
        <v>90</v>
      </c>
      <c r="D271">
        <v>222</v>
      </c>
      <c r="E271">
        <v>10.32</v>
      </c>
      <c r="F271">
        <v>23</v>
      </c>
      <c r="G271">
        <v>11</v>
      </c>
      <c r="H271">
        <v>16</v>
      </c>
      <c r="I271">
        <v>16</v>
      </c>
      <c r="J271">
        <v>12</v>
      </c>
      <c r="K271">
        <v>15</v>
      </c>
      <c r="L271">
        <v>14</v>
      </c>
      <c r="M271">
        <v>13</v>
      </c>
      <c r="N271">
        <v>10</v>
      </c>
      <c r="O271">
        <v>12</v>
      </c>
      <c r="P271">
        <v>11</v>
      </c>
      <c r="Q271">
        <v>10</v>
      </c>
      <c r="R271">
        <v>10</v>
      </c>
      <c r="S271">
        <v>8</v>
      </c>
      <c r="T271">
        <v>8</v>
      </c>
      <c r="U271">
        <v>7</v>
      </c>
      <c r="V271">
        <v>8</v>
      </c>
      <c r="W271">
        <v>7</v>
      </c>
      <c r="X271">
        <v>7</v>
      </c>
      <c r="Y271">
        <v>7</v>
      </c>
      <c r="Z271">
        <v>7</v>
      </c>
      <c r="AA271">
        <v>8</v>
      </c>
      <c r="AB271">
        <v>6</v>
      </c>
      <c r="AC271">
        <v>8</v>
      </c>
      <c r="AD271">
        <v>7</v>
      </c>
      <c r="AE271">
        <v>9</v>
      </c>
      <c r="AF271">
        <v>9</v>
      </c>
      <c r="AG271">
        <v>9</v>
      </c>
      <c r="AH271">
        <v>9</v>
      </c>
      <c r="AI271">
        <v>5</v>
      </c>
      <c r="AJ271">
        <v>20</v>
      </c>
      <c r="AK271">
        <v>13</v>
      </c>
      <c r="AL271">
        <v>11</v>
      </c>
      <c r="AM271">
        <v>11</v>
      </c>
      <c r="AN271">
        <v>6</v>
      </c>
      <c r="AO271">
        <v>7</v>
      </c>
      <c r="AP271">
        <v>7</v>
      </c>
      <c r="AQ271">
        <v>10</v>
      </c>
      <c r="AR271">
        <v>11</v>
      </c>
      <c r="AS271">
        <v>13</v>
      </c>
      <c r="AT271">
        <v>16</v>
      </c>
      <c r="AU271">
        <v>12</v>
      </c>
      <c r="AV271">
        <v>9</v>
      </c>
      <c r="AW271">
        <v>12</v>
      </c>
      <c r="AX271">
        <v>10</v>
      </c>
      <c r="AY271">
        <v>8</v>
      </c>
      <c r="AZ271">
        <v>11</v>
      </c>
      <c r="BA271">
        <v>9</v>
      </c>
      <c r="BB271">
        <v>10</v>
      </c>
      <c r="BC271">
        <v>8</v>
      </c>
    </row>
    <row r="272" spans="1:55" x14ac:dyDescent="0.25">
      <c r="A272" t="s">
        <v>3906</v>
      </c>
      <c r="B272" t="s">
        <v>115</v>
      </c>
      <c r="C272" t="s">
        <v>90</v>
      </c>
      <c r="D272">
        <v>139</v>
      </c>
      <c r="E272">
        <v>9.9</v>
      </c>
      <c r="F272">
        <v>24</v>
      </c>
      <c r="G272">
        <v>13</v>
      </c>
      <c r="H272">
        <v>17</v>
      </c>
      <c r="I272">
        <v>15</v>
      </c>
      <c r="J272">
        <v>12</v>
      </c>
      <c r="K272">
        <v>16</v>
      </c>
      <c r="L272">
        <v>13</v>
      </c>
      <c r="M272">
        <v>13</v>
      </c>
      <c r="N272">
        <v>10</v>
      </c>
      <c r="O272">
        <v>13</v>
      </c>
      <c r="P272">
        <v>9</v>
      </c>
      <c r="Q272">
        <v>12</v>
      </c>
      <c r="R272">
        <v>10</v>
      </c>
      <c r="S272">
        <v>9</v>
      </c>
      <c r="T272">
        <v>7</v>
      </c>
      <c r="U272">
        <v>7</v>
      </c>
      <c r="V272">
        <v>7</v>
      </c>
      <c r="W272">
        <v>9</v>
      </c>
      <c r="X272">
        <v>6</v>
      </c>
      <c r="Y272">
        <v>8</v>
      </c>
      <c r="Z272">
        <v>7</v>
      </c>
      <c r="AA272">
        <v>9</v>
      </c>
      <c r="AB272">
        <v>4</v>
      </c>
      <c r="AC272">
        <v>8</v>
      </c>
      <c r="AD272">
        <v>6</v>
      </c>
      <c r="AE272">
        <v>9</v>
      </c>
      <c r="AF272">
        <v>9</v>
      </c>
      <c r="AG272">
        <v>9</v>
      </c>
      <c r="AH272">
        <v>9</v>
      </c>
      <c r="AI272">
        <v>5</v>
      </c>
      <c r="AJ272">
        <v>18</v>
      </c>
      <c r="AK272">
        <v>10</v>
      </c>
      <c r="AL272">
        <v>8</v>
      </c>
      <c r="AM272">
        <v>10</v>
      </c>
      <c r="AN272">
        <v>5</v>
      </c>
      <c r="AO272">
        <v>7</v>
      </c>
      <c r="AP272">
        <v>7</v>
      </c>
      <c r="AQ272">
        <v>9</v>
      </c>
      <c r="AR272">
        <v>13</v>
      </c>
      <c r="AS272">
        <v>11</v>
      </c>
      <c r="AT272">
        <v>18</v>
      </c>
      <c r="AU272">
        <v>8</v>
      </c>
      <c r="AV272">
        <v>9</v>
      </c>
      <c r="AW272">
        <v>8</v>
      </c>
      <c r="AX272">
        <v>11</v>
      </c>
      <c r="AY272">
        <v>7</v>
      </c>
      <c r="AZ272">
        <v>8</v>
      </c>
      <c r="BA272">
        <v>8</v>
      </c>
      <c r="BB272">
        <v>8</v>
      </c>
      <c r="BC272">
        <v>7</v>
      </c>
    </row>
    <row r="273" spans="1:55" x14ac:dyDescent="0.25">
      <c r="A273" t="s">
        <v>3907</v>
      </c>
      <c r="B273" t="s">
        <v>116</v>
      </c>
      <c r="C273" t="s">
        <v>90</v>
      </c>
      <c r="D273">
        <v>151</v>
      </c>
      <c r="E273">
        <v>12.06</v>
      </c>
      <c r="F273">
        <v>31</v>
      </c>
      <c r="G273">
        <v>21</v>
      </c>
      <c r="H273">
        <v>18</v>
      </c>
      <c r="I273">
        <v>20</v>
      </c>
      <c r="J273">
        <v>16</v>
      </c>
      <c r="K273">
        <v>17</v>
      </c>
      <c r="L273">
        <v>18</v>
      </c>
      <c r="M273">
        <v>16</v>
      </c>
      <c r="N273">
        <v>17</v>
      </c>
      <c r="O273">
        <v>18</v>
      </c>
      <c r="P273">
        <v>19</v>
      </c>
      <c r="Q273">
        <v>14</v>
      </c>
      <c r="R273">
        <v>14</v>
      </c>
      <c r="S273">
        <v>13</v>
      </c>
      <c r="T273">
        <v>13</v>
      </c>
      <c r="U273">
        <v>12</v>
      </c>
      <c r="V273">
        <v>11</v>
      </c>
      <c r="W273">
        <v>6</v>
      </c>
      <c r="X273">
        <v>12</v>
      </c>
      <c r="Y273">
        <v>12</v>
      </c>
      <c r="Z273">
        <v>12</v>
      </c>
      <c r="AA273">
        <v>12</v>
      </c>
      <c r="AB273">
        <v>9</v>
      </c>
      <c r="AC273">
        <v>12</v>
      </c>
      <c r="AD273">
        <v>6</v>
      </c>
      <c r="AE273">
        <v>7</v>
      </c>
      <c r="AF273">
        <v>9</v>
      </c>
      <c r="AG273">
        <v>8</v>
      </c>
      <c r="AH273">
        <v>6</v>
      </c>
      <c r="AI273">
        <v>7</v>
      </c>
      <c r="AJ273">
        <v>21</v>
      </c>
      <c r="AK273">
        <v>6</v>
      </c>
      <c r="AL273">
        <v>5</v>
      </c>
      <c r="AM273">
        <v>3</v>
      </c>
      <c r="AN273">
        <v>4</v>
      </c>
      <c r="AO273">
        <v>5</v>
      </c>
      <c r="AP273">
        <v>5</v>
      </c>
      <c r="AQ273">
        <v>10</v>
      </c>
      <c r="AR273">
        <v>5</v>
      </c>
      <c r="AS273">
        <v>11</v>
      </c>
      <c r="AT273">
        <v>11</v>
      </c>
      <c r="AU273">
        <v>11</v>
      </c>
      <c r="AV273">
        <v>12</v>
      </c>
      <c r="AW273">
        <v>13</v>
      </c>
      <c r="AX273">
        <v>17</v>
      </c>
      <c r="AY273">
        <v>13</v>
      </c>
      <c r="AZ273">
        <v>10</v>
      </c>
      <c r="BA273">
        <v>11</v>
      </c>
      <c r="BB273">
        <v>12</v>
      </c>
      <c r="BC273">
        <v>12</v>
      </c>
    </row>
    <row r="274" spans="1:55" x14ac:dyDescent="0.25">
      <c r="A274" t="s">
        <v>3908</v>
      </c>
      <c r="B274" t="s">
        <v>117</v>
      </c>
      <c r="C274" t="s">
        <v>90</v>
      </c>
      <c r="D274">
        <v>135</v>
      </c>
      <c r="E274">
        <v>8.14</v>
      </c>
      <c r="F274">
        <v>20</v>
      </c>
      <c r="G274">
        <v>13</v>
      </c>
      <c r="H274">
        <v>12</v>
      </c>
      <c r="I274">
        <v>9</v>
      </c>
      <c r="J274">
        <v>11</v>
      </c>
      <c r="K274">
        <v>14</v>
      </c>
      <c r="L274">
        <v>9</v>
      </c>
      <c r="M274">
        <v>8</v>
      </c>
      <c r="N274">
        <v>9</v>
      </c>
      <c r="O274">
        <v>6</v>
      </c>
      <c r="P274">
        <v>7</v>
      </c>
      <c r="Q274">
        <v>11</v>
      </c>
      <c r="R274">
        <v>7</v>
      </c>
      <c r="S274">
        <v>8</v>
      </c>
      <c r="T274">
        <v>8</v>
      </c>
      <c r="U274">
        <v>7</v>
      </c>
      <c r="V274">
        <v>9</v>
      </c>
      <c r="W274">
        <v>6</v>
      </c>
      <c r="X274">
        <v>6</v>
      </c>
      <c r="Y274">
        <v>7</v>
      </c>
      <c r="Z274">
        <v>5</v>
      </c>
      <c r="AA274">
        <v>8</v>
      </c>
      <c r="AB274">
        <v>7</v>
      </c>
      <c r="AC274">
        <v>7</v>
      </c>
      <c r="AD274">
        <v>6</v>
      </c>
      <c r="AE274">
        <v>4</v>
      </c>
      <c r="AF274">
        <v>5</v>
      </c>
      <c r="AG274">
        <v>8</v>
      </c>
      <c r="AH274">
        <v>4</v>
      </c>
      <c r="AI274">
        <v>3</v>
      </c>
      <c r="AJ274">
        <v>14</v>
      </c>
      <c r="AK274">
        <v>6</v>
      </c>
      <c r="AL274">
        <v>4</v>
      </c>
      <c r="AM274">
        <v>2</v>
      </c>
      <c r="AN274">
        <v>6</v>
      </c>
      <c r="AO274">
        <v>2</v>
      </c>
      <c r="AP274">
        <v>6</v>
      </c>
      <c r="AQ274">
        <v>8</v>
      </c>
      <c r="AR274">
        <v>7</v>
      </c>
      <c r="AS274">
        <v>11</v>
      </c>
      <c r="AT274">
        <v>12</v>
      </c>
      <c r="AU274">
        <v>10</v>
      </c>
      <c r="AV274">
        <v>13</v>
      </c>
      <c r="AW274">
        <v>7</v>
      </c>
      <c r="AX274">
        <v>10</v>
      </c>
      <c r="AY274">
        <v>11</v>
      </c>
      <c r="AZ274">
        <v>6</v>
      </c>
      <c r="BA274">
        <v>12</v>
      </c>
      <c r="BB274">
        <v>6</v>
      </c>
      <c r="BC274">
        <v>10</v>
      </c>
    </row>
    <row r="275" spans="1:55" x14ac:dyDescent="0.25">
      <c r="A275" t="s">
        <v>3909</v>
      </c>
      <c r="B275" t="s">
        <v>118</v>
      </c>
      <c r="C275" t="s">
        <v>90</v>
      </c>
      <c r="D275">
        <v>141</v>
      </c>
      <c r="E275">
        <v>14.96</v>
      </c>
      <c r="F275">
        <v>25</v>
      </c>
      <c r="G275">
        <v>21</v>
      </c>
      <c r="H275">
        <v>16</v>
      </c>
      <c r="I275">
        <v>14</v>
      </c>
      <c r="J275">
        <v>16</v>
      </c>
      <c r="K275">
        <v>16</v>
      </c>
      <c r="L275">
        <v>17</v>
      </c>
      <c r="M275">
        <v>18</v>
      </c>
      <c r="N275">
        <v>16</v>
      </c>
      <c r="O275">
        <v>20</v>
      </c>
      <c r="P275">
        <v>17</v>
      </c>
      <c r="Q275">
        <v>15</v>
      </c>
      <c r="R275">
        <v>16</v>
      </c>
      <c r="S275">
        <v>16</v>
      </c>
      <c r="T275">
        <v>22</v>
      </c>
      <c r="U275">
        <v>15</v>
      </c>
      <c r="V275">
        <v>16</v>
      </c>
      <c r="W275">
        <v>13</v>
      </c>
      <c r="X275">
        <v>12</v>
      </c>
      <c r="Y275">
        <v>17</v>
      </c>
      <c r="Z275">
        <v>15</v>
      </c>
      <c r="AA275">
        <v>18</v>
      </c>
      <c r="AB275">
        <v>14</v>
      </c>
      <c r="AC275">
        <v>16</v>
      </c>
      <c r="AD275">
        <v>14</v>
      </c>
      <c r="AE275">
        <v>13</v>
      </c>
      <c r="AF275">
        <v>13</v>
      </c>
      <c r="AG275">
        <v>11</v>
      </c>
      <c r="AH275">
        <v>10</v>
      </c>
      <c r="AI275">
        <v>15</v>
      </c>
      <c r="AJ275">
        <v>28</v>
      </c>
      <c r="AK275">
        <v>15</v>
      </c>
      <c r="AL275">
        <v>11</v>
      </c>
      <c r="AM275">
        <v>12</v>
      </c>
      <c r="AN275">
        <v>11</v>
      </c>
      <c r="AO275">
        <v>8</v>
      </c>
      <c r="AP275">
        <v>10</v>
      </c>
      <c r="AQ275">
        <v>11</v>
      </c>
      <c r="AR275">
        <v>13</v>
      </c>
      <c r="AS275">
        <v>16</v>
      </c>
      <c r="AT275">
        <v>15</v>
      </c>
      <c r="AU275">
        <v>17</v>
      </c>
      <c r="AV275">
        <v>15</v>
      </c>
      <c r="AW275">
        <v>12</v>
      </c>
      <c r="AX275">
        <v>11</v>
      </c>
      <c r="AY275">
        <v>10</v>
      </c>
      <c r="AZ275">
        <v>13</v>
      </c>
      <c r="BA275">
        <v>17</v>
      </c>
      <c r="BB275">
        <v>12</v>
      </c>
      <c r="BC275">
        <v>14</v>
      </c>
    </row>
    <row r="276" spans="1:55" x14ac:dyDescent="0.25">
      <c r="A276" t="s">
        <v>3910</v>
      </c>
      <c r="B276" t="s">
        <v>119</v>
      </c>
      <c r="C276" t="s">
        <v>90</v>
      </c>
      <c r="D276">
        <v>231</v>
      </c>
      <c r="E276">
        <v>8.4600000000000009</v>
      </c>
      <c r="F276">
        <v>18</v>
      </c>
      <c r="G276">
        <v>11</v>
      </c>
      <c r="H276">
        <v>9</v>
      </c>
      <c r="I276">
        <v>6</v>
      </c>
      <c r="J276">
        <v>9</v>
      </c>
      <c r="K276">
        <v>9</v>
      </c>
      <c r="L276">
        <v>11</v>
      </c>
      <c r="M276">
        <v>10</v>
      </c>
      <c r="N276">
        <v>8</v>
      </c>
      <c r="O276">
        <v>7</v>
      </c>
      <c r="P276">
        <v>10</v>
      </c>
      <c r="Q276">
        <v>10</v>
      </c>
      <c r="R276">
        <v>7</v>
      </c>
      <c r="S276">
        <v>7</v>
      </c>
      <c r="T276">
        <v>8</v>
      </c>
      <c r="U276">
        <v>7</v>
      </c>
      <c r="V276">
        <v>7</v>
      </c>
      <c r="W276">
        <v>4</v>
      </c>
      <c r="X276">
        <v>3</v>
      </c>
      <c r="Y276">
        <v>7</v>
      </c>
      <c r="Z276">
        <v>8</v>
      </c>
      <c r="AA276">
        <v>6</v>
      </c>
      <c r="AB276">
        <v>7</v>
      </c>
      <c r="AC276">
        <v>8</v>
      </c>
      <c r="AD276">
        <v>6</v>
      </c>
      <c r="AE276">
        <v>7</v>
      </c>
      <c r="AF276">
        <v>7</v>
      </c>
      <c r="AG276">
        <v>8</v>
      </c>
      <c r="AH276">
        <v>8</v>
      </c>
      <c r="AI276">
        <v>7</v>
      </c>
      <c r="AJ276">
        <v>11</v>
      </c>
      <c r="AK276">
        <v>9</v>
      </c>
      <c r="AL276">
        <v>6</v>
      </c>
      <c r="AM276">
        <v>7</v>
      </c>
      <c r="AN276">
        <v>6</v>
      </c>
      <c r="AO276">
        <v>6</v>
      </c>
      <c r="AP276">
        <v>8</v>
      </c>
      <c r="AQ276">
        <v>10</v>
      </c>
      <c r="AR276">
        <v>13</v>
      </c>
      <c r="AS276">
        <v>14</v>
      </c>
      <c r="AT276">
        <v>14</v>
      </c>
      <c r="AU276">
        <v>9</v>
      </c>
      <c r="AV276">
        <v>10</v>
      </c>
      <c r="AW276">
        <v>10</v>
      </c>
      <c r="AX276">
        <v>10</v>
      </c>
      <c r="AY276">
        <v>10</v>
      </c>
      <c r="AZ276">
        <v>5</v>
      </c>
      <c r="BA276">
        <v>10</v>
      </c>
      <c r="BB276">
        <v>6</v>
      </c>
      <c r="BC276">
        <v>9</v>
      </c>
    </row>
    <row r="277" spans="1:55" x14ac:dyDescent="0.25">
      <c r="A277" t="s">
        <v>3911</v>
      </c>
      <c r="B277" t="s">
        <v>120</v>
      </c>
      <c r="C277" t="s">
        <v>90</v>
      </c>
      <c r="D277">
        <v>61</v>
      </c>
      <c r="E277">
        <v>8.24</v>
      </c>
      <c r="F277">
        <v>12</v>
      </c>
      <c r="G277">
        <v>13</v>
      </c>
      <c r="H277">
        <v>4</v>
      </c>
      <c r="I277">
        <v>8</v>
      </c>
      <c r="J277">
        <v>8</v>
      </c>
      <c r="K277">
        <v>12</v>
      </c>
      <c r="L277">
        <v>13</v>
      </c>
      <c r="M277">
        <v>13</v>
      </c>
      <c r="N277">
        <v>12</v>
      </c>
      <c r="O277">
        <v>12</v>
      </c>
      <c r="P277">
        <v>12</v>
      </c>
      <c r="Q277">
        <v>8</v>
      </c>
      <c r="R277">
        <v>8</v>
      </c>
      <c r="S277">
        <v>6</v>
      </c>
      <c r="T277">
        <v>6</v>
      </c>
      <c r="U277">
        <v>5</v>
      </c>
      <c r="V277">
        <v>13</v>
      </c>
      <c r="W277">
        <v>4</v>
      </c>
      <c r="X277">
        <v>10</v>
      </c>
      <c r="Y277">
        <v>5</v>
      </c>
      <c r="Z277">
        <v>8</v>
      </c>
      <c r="AA277">
        <v>7</v>
      </c>
      <c r="AB277">
        <v>2</v>
      </c>
      <c r="AC277">
        <v>3</v>
      </c>
      <c r="AD277">
        <v>7</v>
      </c>
      <c r="AE277">
        <v>9</v>
      </c>
      <c r="AF277">
        <v>6</v>
      </c>
      <c r="AG277">
        <v>6</v>
      </c>
      <c r="AH277">
        <v>16</v>
      </c>
      <c r="AI277">
        <v>11</v>
      </c>
      <c r="AJ277">
        <v>16</v>
      </c>
      <c r="AK277">
        <v>9</v>
      </c>
      <c r="AL277">
        <v>7</v>
      </c>
      <c r="AM277">
        <v>9</v>
      </c>
      <c r="AN277">
        <v>6</v>
      </c>
      <c r="AO277">
        <v>6</v>
      </c>
      <c r="AP277">
        <v>5</v>
      </c>
      <c r="AQ277">
        <v>8</v>
      </c>
      <c r="AR277">
        <v>7</v>
      </c>
      <c r="AS277">
        <v>13</v>
      </c>
      <c r="AT277">
        <v>10</v>
      </c>
      <c r="AU277">
        <v>10</v>
      </c>
      <c r="AV277">
        <v>6</v>
      </c>
      <c r="AW277">
        <v>4</v>
      </c>
      <c r="AX277">
        <v>7</v>
      </c>
      <c r="AY277">
        <v>4</v>
      </c>
      <c r="AZ277">
        <v>13</v>
      </c>
      <c r="BA277">
        <v>6</v>
      </c>
      <c r="BB277">
        <v>3</v>
      </c>
      <c r="BC277">
        <v>4</v>
      </c>
    </row>
    <row r="278" spans="1:55" x14ac:dyDescent="0.25">
      <c r="A278" t="s">
        <v>3912</v>
      </c>
      <c r="B278" t="s">
        <v>121</v>
      </c>
      <c r="C278" t="s">
        <v>90</v>
      </c>
      <c r="D278">
        <v>429</v>
      </c>
      <c r="E278">
        <v>9.8800000000000008</v>
      </c>
      <c r="F278">
        <v>25</v>
      </c>
      <c r="G278">
        <v>16</v>
      </c>
      <c r="H278">
        <v>13</v>
      </c>
      <c r="I278">
        <v>13</v>
      </c>
      <c r="J278">
        <v>10</v>
      </c>
      <c r="K278">
        <v>15</v>
      </c>
      <c r="L278">
        <v>10</v>
      </c>
      <c r="M278">
        <v>9</v>
      </c>
      <c r="N278">
        <v>9</v>
      </c>
      <c r="O278">
        <v>9</v>
      </c>
      <c r="P278">
        <v>10</v>
      </c>
      <c r="Q278">
        <v>11</v>
      </c>
      <c r="R278">
        <v>9</v>
      </c>
      <c r="S278">
        <v>7</v>
      </c>
      <c r="T278">
        <v>7</v>
      </c>
      <c r="U278">
        <v>8</v>
      </c>
      <c r="V278">
        <v>7</v>
      </c>
      <c r="W278">
        <v>9</v>
      </c>
      <c r="X278">
        <v>8</v>
      </c>
      <c r="Y278">
        <v>6</v>
      </c>
      <c r="Z278">
        <v>9</v>
      </c>
      <c r="AA278">
        <v>6</v>
      </c>
      <c r="AB278">
        <v>6</v>
      </c>
      <c r="AC278">
        <v>6</v>
      </c>
      <c r="AD278">
        <v>5</v>
      </c>
      <c r="AE278">
        <v>7</v>
      </c>
      <c r="AF278">
        <v>7</v>
      </c>
      <c r="AG278">
        <v>7</v>
      </c>
      <c r="AH278">
        <v>6</v>
      </c>
      <c r="AI278">
        <v>6</v>
      </c>
      <c r="AJ278">
        <v>18</v>
      </c>
      <c r="AK278">
        <v>11</v>
      </c>
      <c r="AL278">
        <v>8</v>
      </c>
      <c r="AM278">
        <v>7</v>
      </c>
      <c r="AN278">
        <v>5</v>
      </c>
      <c r="AO278">
        <v>7</v>
      </c>
      <c r="AP278">
        <v>9</v>
      </c>
      <c r="AQ278">
        <v>10</v>
      </c>
      <c r="AR278">
        <v>9</v>
      </c>
      <c r="AS278">
        <v>14</v>
      </c>
      <c r="AT278">
        <v>15</v>
      </c>
      <c r="AU278">
        <v>12</v>
      </c>
      <c r="AV278">
        <v>11</v>
      </c>
      <c r="AW278">
        <v>10</v>
      </c>
      <c r="AX278">
        <v>11</v>
      </c>
      <c r="AY278">
        <v>13</v>
      </c>
      <c r="AZ278">
        <v>12</v>
      </c>
      <c r="BA278">
        <v>11</v>
      </c>
      <c r="BB278">
        <v>13</v>
      </c>
      <c r="BC278">
        <v>12</v>
      </c>
    </row>
    <row r="279" spans="1:55" x14ac:dyDescent="0.25">
      <c r="A279" t="s">
        <v>3913</v>
      </c>
      <c r="B279" t="s">
        <v>122</v>
      </c>
      <c r="C279" t="s">
        <v>90</v>
      </c>
      <c r="D279">
        <v>249</v>
      </c>
      <c r="E279">
        <v>8.34</v>
      </c>
      <c r="F279">
        <v>23</v>
      </c>
      <c r="G279">
        <v>12</v>
      </c>
      <c r="H279">
        <v>13</v>
      </c>
      <c r="I279">
        <v>7</v>
      </c>
      <c r="J279">
        <v>6</v>
      </c>
      <c r="K279">
        <v>12</v>
      </c>
      <c r="L279">
        <v>7</v>
      </c>
      <c r="M279">
        <v>6</v>
      </c>
      <c r="N279">
        <v>9</v>
      </c>
      <c r="O279">
        <v>7</v>
      </c>
      <c r="P279">
        <v>9</v>
      </c>
      <c r="Q279">
        <v>11</v>
      </c>
      <c r="R279">
        <v>8</v>
      </c>
      <c r="S279">
        <v>7</v>
      </c>
      <c r="T279">
        <v>7</v>
      </c>
      <c r="U279">
        <v>6</v>
      </c>
      <c r="V279">
        <v>6</v>
      </c>
      <c r="W279">
        <v>7</v>
      </c>
      <c r="X279">
        <v>6</v>
      </c>
      <c r="Y279">
        <v>6</v>
      </c>
      <c r="Z279">
        <v>5</v>
      </c>
      <c r="AA279">
        <v>5</v>
      </c>
      <c r="AB279">
        <v>6</v>
      </c>
      <c r="AC279">
        <v>5</v>
      </c>
      <c r="AD279">
        <v>8</v>
      </c>
      <c r="AE279">
        <v>6</v>
      </c>
      <c r="AF279">
        <v>4</v>
      </c>
      <c r="AG279">
        <v>4</v>
      </c>
      <c r="AH279">
        <v>4</v>
      </c>
      <c r="AI279">
        <v>4</v>
      </c>
      <c r="AJ279">
        <v>15</v>
      </c>
      <c r="AK279">
        <v>7</v>
      </c>
      <c r="AL279">
        <v>5</v>
      </c>
      <c r="AM279">
        <v>6</v>
      </c>
      <c r="AN279">
        <v>4</v>
      </c>
      <c r="AO279">
        <v>2</v>
      </c>
      <c r="AP279">
        <v>5</v>
      </c>
      <c r="AQ279">
        <v>9</v>
      </c>
      <c r="AR279">
        <v>8</v>
      </c>
      <c r="AS279">
        <v>10</v>
      </c>
      <c r="AT279">
        <v>12</v>
      </c>
      <c r="AU279">
        <v>13</v>
      </c>
      <c r="AV279">
        <v>12</v>
      </c>
      <c r="AW279">
        <v>10</v>
      </c>
      <c r="AX279">
        <v>12</v>
      </c>
      <c r="AY279">
        <v>14</v>
      </c>
      <c r="AZ279">
        <v>10</v>
      </c>
      <c r="BA279">
        <v>12</v>
      </c>
      <c r="BB279">
        <v>11</v>
      </c>
      <c r="BC279">
        <v>14</v>
      </c>
    </row>
    <row r="280" spans="1:55" x14ac:dyDescent="0.25">
      <c r="A280" t="s">
        <v>3914</v>
      </c>
      <c r="B280" t="s">
        <v>123</v>
      </c>
      <c r="C280" t="s">
        <v>90</v>
      </c>
      <c r="D280">
        <v>210</v>
      </c>
      <c r="E280">
        <v>11.32</v>
      </c>
      <c r="F280">
        <v>31</v>
      </c>
      <c r="G280">
        <v>20</v>
      </c>
      <c r="H280">
        <v>16</v>
      </c>
      <c r="I280">
        <v>11</v>
      </c>
      <c r="J280">
        <v>14</v>
      </c>
      <c r="K280">
        <v>13</v>
      </c>
      <c r="L280">
        <v>10</v>
      </c>
      <c r="M280">
        <v>13</v>
      </c>
      <c r="N280">
        <v>9</v>
      </c>
      <c r="O280">
        <v>8</v>
      </c>
      <c r="P280">
        <v>10</v>
      </c>
      <c r="Q280">
        <v>11</v>
      </c>
      <c r="R280">
        <v>10</v>
      </c>
      <c r="S280">
        <v>10</v>
      </c>
      <c r="T280">
        <v>8</v>
      </c>
      <c r="U280">
        <v>9</v>
      </c>
      <c r="V280">
        <v>10</v>
      </c>
      <c r="W280">
        <v>9</v>
      </c>
      <c r="X280">
        <v>8</v>
      </c>
      <c r="Y280">
        <v>10</v>
      </c>
      <c r="Z280">
        <v>10</v>
      </c>
      <c r="AA280">
        <v>7</v>
      </c>
      <c r="AB280">
        <v>9</v>
      </c>
      <c r="AC280">
        <v>10</v>
      </c>
      <c r="AD280">
        <v>10</v>
      </c>
      <c r="AE280">
        <v>10</v>
      </c>
      <c r="AF280">
        <v>7</v>
      </c>
      <c r="AG280">
        <v>7</v>
      </c>
      <c r="AH280">
        <v>10</v>
      </c>
      <c r="AI280">
        <v>10</v>
      </c>
      <c r="AJ280">
        <v>32</v>
      </c>
      <c r="AK280">
        <v>12</v>
      </c>
      <c r="AL280">
        <v>12</v>
      </c>
      <c r="AM280">
        <v>11</v>
      </c>
      <c r="AN280">
        <v>6</v>
      </c>
      <c r="AO280">
        <v>7</v>
      </c>
      <c r="AP280">
        <v>10</v>
      </c>
      <c r="AQ280">
        <v>11</v>
      </c>
      <c r="AR280">
        <v>11</v>
      </c>
      <c r="AS280">
        <v>9</v>
      </c>
      <c r="AT280">
        <v>11</v>
      </c>
      <c r="AU280">
        <v>10</v>
      </c>
      <c r="AV280">
        <v>10</v>
      </c>
      <c r="AW280">
        <v>12</v>
      </c>
      <c r="AX280">
        <v>14</v>
      </c>
      <c r="AY280">
        <v>11</v>
      </c>
      <c r="AZ280">
        <v>8</v>
      </c>
      <c r="BA280">
        <v>15</v>
      </c>
      <c r="BB280">
        <v>12</v>
      </c>
      <c r="BC280">
        <v>12</v>
      </c>
    </row>
    <row r="281" spans="1:55" x14ac:dyDescent="0.25">
      <c r="A281" t="s">
        <v>3915</v>
      </c>
      <c r="B281" t="s">
        <v>124</v>
      </c>
      <c r="C281" t="s">
        <v>90</v>
      </c>
      <c r="D281">
        <v>970</v>
      </c>
      <c r="E281">
        <v>11.1</v>
      </c>
      <c r="F281">
        <v>28</v>
      </c>
      <c r="G281">
        <v>17</v>
      </c>
      <c r="H281">
        <v>16</v>
      </c>
      <c r="I281">
        <v>13</v>
      </c>
      <c r="J281">
        <v>13</v>
      </c>
      <c r="K281">
        <v>15</v>
      </c>
      <c r="L281">
        <v>13</v>
      </c>
      <c r="M281">
        <v>13</v>
      </c>
      <c r="N281">
        <v>13</v>
      </c>
      <c r="O281">
        <v>12</v>
      </c>
      <c r="P281">
        <v>13</v>
      </c>
      <c r="Q281">
        <v>13</v>
      </c>
      <c r="R281">
        <v>12</v>
      </c>
      <c r="S281">
        <v>9</v>
      </c>
      <c r="T281">
        <v>9</v>
      </c>
      <c r="U281">
        <v>9</v>
      </c>
      <c r="V281">
        <v>9</v>
      </c>
      <c r="W281">
        <v>9</v>
      </c>
      <c r="X281">
        <v>9</v>
      </c>
      <c r="Y281">
        <v>9</v>
      </c>
      <c r="Z281">
        <v>8</v>
      </c>
      <c r="AA281">
        <v>9</v>
      </c>
      <c r="AB281">
        <v>9</v>
      </c>
      <c r="AC281">
        <v>8</v>
      </c>
      <c r="AD281">
        <v>7</v>
      </c>
      <c r="AE281">
        <v>8</v>
      </c>
      <c r="AF281">
        <v>8</v>
      </c>
      <c r="AG281">
        <v>7</v>
      </c>
      <c r="AH281">
        <v>8</v>
      </c>
      <c r="AI281">
        <v>8</v>
      </c>
      <c r="AJ281">
        <v>19</v>
      </c>
      <c r="AK281">
        <v>10</v>
      </c>
      <c r="AL281">
        <v>9</v>
      </c>
      <c r="AM281">
        <v>8</v>
      </c>
      <c r="AN281">
        <v>7</v>
      </c>
      <c r="AO281">
        <v>8</v>
      </c>
      <c r="AP281">
        <v>8</v>
      </c>
      <c r="AQ281">
        <v>10</v>
      </c>
      <c r="AR281">
        <v>11</v>
      </c>
      <c r="AS281">
        <v>13</v>
      </c>
      <c r="AT281">
        <v>14</v>
      </c>
      <c r="AU281">
        <v>12</v>
      </c>
      <c r="AV281">
        <v>11</v>
      </c>
      <c r="AW281">
        <v>11</v>
      </c>
      <c r="AX281">
        <v>11</v>
      </c>
      <c r="AY281">
        <v>10</v>
      </c>
      <c r="AZ281">
        <v>11</v>
      </c>
      <c r="BA281">
        <v>12</v>
      </c>
      <c r="BB281">
        <v>13</v>
      </c>
      <c r="BC281">
        <v>13</v>
      </c>
    </row>
    <row r="282" spans="1:55" x14ac:dyDescent="0.25">
      <c r="A282" t="s">
        <v>3916</v>
      </c>
      <c r="B282" t="s">
        <v>125</v>
      </c>
      <c r="C282" t="s">
        <v>90</v>
      </c>
      <c r="D282">
        <v>665</v>
      </c>
      <c r="E282">
        <v>9.6199999999999992</v>
      </c>
      <c r="F282">
        <v>21</v>
      </c>
      <c r="G282">
        <v>15</v>
      </c>
      <c r="H282">
        <v>14</v>
      </c>
      <c r="I282">
        <v>11</v>
      </c>
      <c r="J282">
        <v>12</v>
      </c>
      <c r="K282">
        <v>13</v>
      </c>
      <c r="L282">
        <v>9</v>
      </c>
      <c r="M282">
        <v>10</v>
      </c>
      <c r="N282">
        <v>10</v>
      </c>
      <c r="O282">
        <v>12</v>
      </c>
      <c r="P282">
        <v>11</v>
      </c>
      <c r="Q282">
        <v>11</v>
      </c>
      <c r="R282">
        <v>9</v>
      </c>
      <c r="S282">
        <v>8</v>
      </c>
      <c r="T282">
        <v>9</v>
      </c>
      <c r="U282">
        <v>8</v>
      </c>
      <c r="V282">
        <v>9</v>
      </c>
      <c r="W282">
        <v>8</v>
      </c>
      <c r="X282">
        <v>9</v>
      </c>
      <c r="Y282">
        <v>9</v>
      </c>
      <c r="Z282">
        <v>7</v>
      </c>
      <c r="AA282">
        <v>8</v>
      </c>
      <c r="AB282">
        <v>8</v>
      </c>
      <c r="AC282">
        <v>7</v>
      </c>
      <c r="AD282">
        <v>7</v>
      </c>
      <c r="AE282">
        <v>7</v>
      </c>
      <c r="AF282">
        <v>6</v>
      </c>
      <c r="AG282">
        <v>7</v>
      </c>
      <c r="AH282">
        <v>6</v>
      </c>
      <c r="AI282">
        <v>7</v>
      </c>
      <c r="AJ282">
        <v>17</v>
      </c>
      <c r="AK282">
        <v>10</v>
      </c>
      <c r="AL282">
        <v>9</v>
      </c>
      <c r="AM282">
        <v>8</v>
      </c>
      <c r="AN282">
        <v>6</v>
      </c>
      <c r="AO282">
        <v>7</v>
      </c>
      <c r="AP282">
        <v>8</v>
      </c>
      <c r="AQ282">
        <v>12</v>
      </c>
      <c r="AR282">
        <v>11</v>
      </c>
      <c r="AS282">
        <v>9</v>
      </c>
      <c r="AT282">
        <v>14</v>
      </c>
      <c r="AU282">
        <v>11</v>
      </c>
      <c r="AV282">
        <v>9</v>
      </c>
      <c r="AW282">
        <v>9</v>
      </c>
      <c r="AX282">
        <v>9</v>
      </c>
      <c r="AY282">
        <v>9</v>
      </c>
      <c r="AZ282">
        <v>8</v>
      </c>
      <c r="BA282">
        <v>10</v>
      </c>
      <c r="BB282">
        <v>9</v>
      </c>
      <c r="BC282">
        <v>8</v>
      </c>
    </row>
    <row r="283" spans="1:55" x14ac:dyDescent="0.25">
      <c r="A283" t="s">
        <v>3917</v>
      </c>
      <c r="B283" t="s">
        <v>71</v>
      </c>
      <c r="C283" t="s">
        <v>90</v>
      </c>
      <c r="D283">
        <v>412</v>
      </c>
      <c r="E283">
        <v>8.98</v>
      </c>
      <c r="F283">
        <v>20</v>
      </c>
      <c r="G283">
        <v>13</v>
      </c>
      <c r="H283">
        <v>14</v>
      </c>
      <c r="I283">
        <v>10</v>
      </c>
      <c r="J283">
        <v>12</v>
      </c>
      <c r="K283">
        <v>12</v>
      </c>
      <c r="L283">
        <v>7</v>
      </c>
      <c r="M283">
        <v>8</v>
      </c>
      <c r="N283">
        <v>9</v>
      </c>
      <c r="O283">
        <v>12</v>
      </c>
      <c r="P283">
        <v>10</v>
      </c>
      <c r="Q283">
        <v>10</v>
      </c>
      <c r="R283">
        <v>8</v>
      </c>
      <c r="S283">
        <v>7</v>
      </c>
      <c r="T283">
        <v>9</v>
      </c>
      <c r="U283">
        <v>8</v>
      </c>
      <c r="V283">
        <v>7</v>
      </c>
      <c r="W283">
        <v>8</v>
      </c>
      <c r="X283">
        <v>8</v>
      </c>
      <c r="Y283">
        <v>10</v>
      </c>
      <c r="Z283">
        <v>7</v>
      </c>
      <c r="AA283">
        <v>9</v>
      </c>
      <c r="AB283">
        <v>8</v>
      </c>
      <c r="AC283">
        <v>8</v>
      </c>
      <c r="AD283">
        <v>8</v>
      </c>
      <c r="AE283">
        <v>8</v>
      </c>
      <c r="AF283">
        <v>7</v>
      </c>
      <c r="AG283">
        <v>6</v>
      </c>
      <c r="AH283">
        <v>5</v>
      </c>
      <c r="AI283">
        <v>7</v>
      </c>
      <c r="AJ283">
        <v>17</v>
      </c>
      <c r="AK283">
        <v>9</v>
      </c>
      <c r="AL283">
        <v>7</v>
      </c>
      <c r="AM283">
        <v>8</v>
      </c>
      <c r="AN283">
        <v>6</v>
      </c>
      <c r="AO283">
        <v>7</v>
      </c>
      <c r="AP283">
        <v>7</v>
      </c>
      <c r="AQ283">
        <v>10</v>
      </c>
      <c r="AR283">
        <v>10</v>
      </c>
      <c r="AS283">
        <v>5</v>
      </c>
      <c r="AT283">
        <v>12</v>
      </c>
      <c r="AU283">
        <v>12</v>
      </c>
      <c r="AV283">
        <v>8</v>
      </c>
      <c r="AW283">
        <v>7</v>
      </c>
      <c r="AX283">
        <v>9</v>
      </c>
      <c r="AY283">
        <v>8</v>
      </c>
      <c r="AZ283">
        <v>7</v>
      </c>
      <c r="BA283">
        <v>9</v>
      </c>
      <c r="BB283">
        <v>9</v>
      </c>
      <c r="BC283">
        <v>7</v>
      </c>
    </row>
    <row r="284" spans="1:55" x14ac:dyDescent="0.25">
      <c r="A284" t="s">
        <v>3918</v>
      </c>
      <c r="B284" t="s">
        <v>127</v>
      </c>
      <c r="C284" t="s">
        <v>90</v>
      </c>
      <c r="D284">
        <v>253</v>
      </c>
      <c r="E284">
        <v>10.64</v>
      </c>
      <c r="F284">
        <v>22</v>
      </c>
      <c r="G284">
        <v>17</v>
      </c>
      <c r="H284">
        <v>14</v>
      </c>
      <c r="I284">
        <v>11</v>
      </c>
      <c r="J284">
        <v>13</v>
      </c>
      <c r="K284">
        <v>14</v>
      </c>
      <c r="L284">
        <v>12</v>
      </c>
      <c r="M284">
        <v>13</v>
      </c>
      <c r="N284">
        <v>12</v>
      </c>
      <c r="O284">
        <v>12</v>
      </c>
      <c r="P284">
        <v>11</v>
      </c>
      <c r="Q284">
        <v>13</v>
      </c>
      <c r="R284">
        <v>10</v>
      </c>
      <c r="S284">
        <v>10</v>
      </c>
      <c r="T284">
        <v>9</v>
      </c>
      <c r="U284">
        <v>7</v>
      </c>
      <c r="V284">
        <v>12</v>
      </c>
      <c r="W284">
        <v>7</v>
      </c>
      <c r="X284">
        <v>10</v>
      </c>
      <c r="Y284">
        <v>9</v>
      </c>
      <c r="Z284">
        <v>9</v>
      </c>
      <c r="AA284">
        <v>7</v>
      </c>
      <c r="AB284">
        <v>9</v>
      </c>
      <c r="AC284">
        <v>6</v>
      </c>
      <c r="AD284">
        <v>7</v>
      </c>
      <c r="AE284">
        <v>6</v>
      </c>
      <c r="AF284">
        <v>6</v>
      </c>
      <c r="AG284">
        <v>9</v>
      </c>
      <c r="AH284">
        <v>6</v>
      </c>
      <c r="AI284">
        <v>7</v>
      </c>
      <c r="AJ284">
        <v>17</v>
      </c>
      <c r="AK284">
        <v>11</v>
      </c>
      <c r="AL284">
        <v>11</v>
      </c>
      <c r="AM284">
        <v>9</v>
      </c>
      <c r="AN284">
        <v>6</v>
      </c>
      <c r="AO284">
        <v>7</v>
      </c>
      <c r="AP284">
        <v>9</v>
      </c>
      <c r="AQ284">
        <v>16</v>
      </c>
      <c r="AR284">
        <v>13</v>
      </c>
      <c r="AS284">
        <v>15</v>
      </c>
      <c r="AT284">
        <v>16</v>
      </c>
      <c r="AU284">
        <v>9</v>
      </c>
      <c r="AV284">
        <v>9</v>
      </c>
      <c r="AW284">
        <v>12</v>
      </c>
      <c r="AX284">
        <v>10</v>
      </c>
      <c r="AY284">
        <v>10</v>
      </c>
      <c r="AZ284">
        <v>10</v>
      </c>
      <c r="BA284">
        <v>11</v>
      </c>
      <c r="BB284">
        <v>10</v>
      </c>
      <c r="BC284">
        <v>11</v>
      </c>
    </row>
    <row r="285" spans="1:55" x14ac:dyDescent="0.25">
      <c r="A285" t="s">
        <v>3919</v>
      </c>
      <c r="B285" t="s">
        <v>128</v>
      </c>
      <c r="C285" t="s">
        <v>90</v>
      </c>
      <c r="D285">
        <v>917</v>
      </c>
      <c r="E285">
        <v>11.56</v>
      </c>
      <c r="F285">
        <v>33</v>
      </c>
      <c r="G285">
        <v>22</v>
      </c>
      <c r="H285">
        <v>19</v>
      </c>
      <c r="I285">
        <v>16</v>
      </c>
      <c r="J285">
        <v>16</v>
      </c>
      <c r="K285">
        <v>19</v>
      </c>
      <c r="L285">
        <v>15</v>
      </c>
      <c r="M285">
        <v>16</v>
      </c>
      <c r="N285">
        <v>15</v>
      </c>
      <c r="O285">
        <v>13</v>
      </c>
      <c r="P285">
        <v>14</v>
      </c>
      <c r="Q285">
        <v>12</v>
      </c>
      <c r="R285">
        <v>12</v>
      </c>
      <c r="S285">
        <v>9</v>
      </c>
      <c r="T285">
        <v>9</v>
      </c>
      <c r="U285">
        <v>9</v>
      </c>
      <c r="V285">
        <v>8</v>
      </c>
      <c r="W285">
        <v>11</v>
      </c>
      <c r="X285">
        <v>10</v>
      </c>
      <c r="Y285">
        <v>10</v>
      </c>
      <c r="Z285">
        <v>10</v>
      </c>
      <c r="AA285">
        <v>9</v>
      </c>
      <c r="AB285">
        <v>9</v>
      </c>
      <c r="AC285">
        <v>8</v>
      </c>
      <c r="AD285">
        <v>8</v>
      </c>
      <c r="AE285">
        <v>7</v>
      </c>
      <c r="AF285">
        <v>8</v>
      </c>
      <c r="AG285">
        <v>9</v>
      </c>
      <c r="AH285">
        <v>7</v>
      </c>
      <c r="AI285">
        <v>7</v>
      </c>
      <c r="AJ285">
        <v>18</v>
      </c>
      <c r="AK285">
        <v>11</v>
      </c>
      <c r="AL285">
        <v>10</v>
      </c>
      <c r="AM285">
        <v>7</v>
      </c>
      <c r="AN285">
        <v>7</v>
      </c>
      <c r="AO285">
        <v>7</v>
      </c>
      <c r="AP285">
        <v>8</v>
      </c>
      <c r="AQ285">
        <v>11</v>
      </c>
      <c r="AR285">
        <v>10</v>
      </c>
      <c r="AS285">
        <v>11</v>
      </c>
      <c r="AT285">
        <v>13</v>
      </c>
      <c r="AU285">
        <v>13</v>
      </c>
      <c r="AV285">
        <v>10</v>
      </c>
      <c r="AW285">
        <v>10</v>
      </c>
      <c r="AX285">
        <v>11</v>
      </c>
      <c r="AY285">
        <v>8</v>
      </c>
      <c r="AZ285">
        <v>11</v>
      </c>
      <c r="BA285">
        <v>10</v>
      </c>
      <c r="BB285">
        <v>11</v>
      </c>
      <c r="BC285">
        <v>11</v>
      </c>
    </row>
    <row r="286" spans="1:55" x14ac:dyDescent="0.25">
      <c r="A286" t="s">
        <v>3920</v>
      </c>
      <c r="B286" t="s">
        <v>72</v>
      </c>
      <c r="C286" t="s">
        <v>90</v>
      </c>
      <c r="D286">
        <v>122</v>
      </c>
      <c r="E286">
        <v>13.06</v>
      </c>
      <c r="F286">
        <v>25</v>
      </c>
      <c r="G286">
        <v>15</v>
      </c>
      <c r="H286">
        <v>19</v>
      </c>
      <c r="I286">
        <v>9</v>
      </c>
      <c r="J286">
        <v>10</v>
      </c>
      <c r="K286">
        <v>14</v>
      </c>
      <c r="L286">
        <v>6</v>
      </c>
      <c r="M286">
        <v>9</v>
      </c>
      <c r="N286">
        <v>12</v>
      </c>
      <c r="O286">
        <v>16</v>
      </c>
      <c r="P286">
        <v>13</v>
      </c>
      <c r="Q286">
        <v>12</v>
      </c>
      <c r="R286">
        <v>11</v>
      </c>
      <c r="S286">
        <v>14</v>
      </c>
      <c r="T286">
        <v>7</v>
      </c>
      <c r="U286">
        <v>6</v>
      </c>
      <c r="V286">
        <v>8</v>
      </c>
      <c r="W286">
        <v>11</v>
      </c>
      <c r="X286">
        <v>11</v>
      </c>
      <c r="Y286">
        <v>9</v>
      </c>
      <c r="Z286">
        <v>11</v>
      </c>
      <c r="AA286">
        <v>10</v>
      </c>
      <c r="AB286">
        <v>13</v>
      </c>
      <c r="AC286">
        <v>14</v>
      </c>
      <c r="AD286">
        <v>9</v>
      </c>
      <c r="AE286">
        <v>11</v>
      </c>
      <c r="AF286">
        <v>11</v>
      </c>
      <c r="AG286">
        <v>10</v>
      </c>
      <c r="AH286">
        <v>17</v>
      </c>
      <c r="AI286">
        <v>12</v>
      </c>
      <c r="AJ286">
        <v>24</v>
      </c>
      <c r="AK286">
        <v>15</v>
      </c>
      <c r="AL286">
        <v>14</v>
      </c>
      <c r="AM286">
        <v>9</v>
      </c>
      <c r="AN286">
        <v>10</v>
      </c>
      <c r="AO286">
        <v>11</v>
      </c>
      <c r="AP286">
        <v>16</v>
      </c>
      <c r="AQ286">
        <v>14</v>
      </c>
      <c r="AR286">
        <v>14</v>
      </c>
      <c r="AS286">
        <v>17</v>
      </c>
      <c r="AT286">
        <v>15</v>
      </c>
      <c r="AU286">
        <v>17</v>
      </c>
      <c r="AV286">
        <v>19</v>
      </c>
      <c r="AW286">
        <v>18</v>
      </c>
      <c r="AX286">
        <v>17</v>
      </c>
      <c r="AY286">
        <v>13</v>
      </c>
      <c r="AZ286">
        <v>11</v>
      </c>
      <c r="BA286">
        <v>17</v>
      </c>
      <c r="BB286">
        <v>14</v>
      </c>
      <c r="BC286">
        <v>13</v>
      </c>
    </row>
    <row r="287" spans="1:55" x14ac:dyDescent="0.25">
      <c r="A287" t="s">
        <v>3921</v>
      </c>
      <c r="B287" t="s">
        <v>240</v>
      </c>
      <c r="C287" t="s">
        <v>90</v>
      </c>
      <c r="D287">
        <v>46</v>
      </c>
      <c r="E287">
        <v>16.32</v>
      </c>
      <c r="F287">
        <v>35</v>
      </c>
      <c r="G287">
        <v>19</v>
      </c>
      <c r="H287">
        <v>25</v>
      </c>
      <c r="I287">
        <v>23</v>
      </c>
      <c r="J287">
        <v>30</v>
      </c>
      <c r="K287">
        <v>25</v>
      </c>
      <c r="L287">
        <v>13</v>
      </c>
      <c r="M287">
        <v>20</v>
      </c>
      <c r="N287">
        <v>19</v>
      </c>
      <c r="O287">
        <v>16</v>
      </c>
      <c r="P287">
        <v>26</v>
      </c>
      <c r="Q287">
        <v>9</v>
      </c>
      <c r="R287">
        <v>14</v>
      </c>
      <c r="S287">
        <v>18</v>
      </c>
      <c r="T287">
        <v>14</v>
      </c>
      <c r="U287">
        <v>14</v>
      </c>
      <c r="V287">
        <v>7</v>
      </c>
      <c r="W287">
        <v>13</v>
      </c>
      <c r="X287">
        <v>18</v>
      </c>
      <c r="Y287">
        <v>16</v>
      </c>
      <c r="Z287">
        <v>20</v>
      </c>
      <c r="AA287">
        <v>12</v>
      </c>
      <c r="AB287">
        <v>13</v>
      </c>
      <c r="AC287">
        <v>11</v>
      </c>
      <c r="AD287">
        <v>12</v>
      </c>
      <c r="AE287">
        <v>17</v>
      </c>
      <c r="AF287">
        <v>14</v>
      </c>
      <c r="AG287">
        <v>11</v>
      </c>
      <c r="AH287">
        <v>11</v>
      </c>
      <c r="AI287">
        <v>19</v>
      </c>
      <c r="AJ287">
        <v>22</v>
      </c>
      <c r="AK287">
        <v>18</v>
      </c>
      <c r="AL287">
        <v>10</v>
      </c>
      <c r="AM287">
        <v>14</v>
      </c>
      <c r="AN287">
        <v>14</v>
      </c>
      <c r="AO287">
        <v>10</v>
      </c>
      <c r="AP287">
        <v>12</v>
      </c>
      <c r="AQ287">
        <v>8</v>
      </c>
      <c r="AR287">
        <v>16</v>
      </c>
      <c r="AS287">
        <v>25</v>
      </c>
      <c r="AT287">
        <v>26</v>
      </c>
      <c r="AU287">
        <v>23</v>
      </c>
      <c r="AV287">
        <v>14</v>
      </c>
      <c r="AW287">
        <v>22</v>
      </c>
      <c r="AX287">
        <v>11</v>
      </c>
      <c r="AY287">
        <v>14</v>
      </c>
      <c r="AZ287">
        <v>12</v>
      </c>
      <c r="BA287">
        <v>9</v>
      </c>
      <c r="BB287">
        <v>13</v>
      </c>
      <c r="BC287">
        <v>9</v>
      </c>
    </row>
    <row r="288" spans="1:55" x14ac:dyDescent="0.25">
      <c r="A288" t="s">
        <v>3922</v>
      </c>
      <c r="B288" t="s">
        <v>129</v>
      </c>
      <c r="C288" t="s">
        <v>90</v>
      </c>
      <c r="D288">
        <v>97</v>
      </c>
      <c r="E288">
        <v>11.92</v>
      </c>
      <c r="F288">
        <v>25</v>
      </c>
      <c r="G288">
        <v>20</v>
      </c>
      <c r="H288">
        <v>14</v>
      </c>
      <c r="I288">
        <v>13</v>
      </c>
      <c r="J288">
        <v>10</v>
      </c>
      <c r="K288">
        <v>10</v>
      </c>
      <c r="L288">
        <v>12</v>
      </c>
      <c r="M288">
        <v>12</v>
      </c>
      <c r="N288">
        <v>10</v>
      </c>
      <c r="O288">
        <v>11</v>
      </c>
      <c r="P288">
        <v>15</v>
      </c>
      <c r="Q288">
        <v>15</v>
      </c>
      <c r="R288">
        <v>14</v>
      </c>
      <c r="S288">
        <v>12</v>
      </c>
      <c r="T288">
        <v>14</v>
      </c>
      <c r="U288">
        <v>15</v>
      </c>
      <c r="V288">
        <v>10</v>
      </c>
      <c r="W288">
        <v>9</v>
      </c>
      <c r="X288">
        <v>9</v>
      </c>
      <c r="Y288">
        <v>9</v>
      </c>
      <c r="Z288">
        <v>7</v>
      </c>
      <c r="AA288">
        <v>11</v>
      </c>
      <c r="AB288">
        <v>10</v>
      </c>
      <c r="AC288">
        <v>10</v>
      </c>
      <c r="AD288">
        <v>9</v>
      </c>
      <c r="AE288">
        <v>11</v>
      </c>
      <c r="AF288">
        <v>9</v>
      </c>
      <c r="AG288">
        <v>12</v>
      </c>
      <c r="AH288">
        <v>11</v>
      </c>
      <c r="AI288">
        <v>11</v>
      </c>
      <c r="AJ288">
        <v>17</v>
      </c>
      <c r="AK288">
        <v>5</v>
      </c>
      <c r="AL288">
        <v>13</v>
      </c>
      <c r="AM288">
        <v>12</v>
      </c>
      <c r="AN288">
        <v>5</v>
      </c>
      <c r="AO288">
        <v>9</v>
      </c>
      <c r="AP288">
        <v>10</v>
      </c>
      <c r="AQ288">
        <v>11</v>
      </c>
      <c r="AR288">
        <v>11</v>
      </c>
      <c r="AS288">
        <v>15</v>
      </c>
      <c r="AT288">
        <v>15</v>
      </c>
      <c r="AU288">
        <v>12</v>
      </c>
      <c r="AV288">
        <v>6</v>
      </c>
      <c r="AW288">
        <v>10</v>
      </c>
      <c r="AX288">
        <v>16</v>
      </c>
      <c r="AY288">
        <v>14</v>
      </c>
      <c r="AZ288">
        <v>9</v>
      </c>
      <c r="BA288">
        <v>15</v>
      </c>
      <c r="BB288">
        <v>13</v>
      </c>
      <c r="BC288">
        <v>18</v>
      </c>
    </row>
    <row r="289" spans="1:55" x14ac:dyDescent="0.25">
      <c r="A289" t="s">
        <v>3923</v>
      </c>
      <c r="B289" t="s">
        <v>241</v>
      </c>
      <c r="C289" t="s">
        <v>90</v>
      </c>
      <c r="D289">
        <v>166</v>
      </c>
      <c r="E289">
        <v>11.28</v>
      </c>
      <c r="F289">
        <v>23</v>
      </c>
      <c r="G289">
        <v>15</v>
      </c>
      <c r="H289">
        <v>14</v>
      </c>
      <c r="I289">
        <v>13</v>
      </c>
      <c r="J289">
        <v>18</v>
      </c>
      <c r="K289">
        <v>15</v>
      </c>
      <c r="L289">
        <v>17</v>
      </c>
      <c r="M289">
        <v>15</v>
      </c>
      <c r="N289">
        <v>15</v>
      </c>
      <c r="O289">
        <v>14</v>
      </c>
      <c r="P289">
        <v>14</v>
      </c>
      <c r="Q289">
        <v>18</v>
      </c>
      <c r="R289">
        <v>15</v>
      </c>
      <c r="S289">
        <v>12</v>
      </c>
      <c r="T289">
        <v>7</v>
      </c>
      <c r="U289">
        <v>11</v>
      </c>
      <c r="V289">
        <v>11</v>
      </c>
      <c r="W289">
        <v>10</v>
      </c>
      <c r="X289">
        <v>14</v>
      </c>
      <c r="Y289">
        <v>9</v>
      </c>
      <c r="Z289">
        <v>9</v>
      </c>
      <c r="AA289">
        <v>5</v>
      </c>
      <c r="AB289">
        <v>6</v>
      </c>
      <c r="AC289">
        <v>10</v>
      </c>
      <c r="AD289">
        <v>6</v>
      </c>
      <c r="AE289">
        <v>8</v>
      </c>
      <c r="AF289">
        <v>8</v>
      </c>
      <c r="AG289">
        <v>10</v>
      </c>
      <c r="AH289">
        <v>7</v>
      </c>
      <c r="AI289">
        <v>6</v>
      </c>
      <c r="AJ289">
        <v>20</v>
      </c>
      <c r="AK289">
        <v>9</v>
      </c>
      <c r="AL289">
        <v>8</v>
      </c>
      <c r="AM289">
        <v>8</v>
      </c>
      <c r="AN289">
        <v>7</v>
      </c>
      <c r="AO289">
        <v>6</v>
      </c>
      <c r="AP289">
        <v>7</v>
      </c>
      <c r="AQ289">
        <v>12</v>
      </c>
      <c r="AR289">
        <v>12</v>
      </c>
      <c r="AS289">
        <v>9</v>
      </c>
      <c r="AT289">
        <v>11</v>
      </c>
      <c r="AU289">
        <v>11</v>
      </c>
      <c r="AV289">
        <v>11</v>
      </c>
      <c r="AW289">
        <v>11</v>
      </c>
      <c r="AX289">
        <v>9</v>
      </c>
      <c r="AY289">
        <v>13</v>
      </c>
      <c r="AZ289">
        <v>12</v>
      </c>
      <c r="BA289">
        <v>10</v>
      </c>
      <c r="BB289">
        <v>11</v>
      </c>
      <c r="BC289">
        <v>12</v>
      </c>
    </row>
    <row r="290" spans="1:55" x14ac:dyDescent="0.25">
      <c r="A290" t="s">
        <v>3924</v>
      </c>
      <c r="B290" t="s">
        <v>242</v>
      </c>
      <c r="C290" t="s">
        <v>90</v>
      </c>
      <c r="D290">
        <v>99</v>
      </c>
      <c r="E290">
        <v>14.64</v>
      </c>
      <c r="F290">
        <v>31</v>
      </c>
      <c r="G290">
        <v>29</v>
      </c>
      <c r="H290">
        <v>15</v>
      </c>
      <c r="I290">
        <v>25</v>
      </c>
      <c r="J290">
        <v>13</v>
      </c>
      <c r="K290">
        <v>17</v>
      </c>
      <c r="L290">
        <v>14</v>
      </c>
      <c r="M290">
        <v>15</v>
      </c>
      <c r="N290">
        <v>20</v>
      </c>
      <c r="O290">
        <v>16</v>
      </c>
      <c r="P290">
        <v>17</v>
      </c>
      <c r="Q290">
        <v>20</v>
      </c>
      <c r="R290">
        <v>13</v>
      </c>
      <c r="S290">
        <v>13</v>
      </c>
      <c r="T290">
        <v>10</v>
      </c>
      <c r="U290">
        <v>10</v>
      </c>
      <c r="V290">
        <v>14</v>
      </c>
      <c r="W290">
        <v>11</v>
      </c>
      <c r="X290">
        <v>10</v>
      </c>
      <c r="Y290">
        <v>16</v>
      </c>
      <c r="Z290">
        <v>18</v>
      </c>
      <c r="AA290">
        <v>13</v>
      </c>
      <c r="AB290">
        <v>12</v>
      </c>
      <c r="AC290">
        <v>10</v>
      </c>
      <c r="AD290">
        <v>8</v>
      </c>
      <c r="AE290">
        <v>11</v>
      </c>
      <c r="AF290">
        <v>10</v>
      </c>
      <c r="AG290">
        <v>14</v>
      </c>
      <c r="AH290">
        <v>13</v>
      </c>
      <c r="AI290">
        <v>13</v>
      </c>
      <c r="AJ290">
        <v>21</v>
      </c>
      <c r="AK290">
        <v>16</v>
      </c>
      <c r="AL290">
        <v>15</v>
      </c>
      <c r="AM290">
        <v>9</v>
      </c>
      <c r="AN290">
        <v>12</v>
      </c>
      <c r="AO290">
        <v>10</v>
      </c>
      <c r="AP290">
        <v>11</v>
      </c>
      <c r="AQ290">
        <v>9</v>
      </c>
      <c r="AR290">
        <v>15</v>
      </c>
      <c r="AS290">
        <v>11</v>
      </c>
      <c r="AT290">
        <v>17</v>
      </c>
      <c r="AU290">
        <v>12</v>
      </c>
      <c r="AV290">
        <v>17</v>
      </c>
      <c r="AW290">
        <v>18</v>
      </c>
      <c r="AX290">
        <v>15</v>
      </c>
      <c r="AY290">
        <v>11</v>
      </c>
      <c r="AZ290">
        <v>14</v>
      </c>
      <c r="BA290">
        <v>15</v>
      </c>
      <c r="BB290">
        <v>18</v>
      </c>
      <c r="BC290">
        <v>15</v>
      </c>
    </row>
    <row r="291" spans="1:55" x14ac:dyDescent="0.25">
      <c r="A291" t="s">
        <v>3925</v>
      </c>
      <c r="B291" t="s">
        <v>132</v>
      </c>
      <c r="C291" t="s">
        <v>90</v>
      </c>
      <c r="D291">
        <v>139</v>
      </c>
      <c r="E291">
        <v>18.14</v>
      </c>
      <c r="F291">
        <v>30</v>
      </c>
      <c r="G291">
        <v>15</v>
      </c>
      <c r="H291">
        <v>13</v>
      </c>
      <c r="I291">
        <v>22</v>
      </c>
      <c r="J291">
        <v>16</v>
      </c>
      <c r="K291">
        <v>15</v>
      </c>
      <c r="L291">
        <v>22</v>
      </c>
      <c r="M291">
        <v>12</v>
      </c>
      <c r="N291">
        <v>13</v>
      </c>
      <c r="O291">
        <v>18</v>
      </c>
      <c r="P291">
        <v>13</v>
      </c>
      <c r="Q291">
        <v>15</v>
      </c>
      <c r="R291">
        <v>11</v>
      </c>
      <c r="S291">
        <v>15</v>
      </c>
      <c r="T291">
        <v>11</v>
      </c>
      <c r="U291">
        <v>7</v>
      </c>
      <c r="V291">
        <v>8</v>
      </c>
      <c r="W291">
        <v>10</v>
      </c>
      <c r="X291">
        <v>10</v>
      </c>
      <c r="Y291">
        <v>7</v>
      </c>
      <c r="Z291">
        <v>10</v>
      </c>
      <c r="AA291">
        <v>10</v>
      </c>
      <c r="AB291">
        <v>11</v>
      </c>
      <c r="AC291">
        <v>9</v>
      </c>
      <c r="AD291">
        <v>11</v>
      </c>
      <c r="AE291">
        <v>11</v>
      </c>
      <c r="AF291">
        <v>11</v>
      </c>
      <c r="AG291">
        <v>11</v>
      </c>
      <c r="AH291">
        <v>6</v>
      </c>
      <c r="AI291">
        <v>8</v>
      </c>
      <c r="AJ291">
        <v>11</v>
      </c>
      <c r="AK291">
        <v>7</v>
      </c>
      <c r="AL291">
        <v>7</v>
      </c>
      <c r="AM291">
        <v>8</v>
      </c>
      <c r="AN291">
        <v>9</v>
      </c>
      <c r="AO291">
        <v>14</v>
      </c>
      <c r="AP291">
        <v>14</v>
      </c>
      <c r="AQ291">
        <v>37</v>
      </c>
      <c r="AR291">
        <v>32</v>
      </c>
      <c r="AS291">
        <v>32</v>
      </c>
      <c r="AT291">
        <v>37</v>
      </c>
      <c r="AU291">
        <v>31</v>
      </c>
      <c r="AV291">
        <v>33</v>
      </c>
      <c r="AW291">
        <v>38</v>
      </c>
      <c r="AX291">
        <v>35</v>
      </c>
      <c r="AY291">
        <v>36</v>
      </c>
      <c r="AZ291">
        <v>33</v>
      </c>
      <c r="BA291">
        <v>35</v>
      </c>
      <c r="BB291">
        <v>33</v>
      </c>
      <c r="BC291">
        <v>44</v>
      </c>
    </row>
    <row r="292" spans="1:55" x14ac:dyDescent="0.25">
      <c r="A292" t="s">
        <v>3926</v>
      </c>
      <c r="B292" t="s">
        <v>243</v>
      </c>
      <c r="C292" t="s">
        <v>90</v>
      </c>
      <c r="D292">
        <v>207</v>
      </c>
      <c r="E292">
        <v>10.58</v>
      </c>
      <c r="F292">
        <v>26</v>
      </c>
      <c r="G292">
        <v>20</v>
      </c>
      <c r="H292">
        <v>17</v>
      </c>
      <c r="I292">
        <v>11</v>
      </c>
      <c r="J292">
        <v>11</v>
      </c>
      <c r="K292">
        <v>16</v>
      </c>
      <c r="L292">
        <v>14</v>
      </c>
      <c r="M292">
        <v>10</v>
      </c>
      <c r="N292">
        <v>16</v>
      </c>
      <c r="O292">
        <v>17</v>
      </c>
      <c r="P292">
        <v>14</v>
      </c>
      <c r="Q292">
        <v>12</v>
      </c>
      <c r="R292">
        <v>11</v>
      </c>
      <c r="S292">
        <v>15</v>
      </c>
      <c r="T292">
        <v>11</v>
      </c>
      <c r="U292">
        <v>9</v>
      </c>
      <c r="V292">
        <v>9</v>
      </c>
      <c r="W292">
        <v>7</v>
      </c>
      <c r="X292">
        <v>6</v>
      </c>
      <c r="Y292">
        <v>9</v>
      </c>
      <c r="Z292">
        <v>8</v>
      </c>
      <c r="AA292">
        <v>7</v>
      </c>
      <c r="AB292">
        <v>7</v>
      </c>
      <c r="AC292">
        <v>7</v>
      </c>
      <c r="AD292">
        <v>5</v>
      </c>
      <c r="AE292">
        <v>3</v>
      </c>
      <c r="AF292">
        <v>6</v>
      </c>
      <c r="AG292">
        <v>7</v>
      </c>
      <c r="AH292">
        <v>6</v>
      </c>
      <c r="AI292">
        <v>5</v>
      </c>
      <c r="AJ292">
        <v>11</v>
      </c>
      <c r="AK292">
        <v>6</v>
      </c>
      <c r="AL292">
        <v>9</v>
      </c>
      <c r="AM292">
        <v>8</v>
      </c>
      <c r="AN292">
        <v>6</v>
      </c>
      <c r="AO292">
        <v>4</v>
      </c>
      <c r="AP292">
        <v>9</v>
      </c>
      <c r="AQ292">
        <v>8</v>
      </c>
      <c r="AR292">
        <v>8</v>
      </c>
      <c r="AS292">
        <v>12</v>
      </c>
      <c r="AT292">
        <v>16</v>
      </c>
      <c r="AU292">
        <v>15</v>
      </c>
      <c r="AV292">
        <v>14</v>
      </c>
      <c r="AW292">
        <v>15</v>
      </c>
      <c r="AX292">
        <v>9</v>
      </c>
      <c r="AY292">
        <v>13</v>
      </c>
      <c r="AZ292">
        <v>9</v>
      </c>
      <c r="BA292">
        <v>9</v>
      </c>
      <c r="BB292">
        <v>11</v>
      </c>
      <c r="BC292">
        <v>15</v>
      </c>
    </row>
    <row r="293" spans="1:55" x14ac:dyDescent="0.25">
      <c r="A293" t="s">
        <v>3927</v>
      </c>
      <c r="B293" t="s">
        <v>37</v>
      </c>
      <c r="C293" t="s">
        <v>90</v>
      </c>
      <c r="D293">
        <v>1542</v>
      </c>
      <c r="E293">
        <v>15.4</v>
      </c>
      <c r="F293">
        <v>33</v>
      </c>
      <c r="G293">
        <v>23</v>
      </c>
      <c r="H293">
        <v>20</v>
      </c>
      <c r="I293">
        <v>20</v>
      </c>
      <c r="J293">
        <v>19</v>
      </c>
      <c r="K293">
        <v>20</v>
      </c>
      <c r="L293">
        <v>18</v>
      </c>
      <c r="M293">
        <v>16</v>
      </c>
      <c r="N293">
        <v>17</v>
      </c>
      <c r="O293">
        <v>17</v>
      </c>
      <c r="P293">
        <v>17</v>
      </c>
      <c r="Q293">
        <v>17</v>
      </c>
      <c r="R293">
        <v>16</v>
      </c>
      <c r="S293">
        <v>15</v>
      </c>
      <c r="T293">
        <v>14</v>
      </c>
      <c r="U293">
        <v>14</v>
      </c>
      <c r="V293">
        <v>12</v>
      </c>
      <c r="W293">
        <v>13</v>
      </c>
      <c r="X293">
        <v>12</v>
      </c>
      <c r="Y293">
        <v>13</v>
      </c>
      <c r="Z293">
        <v>12</v>
      </c>
      <c r="AA293">
        <v>12</v>
      </c>
      <c r="AB293">
        <v>11</v>
      </c>
      <c r="AC293">
        <v>10</v>
      </c>
      <c r="AD293">
        <v>11</v>
      </c>
      <c r="AE293">
        <v>9</v>
      </c>
      <c r="AF293">
        <v>9</v>
      </c>
      <c r="AG293">
        <v>8</v>
      </c>
      <c r="AH293">
        <v>8</v>
      </c>
      <c r="AI293">
        <v>7</v>
      </c>
      <c r="AJ293">
        <v>13</v>
      </c>
      <c r="AK293">
        <v>10</v>
      </c>
      <c r="AL293">
        <v>8</v>
      </c>
      <c r="AM293">
        <v>6</v>
      </c>
      <c r="AN293">
        <v>7</v>
      </c>
      <c r="AO293">
        <v>7</v>
      </c>
      <c r="AP293">
        <v>11</v>
      </c>
      <c r="AQ293">
        <v>19</v>
      </c>
      <c r="AR293">
        <v>19</v>
      </c>
      <c r="AS293">
        <v>21</v>
      </c>
      <c r="AT293">
        <v>25</v>
      </c>
      <c r="AU293">
        <v>22</v>
      </c>
      <c r="AV293">
        <v>22</v>
      </c>
      <c r="AW293">
        <v>18</v>
      </c>
      <c r="AX293">
        <v>17</v>
      </c>
      <c r="AY293">
        <v>20</v>
      </c>
      <c r="AZ293">
        <v>20</v>
      </c>
      <c r="BA293">
        <v>19</v>
      </c>
      <c r="BB293">
        <v>20</v>
      </c>
      <c r="BC293">
        <v>23</v>
      </c>
    </row>
    <row r="294" spans="1:55" x14ac:dyDescent="0.25">
      <c r="A294" t="s">
        <v>3928</v>
      </c>
      <c r="B294" t="s">
        <v>134</v>
      </c>
      <c r="C294" t="s">
        <v>90</v>
      </c>
      <c r="D294">
        <v>436</v>
      </c>
      <c r="E294">
        <v>18.739999999999998</v>
      </c>
      <c r="F294">
        <v>39</v>
      </c>
      <c r="G294">
        <v>27</v>
      </c>
      <c r="H294">
        <v>22</v>
      </c>
      <c r="I294">
        <v>20</v>
      </c>
      <c r="J294">
        <v>22</v>
      </c>
      <c r="K294">
        <v>23</v>
      </c>
      <c r="L294">
        <v>20</v>
      </c>
      <c r="M294">
        <v>18</v>
      </c>
      <c r="N294">
        <v>18</v>
      </c>
      <c r="O294">
        <v>17</v>
      </c>
      <c r="P294">
        <v>17</v>
      </c>
      <c r="Q294">
        <v>18</v>
      </c>
      <c r="R294">
        <v>16</v>
      </c>
      <c r="S294">
        <v>15</v>
      </c>
      <c r="T294">
        <v>17</v>
      </c>
      <c r="U294">
        <v>15</v>
      </c>
      <c r="V294">
        <v>14</v>
      </c>
      <c r="W294">
        <v>15</v>
      </c>
      <c r="X294">
        <v>13</v>
      </c>
      <c r="Y294">
        <v>16</v>
      </c>
      <c r="Z294">
        <v>15</v>
      </c>
      <c r="AA294">
        <v>16</v>
      </c>
      <c r="AB294">
        <v>13</v>
      </c>
      <c r="AC294">
        <v>13</v>
      </c>
      <c r="AD294">
        <v>14</v>
      </c>
      <c r="AE294">
        <v>11</v>
      </c>
      <c r="AF294">
        <v>12</v>
      </c>
      <c r="AG294">
        <v>10</v>
      </c>
      <c r="AH294">
        <v>10</v>
      </c>
      <c r="AI294">
        <v>9</v>
      </c>
      <c r="AJ294">
        <v>16</v>
      </c>
      <c r="AK294">
        <v>13</v>
      </c>
      <c r="AL294">
        <v>11</v>
      </c>
      <c r="AM294">
        <v>7</v>
      </c>
      <c r="AN294">
        <v>8</v>
      </c>
      <c r="AO294">
        <v>8</v>
      </c>
      <c r="AP294">
        <v>16</v>
      </c>
      <c r="AQ294">
        <v>27</v>
      </c>
      <c r="AR294">
        <v>28</v>
      </c>
      <c r="AS294">
        <v>33</v>
      </c>
      <c r="AT294">
        <v>35</v>
      </c>
      <c r="AU294">
        <v>32</v>
      </c>
      <c r="AV294">
        <v>33</v>
      </c>
      <c r="AW294">
        <v>25</v>
      </c>
      <c r="AX294">
        <v>25</v>
      </c>
      <c r="AY294">
        <v>31</v>
      </c>
      <c r="AZ294">
        <v>19</v>
      </c>
      <c r="BA294">
        <v>18</v>
      </c>
      <c r="BB294">
        <v>23</v>
      </c>
      <c r="BC294">
        <v>24</v>
      </c>
    </row>
    <row r="295" spans="1:55" x14ac:dyDescent="0.25">
      <c r="A295" t="s">
        <v>3929</v>
      </c>
      <c r="B295" t="s">
        <v>135</v>
      </c>
      <c r="C295" t="s">
        <v>90</v>
      </c>
      <c r="D295">
        <v>201</v>
      </c>
      <c r="E295">
        <v>10.66</v>
      </c>
      <c r="F295">
        <v>30</v>
      </c>
      <c r="G295">
        <v>19</v>
      </c>
      <c r="H295">
        <v>15</v>
      </c>
      <c r="I295">
        <v>18</v>
      </c>
      <c r="J295">
        <v>19</v>
      </c>
      <c r="K295">
        <v>19</v>
      </c>
      <c r="L295">
        <v>19</v>
      </c>
      <c r="M295">
        <v>14</v>
      </c>
      <c r="N295">
        <v>15</v>
      </c>
      <c r="O295">
        <v>19</v>
      </c>
      <c r="P295">
        <v>14</v>
      </c>
      <c r="Q295">
        <v>22</v>
      </c>
      <c r="R295">
        <v>16</v>
      </c>
      <c r="S295">
        <v>12</v>
      </c>
      <c r="T295">
        <v>10</v>
      </c>
      <c r="U295">
        <v>9</v>
      </c>
      <c r="V295">
        <v>10</v>
      </c>
      <c r="W295">
        <v>12</v>
      </c>
      <c r="X295">
        <v>12</v>
      </c>
      <c r="Y295">
        <v>9</v>
      </c>
      <c r="Z295">
        <v>7</v>
      </c>
      <c r="AA295">
        <v>8</v>
      </c>
      <c r="AB295">
        <v>6</v>
      </c>
      <c r="AC295">
        <v>7</v>
      </c>
      <c r="AD295">
        <v>8</v>
      </c>
      <c r="AE295">
        <v>5</v>
      </c>
      <c r="AF295">
        <v>5</v>
      </c>
      <c r="AG295">
        <v>4</v>
      </c>
      <c r="AH295">
        <v>4</v>
      </c>
      <c r="AI295">
        <v>3</v>
      </c>
      <c r="AJ295">
        <v>5</v>
      </c>
      <c r="AK295">
        <v>7</v>
      </c>
      <c r="AL295">
        <v>5</v>
      </c>
      <c r="AM295">
        <v>5</v>
      </c>
      <c r="AN295">
        <v>3</v>
      </c>
      <c r="AO295">
        <v>5</v>
      </c>
      <c r="AP295">
        <v>5</v>
      </c>
      <c r="AQ295">
        <v>9</v>
      </c>
      <c r="AR295">
        <v>9</v>
      </c>
      <c r="AS295">
        <v>9</v>
      </c>
      <c r="AT295">
        <v>17</v>
      </c>
      <c r="AU295">
        <v>12</v>
      </c>
      <c r="AV295">
        <v>12</v>
      </c>
      <c r="AW295">
        <v>8</v>
      </c>
      <c r="AX295">
        <v>6</v>
      </c>
      <c r="AY295">
        <v>10</v>
      </c>
      <c r="AZ295">
        <v>9</v>
      </c>
      <c r="BA295">
        <v>8</v>
      </c>
      <c r="BB295">
        <v>9</v>
      </c>
      <c r="BC295">
        <v>10</v>
      </c>
    </row>
    <row r="296" spans="1:55" x14ac:dyDescent="0.25">
      <c r="A296" t="s">
        <v>3930</v>
      </c>
      <c r="B296" t="s">
        <v>136</v>
      </c>
      <c r="C296" t="s">
        <v>90</v>
      </c>
      <c r="D296">
        <v>600</v>
      </c>
      <c r="E296">
        <v>12.34</v>
      </c>
      <c r="F296">
        <v>28</v>
      </c>
      <c r="G296">
        <v>19</v>
      </c>
      <c r="H296">
        <v>17</v>
      </c>
      <c r="I296">
        <v>21</v>
      </c>
      <c r="J296">
        <v>15</v>
      </c>
      <c r="K296">
        <v>17</v>
      </c>
      <c r="L296">
        <v>16</v>
      </c>
      <c r="M296">
        <v>15</v>
      </c>
      <c r="N296">
        <v>16</v>
      </c>
      <c r="O296">
        <v>16</v>
      </c>
      <c r="P296">
        <v>16</v>
      </c>
      <c r="Q296">
        <v>14</v>
      </c>
      <c r="R296">
        <v>15</v>
      </c>
      <c r="S296">
        <v>15</v>
      </c>
      <c r="T296">
        <v>13</v>
      </c>
      <c r="U296">
        <v>14</v>
      </c>
      <c r="V296">
        <v>11</v>
      </c>
      <c r="W296">
        <v>10</v>
      </c>
      <c r="X296">
        <v>11</v>
      </c>
      <c r="Y296">
        <v>9</v>
      </c>
      <c r="Z296">
        <v>11</v>
      </c>
      <c r="AA296">
        <v>9</v>
      </c>
      <c r="AB296">
        <v>10</v>
      </c>
      <c r="AC296">
        <v>9</v>
      </c>
      <c r="AD296">
        <v>9</v>
      </c>
      <c r="AE296">
        <v>7</v>
      </c>
      <c r="AF296">
        <v>6</v>
      </c>
      <c r="AG296">
        <v>7</v>
      </c>
      <c r="AH296">
        <v>7</v>
      </c>
      <c r="AI296">
        <v>6</v>
      </c>
      <c r="AJ296">
        <v>14</v>
      </c>
      <c r="AK296">
        <v>7</v>
      </c>
      <c r="AL296">
        <v>7</v>
      </c>
      <c r="AM296">
        <v>6</v>
      </c>
      <c r="AN296">
        <v>6</v>
      </c>
      <c r="AO296">
        <v>7</v>
      </c>
      <c r="AP296">
        <v>8</v>
      </c>
      <c r="AQ296">
        <v>15</v>
      </c>
      <c r="AR296">
        <v>12</v>
      </c>
      <c r="AS296">
        <v>13</v>
      </c>
      <c r="AT296">
        <v>16</v>
      </c>
      <c r="AU296">
        <v>14</v>
      </c>
      <c r="AV296">
        <v>15</v>
      </c>
      <c r="AW296">
        <v>14</v>
      </c>
      <c r="AX296">
        <v>9</v>
      </c>
      <c r="AY296">
        <v>12</v>
      </c>
      <c r="AZ296">
        <v>14</v>
      </c>
      <c r="BA296">
        <v>11</v>
      </c>
      <c r="BB296">
        <v>12</v>
      </c>
      <c r="BC296">
        <v>16</v>
      </c>
    </row>
    <row r="297" spans="1:55" x14ac:dyDescent="0.25">
      <c r="A297" t="s">
        <v>3931</v>
      </c>
      <c r="B297" t="s">
        <v>38</v>
      </c>
      <c r="C297" t="s">
        <v>90</v>
      </c>
      <c r="D297">
        <v>5004</v>
      </c>
      <c r="E297">
        <v>12.38</v>
      </c>
      <c r="F297">
        <v>27</v>
      </c>
      <c r="G297">
        <v>19</v>
      </c>
      <c r="H297">
        <v>17</v>
      </c>
      <c r="I297">
        <v>14</v>
      </c>
      <c r="J297">
        <v>15</v>
      </c>
      <c r="K297">
        <v>17</v>
      </c>
      <c r="L297">
        <v>14</v>
      </c>
      <c r="M297">
        <v>14</v>
      </c>
      <c r="N297">
        <v>15</v>
      </c>
      <c r="O297">
        <v>14</v>
      </c>
      <c r="P297">
        <v>15</v>
      </c>
      <c r="Q297">
        <v>14</v>
      </c>
      <c r="R297">
        <v>14</v>
      </c>
      <c r="S297">
        <v>12</v>
      </c>
      <c r="T297">
        <v>11</v>
      </c>
      <c r="U297">
        <v>10</v>
      </c>
      <c r="V297">
        <v>10</v>
      </c>
      <c r="W297">
        <v>10</v>
      </c>
      <c r="X297">
        <v>10</v>
      </c>
      <c r="Y297">
        <v>9</v>
      </c>
      <c r="Z297">
        <v>10</v>
      </c>
      <c r="AA297">
        <v>10</v>
      </c>
      <c r="AB297">
        <v>9</v>
      </c>
      <c r="AC297">
        <v>9</v>
      </c>
      <c r="AD297">
        <v>9</v>
      </c>
      <c r="AE297">
        <v>8</v>
      </c>
      <c r="AF297">
        <v>7</v>
      </c>
      <c r="AG297">
        <v>9</v>
      </c>
      <c r="AH297">
        <v>8</v>
      </c>
      <c r="AI297">
        <v>8</v>
      </c>
      <c r="AJ297">
        <v>20</v>
      </c>
      <c r="AK297">
        <v>10</v>
      </c>
      <c r="AL297">
        <v>11</v>
      </c>
      <c r="AM297">
        <v>9</v>
      </c>
      <c r="AN297">
        <v>7</v>
      </c>
      <c r="AO297">
        <v>7</v>
      </c>
      <c r="AP297">
        <v>8</v>
      </c>
      <c r="AQ297">
        <v>13</v>
      </c>
      <c r="AR297">
        <v>12</v>
      </c>
      <c r="AS297">
        <v>15</v>
      </c>
      <c r="AT297">
        <v>16</v>
      </c>
      <c r="AU297">
        <v>15</v>
      </c>
      <c r="AV297">
        <v>14</v>
      </c>
      <c r="AW297">
        <v>13</v>
      </c>
      <c r="AX297">
        <v>13</v>
      </c>
      <c r="AY297">
        <v>13</v>
      </c>
      <c r="AZ297">
        <v>13</v>
      </c>
      <c r="BA297">
        <v>13</v>
      </c>
      <c r="BB297">
        <v>13</v>
      </c>
      <c r="BC297">
        <v>16</v>
      </c>
    </row>
    <row r="298" spans="1:55" x14ac:dyDescent="0.25">
      <c r="A298" t="s">
        <v>3932</v>
      </c>
      <c r="B298" t="s">
        <v>137</v>
      </c>
      <c r="C298" t="s">
        <v>90</v>
      </c>
      <c r="D298">
        <v>2336</v>
      </c>
      <c r="E298">
        <v>11.84</v>
      </c>
      <c r="F298">
        <v>28</v>
      </c>
      <c r="G298">
        <v>19</v>
      </c>
      <c r="H298">
        <v>16</v>
      </c>
      <c r="I298">
        <v>15</v>
      </c>
      <c r="J298">
        <v>14</v>
      </c>
      <c r="K298">
        <v>17</v>
      </c>
      <c r="L298">
        <v>14</v>
      </c>
      <c r="M298">
        <v>13</v>
      </c>
      <c r="N298">
        <v>14</v>
      </c>
      <c r="O298">
        <v>13</v>
      </c>
      <c r="P298">
        <v>14</v>
      </c>
      <c r="Q298">
        <v>13</v>
      </c>
      <c r="R298">
        <v>13</v>
      </c>
      <c r="S298">
        <v>10</v>
      </c>
      <c r="T298">
        <v>11</v>
      </c>
      <c r="U298">
        <v>8</v>
      </c>
      <c r="V298">
        <v>9</v>
      </c>
      <c r="W298">
        <v>9</v>
      </c>
      <c r="X298">
        <v>10</v>
      </c>
      <c r="Y298">
        <v>9</v>
      </c>
      <c r="Z298">
        <v>9</v>
      </c>
      <c r="AA298">
        <v>9</v>
      </c>
      <c r="AB298">
        <v>8</v>
      </c>
      <c r="AC298">
        <v>8</v>
      </c>
      <c r="AD298">
        <v>8</v>
      </c>
      <c r="AE298">
        <v>7</v>
      </c>
      <c r="AF298">
        <v>6</v>
      </c>
      <c r="AG298">
        <v>9</v>
      </c>
      <c r="AH298">
        <v>8</v>
      </c>
      <c r="AI298">
        <v>8</v>
      </c>
      <c r="AJ298">
        <v>19</v>
      </c>
      <c r="AK298">
        <v>9</v>
      </c>
      <c r="AL298">
        <v>9</v>
      </c>
      <c r="AM298">
        <v>7</v>
      </c>
      <c r="AN298">
        <v>7</v>
      </c>
      <c r="AO298">
        <v>7</v>
      </c>
      <c r="AP298">
        <v>8</v>
      </c>
      <c r="AQ298">
        <v>13</v>
      </c>
      <c r="AR298">
        <v>12</v>
      </c>
      <c r="AS298">
        <v>15</v>
      </c>
      <c r="AT298">
        <v>16</v>
      </c>
      <c r="AU298">
        <v>15</v>
      </c>
      <c r="AV298">
        <v>13</v>
      </c>
      <c r="AW298">
        <v>12</v>
      </c>
      <c r="AX298">
        <v>13</v>
      </c>
      <c r="AY298">
        <v>13</v>
      </c>
      <c r="AZ298">
        <v>13</v>
      </c>
      <c r="BA298">
        <v>13</v>
      </c>
      <c r="BB298">
        <v>13</v>
      </c>
      <c r="BC298">
        <v>16</v>
      </c>
    </row>
    <row r="299" spans="1:55" x14ac:dyDescent="0.25">
      <c r="A299" t="s">
        <v>3933</v>
      </c>
      <c r="B299" t="s">
        <v>138</v>
      </c>
      <c r="C299" t="s">
        <v>90</v>
      </c>
      <c r="D299">
        <v>2668</v>
      </c>
      <c r="E299">
        <v>12.06</v>
      </c>
      <c r="F299">
        <v>24</v>
      </c>
      <c r="G299">
        <v>18</v>
      </c>
      <c r="H299">
        <v>16</v>
      </c>
      <c r="I299">
        <v>13</v>
      </c>
      <c r="J299">
        <v>14</v>
      </c>
      <c r="K299">
        <v>16</v>
      </c>
      <c r="L299">
        <v>13</v>
      </c>
      <c r="M299">
        <v>13</v>
      </c>
      <c r="N299">
        <v>14</v>
      </c>
      <c r="O299">
        <v>15</v>
      </c>
      <c r="P299">
        <v>14</v>
      </c>
      <c r="Q299">
        <v>13</v>
      </c>
      <c r="R299">
        <v>14</v>
      </c>
      <c r="S299">
        <v>13</v>
      </c>
      <c r="T299">
        <v>11</v>
      </c>
      <c r="U299">
        <v>11</v>
      </c>
      <c r="V299">
        <v>10</v>
      </c>
      <c r="W299">
        <v>11</v>
      </c>
      <c r="X299">
        <v>10</v>
      </c>
      <c r="Y299">
        <v>9</v>
      </c>
      <c r="Z299">
        <v>10</v>
      </c>
      <c r="AA299">
        <v>10</v>
      </c>
      <c r="AB299">
        <v>10</v>
      </c>
      <c r="AC299">
        <v>10</v>
      </c>
      <c r="AD299">
        <v>9</v>
      </c>
      <c r="AE299">
        <v>9</v>
      </c>
      <c r="AF299">
        <v>8</v>
      </c>
      <c r="AG299">
        <v>9</v>
      </c>
      <c r="AH299">
        <v>8</v>
      </c>
      <c r="AI299">
        <v>8</v>
      </c>
      <c r="AJ299">
        <v>21</v>
      </c>
      <c r="AK299">
        <v>10</v>
      </c>
      <c r="AL299">
        <v>13</v>
      </c>
      <c r="AM299">
        <v>11</v>
      </c>
      <c r="AN299">
        <v>6</v>
      </c>
      <c r="AO299">
        <v>7</v>
      </c>
      <c r="AP299">
        <v>7</v>
      </c>
      <c r="AQ299">
        <v>12</v>
      </c>
      <c r="AR299">
        <v>12</v>
      </c>
      <c r="AS299">
        <v>13</v>
      </c>
      <c r="AT299">
        <v>14</v>
      </c>
      <c r="AU299">
        <v>13</v>
      </c>
      <c r="AV299">
        <v>12</v>
      </c>
      <c r="AW299">
        <v>11</v>
      </c>
      <c r="AX299">
        <v>12</v>
      </c>
      <c r="AY299">
        <v>12</v>
      </c>
      <c r="AZ299">
        <v>13</v>
      </c>
      <c r="BA299">
        <v>13</v>
      </c>
      <c r="BB299">
        <v>13</v>
      </c>
      <c r="BC299">
        <v>15</v>
      </c>
    </row>
    <row r="300" spans="1:55" x14ac:dyDescent="0.25">
      <c r="A300" t="s">
        <v>3934</v>
      </c>
      <c r="B300" t="s">
        <v>139</v>
      </c>
      <c r="C300" t="s">
        <v>90</v>
      </c>
      <c r="D300">
        <v>10866</v>
      </c>
      <c r="E300">
        <v>14.34</v>
      </c>
      <c r="F300">
        <v>28</v>
      </c>
      <c r="G300">
        <v>21</v>
      </c>
      <c r="H300">
        <v>19</v>
      </c>
      <c r="I300">
        <v>16</v>
      </c>
      <c r="J300">
        <v>17</v>
      </c>
      <c r="K300">
        <v>18</v>
      </c>
      <c r="L300">
        <v>15</v>
      </c>
      <c r="M300">
        <v>16</v>
      </c>
      <c r="N300">
        <v>16</v>
      </c>
      <c r="O300">
        <v>16</v>
      </c>
      <c r="P300">
        <v>15</v>
      </c>
      <c r="Q300">
        <v>14</v>
      </c>
      <c r="R300">
        <v>14</v>
      </c>
      <c r="S300">
        <v>13</v>
      </c>
      <c r="T300">
        <v>13</v>
      </c>
      <c r="U300">
        <v>12</v>
      </c>
      <c r="V300">
        <v>12</v>
      </c>
      <c r="W300">
        <v>12</v>
      </c>
      <c r="X300">
        <v>12</v>
      </c>
      <c r="Y300">
        <v>12</v>
      </c>
      <c r="Z300">
        <v>12</v>
      </c>
      <c r="AA300">
        <v>12</v>
      </c>
      <c r="AB300">
        <v>11</v>
      </c>
      <c r="AC300">
        <v>11</v>
      </c>
      <c r="AD300">
        <v>11</v>
      </c>
      <c r="AE300">
        <v>10</v>
      </c>
      <c r="AF300">
        <v>10</v>
      </c>
      <c r="AG300">
        <v>10</v>
      </c>
      <c r="AH300">
        <v>10</v>
      </c>
      <c r="AI300">
        <v>9</v>
      </c>
      <c r="AJ300">
        <v>22</v>
      </c>
      <c r="AK300">
        <v>14</v>
      </c>
      <c r="AL300">
        <v>15</v>
      </c>
      <c r="AM300">
        <v>13</v>
      </c>
      <c r="AN300">
        <v>10</v>
      </c>
      <c r="AO300">
        <v>10</v>
      </c>
      <c r="AP300">
        <v>12</v>
      </c>
      <c r="AQ300">
        <v>14</v>
      </c>
      <c r="AR300">
        <v>14</v>
      </c>
      <c r="AS300">
        <v>16</v>
      </c>
      <c r="AT300">
        <v>17</v>
      </c>
      <c r="AU300">
        <v>17</v>
      </c>
      <c r="AV300">
        <v>15</v>
      </c>
      <c r="AW300">
        <v>15</v>
      </c>
      <c r="AX300">
        <v>15</v>
      </c>
      <c r="AY300">
        <v>16</v>
      </c>
      <c r="AZ300">
        <v>15</v>
      </c>
      <c r="BA300">
        <v>16</v>
      </c>
      <c r="BB300">
        <v>16</v>
      </c>
      <c r="BC300">
        <v>18</v>
      </c>
    </row>
    <row r="301" spans="1:55" x14ac:dyDescent="0.25">
      <c r="A301" t="s">
        <v>3935</v>
      </c>
      <c r="B301" t="s">
        <v>140</v>
      </c>
      <c r="C301" t="s">
        <v>90</v>
      </c>
      <c r="D301">
        <v>1355</v>
      </c>
      <c r="E301">
        <v>14.48</v>
      </c>
      <c r="F301">
        <v>32</v>
      </c>
      <c r="G301">
        <v>25</v>
      </c>
      <c r="H301">
        <v>22</v>
      </c>
      <c r="I301">
        <v>18</v>
      </c>
      <c r="J301">
        <v>19</v>
      </c>
      <c r="K301">
        <v>20</v>
      </c>
      <c r="L301">
        <v>16</v>
      </c>
      <c r="M301">
        <v>16</v>
      </c>
      <c r="N301">
        <v>16</v>
      </c>
      <c r="O301">
        <v>17</v>
      </c>
      <c r="P301">
        <v>16</v>
      </c>
      <c r="Q301">
        <v>14</v>
      </c>
      <c r="R301">
        <v>15</v>
      </c>
      <c r="S301">
        <v>13</v>
      </c>
      <c r="T301">
        <v>12</v>
      </c>
      <c r="U301">
        <v>11</v>
      </c>
      <c r="V301">
        <v>11</v>
      </c>
      <c r="W301">
        <v>12</v>
      </c>
      <c r="X301">
        <v>11</v>
      </c>
      <c r="Y301">
        <v>10</v>
      </c>
      <c r="Z301">
        <v>9</v>
      </c>
      <c r="AA301">
        <v>10</v>
      </c>
      <c r="AB301">
        <v>9</v>
      </c>
      <c r="AC301">
        <v>9</v>
      </c>
      <c r="AD301">
        <v>10</v>
      </c>
      <c r="AE301">
        <v>7</v>
      </c>
      <c r="AF301">
        <v>8</v>
      </c>
      <c r="AG301">
        <v>10</v>
      </c>
      <c r="AH301">
        <v>8</v>
      </c>
      <c r="AI301">
        <v>8</v>
      </c>
      <c r="AJ301">
        <v>21</v>
      </c>
      <c r="AK301">
        <v>11</v>
      </c>
      <c r="AL301">
        <v>11</v>
      </c>
      <c r="AM301">
        <v>12</v>
      </c>
      <c r="AN301">
        <v>9</v>
      </c>
      <c r="AO301">
        <v>8</v>
      </c>
      <c r="AP301">
        <v>11</v>
      </c>
      <c r="AQ301">
        <v>16</v>
      </c>
      <c r="AR301">
        <v>15</v>
      </c>
      <c r="AS301">
        <v>21</v>
      </c>
      <c r="AT301">
        <v>21</v>
      </c>
      <c r="AU301">
        <v>18</v>
      </c>
      <c r="AV301">
        <v>18</v>
      </c>
      <c r="AW301">
        <v>16</v>
      </c>
      <c r="AX301">
        <v>16</v>
      </c>
      <c r="AY301">
        <v>18</v>
      </c>
      <c r="AZ301">
        <v>16</v>
      </c>
      <c r="BA301">
        <v>17</v>
      </c>
      <c r="BB301">
        <v>17</v>
      </c>
      <c r="BC301">
        <v>18</v>
      </c>
    </row>
    <row r="302" spans="1:55" x14ac:dyDescent="0.25">
      <c r="A302" t="s">
        <v>3936</v>
      </c>
      <c r="B302" t="s">
        <v>141</v>
      </c>
      <c r="C302" t="s">
        <v>90</v>
      </c>
      <c r="D302">
        <v>708</v>
      </c>
      <c r="E302">
        <v>15.36</v>
      </c>
      <c r="F302">
        <v>30</v>
      </c>
      <c r="G302">
        <v>26</v>
      </c>
      <c r="H302">
        <v>25</v>
      </c>
      <c r="I302">
        <v>20</v>
      </c>
      <c r="J302">
        <v>21</v>
      </c>
      <c r="K302">
        <v>21</v>
      </c>
      <c r="L302">
        <v>16</v>
      </c>
      <c r="M302">
        <v>17</v>
      </c>
      <c r="N302">
        <v>16</v>
      </c>
      <c r="O302">
        <v>19</v>
      </c>
      <c r="P302">
        <v>17</v>
      </c>
      <c r="Q302">
        <v>15</v>
      </c>
      <c r="R302">
        <v>16</v>
      </c>
      <c r="S302">
        <v>13</v>
      </c>
      <c r="T302">
        <v>12</v>
      </c>
      <c r="U302">
        <v>12</v>
      </c>
      <c r="V302">
        <v>12</v>
      </c>
      <c r="W302">
        <v>13</v>
      </c>
      <c r="X302">
        <v>12</v>
      </c>
      <c r="Y302">
        <v>11</v>
      </c>
      <c r="Z302">
        <v>10</v>
      </c>
      <c r="AA302">
        <v>11</v>
      </c>
      <c r="AB302">
        <v>10</v>
      </c>
      <c r="AC302">
        <v>9</v>
      </c>
      <c r="AD302">
        <v>11</v>
      </c>
      <c r="AE302">
        <v>7</v>
      </c>
      <c r="AF302">
        <v>9</v>
      </c>
      <c r="AG302">
        <v>11</v>
      </c>
      <c r="AH302">
        <v>7</v>
      </c>
      <c r="AI302">
        <v>8</v>
      </c>
      <c r="AJ302">
        <v>19</v>
      </c>
      <c r="AK302">
        <v>12</v>
      </c>
      <c r="AL302">
        <v>12</v>
      </c>
      <c r="AM302">
        <v>12</v>
      </c>
      <c r="AN302">
        <v>10</v>
      </c>
      <c r="AO302">
        <v>9</v>
      </c>
      <c r="AP302">
        <v>13</v>
      </c>
      <c r="AQ302">
        <v>18</v>
      </c>
      <c r="AR302">
        <v>17</v>
      </c>
      <c r="AS302">
        <v>22</v>
      </c>
      <c r="AT302">
        <v>22</v>
      </c>
      <c r="AU302">
        <v>19</v>
      </c>
      <c r="AV302">
        <v>18</v>
      </c>
      <c r="AW302">
        <v>17</v>
      </c>
      <c r="AX302">
        <v>17</v>
      </c>
      <c r="AY302">
        <v>20</v>
      </c>
      <c r="AZ302">
        <v>18</v>
      </c>
      <c r="BA302">
        <v>17</v>
      </c>
      <c r="BB302">
        <v>19</v>
      </c>
      <c r="BC302">
        <v>20</v>
      </c>
    </row>
    <row r="303" spans="1:55" x14ac:dyDescent="0.25">
      <c r="A303" t="s">
        <v>3937</v>
      </c>
      <c r="B303" t="s">
        <v>142</v>
      </c>
      <c r="C303" t="s">
        <v>90</v>
      </c>
      <c r="D303">
        <v>583</v>
      </c>
      <c r="E303">
        <v>12.9</v>
      </c>
      <c r="F303">
        <v>33</v>
      </c>
      <c r="G303">
        <v>22</v>
      </c>
      <c r="H303">
        <v>19</v>
      </c>
      <c r="I303">
        <v>14</v>
      </c>
      <c r="J303">
        <v>15</v>
      </c>
      <c r="K303">
        <v>17</v>
      </c>
      <c r="L303">
        <v>15</v>
      </c>
      <c r="M303">
        <v>13</v>
      </c>
      <c r="N303">
        <v>15</v>
      </c>
      <c r="O303">
        <v>13</v>
      </c>
      <c r="P303">
        <v>14</v>
      </c>
      <c r="Q303">
        <v>13</v>
      </c>
      <c r="R303">
        <v>12</v>
      </c>
      <c r="S303">
        <v>10</v>
      </c>
      <c r="T303">
        <v>12</v>
      </c>
      <c r="U303">
        <v>9</v>
      </c>
      <c r="V303">
        <v>8</v>
      </c>
      <c r="W303">
        <v>9</v>
      </c>
      <c r="X303">
        <v>7</v>
      </c>
      <c r="Y303">
        <v>8</v>
      </c>
      <c r="Z303">
        <v>7</v>
      </c>
      <c r="AA303">
        <v>8</v>
      </c>
      <c r="AB303">
        <v>8</v>
      </c>
      <c r="AC303">
        <v>7</v>
      </c>
      <c r="AD303">
        <v>8</v>
      </c>
      <c r="AE303">
        <v>6</v>
      </c>
      <c r="AF303">
        <v>7</v>
      </c>
      <c r="AG303">
        <v>8</v>
      </c>
      <c r="AH303">
        <v>8</v>
      </c>
      <c r="AI303">
        <v>8</v>
      </c>
      <c r="AJ303">
        <v>22</v>
      </c>
      <c r="AK303">
        <v>10</v>
      </c>
      <c r="AL303">
        <v>10</v>
      </c>
      <c r="AM303">
        <v>11</v>
      </c>
      <c r="AN303">
        <v>8</v>
      </c>
      <c r="AO303">
        <v>7</v>
      </c>
      <c r="AP303">
        <v>9</v>
      </c>
      <c r="AQ303">
        <v>14</v>
      </c>
      <c r="AR303">
        <v>14</v>
      </c>
      <c r="AS303">
        <v>20</v>
      </c>
      <c r="AT303">
        <v>21</v>
      </c>
      <c r="AU303">
        <v>19</v>
      </c>
      <c r="AV303">
        <v>18</v>
      </c>
      <c r="AW303">
        <v>14</v>
      </c>
      <c r="AX303">
        <v>16</v>
      </c>
      <c r="AY303">
        <v>15</v>
      </c>
      <c r="AZ303">
        <v>14</v>
      </c>
      <c r="BA303">
        <v>16</v>
      </c>
      <c r="BB303">
        <v>17</v>
      </c>
      <c r="BC303">
        <v>17</v>
      </c>
    </row>
    <row r="304" spans="1:55" x14ac:dyDescent="0.25">
      <c r="A304" t="s">
        <v>3938</v>
      </c>
      <c r="B304" t="s">
        <v>143</v>
      </c>
      <c r="C304" t="s">
        <v>90</v>
      </c>
      <c r="D304">
        <v>2034</v>
      </c>
      <c r="E304">
        <v>15.54</v>
      </c>
      <c r="F304">
        <v>28</v>
      </c>
      <c r="G304">
        <v>28</v>
      </c>
      <c r="H304">
        <v>18</v>
      </c>
      <c r="I304">
        <v>15</v>
      </c>
      <c r="J304">
        <v>16</v>
      </c>
      <c r="K304">
        <v>19</v>
      </c>
      <c r="L304">
        <v>18</v>
      </c>
      <c r="M304">
        <v>17</v>
      </c>
      <c r="N304">
        <v>18</v>
      </c>
      <c r="O304">
        <v>19</v>
      </c>
      <c r="P304">
        <v>16</v>
      </c>
      <c r="Q304">
        <v>16</v>
      </c>
      <c r="R304">
        <v>16</v>
      </c>
      <c r="S304">
        <v>14</v>
      </c>
      <c r="T304">
        <v>14</v>
      </c>
      <c r="U304">
        <v>15</v>
      </c>
      <c r="V304">
        <v>14</v>
      </c>
      <c r="W304">
        <v>11</v>
      </c>
      <c r="X304">
        <v>13</v>
      </c>
      <c r="Y304">
        <v>13</v>
      </c>
      <c r="Z304">
        <v>13</v>
      </c>
      <c r="AA304">
        <v>12</v>
      </c>
      <c r="AB304">
        <v>11</v>
      </c>
      <c r="AC304">
        <v>9</v>
      </c>
      <c r="AD304">
        <v>11</v>
      </c>
      <c r="AE304">
        <v>10</v>
      </c>
      <c r="AF304">
        <v>10</v>
      </c>
      <c r="AG304">
        <v>10</v>
      </c>
      <c r="AH304">
        <v>10</v>
      </c>
      <c r="AI304">
        <v>10</v>
      </c>
      <c r="AJ304">
        <v>39</v>
      </c>
      <c r="AK304">
        <v>18</v>
      </c>
      <c r="AL304">
        <v>25</v>
      </c>
      <c r="AM304">
        <v>21</v>
      </c>
      <c r="AN304">
        <v>11</v>
      </c>
      <c r="AO304">
        <v>12</v>
      </c>
      <c r="AP304">
        <v>12</v>
      </c>
      <c r="AQ304">
        <v>9</v>
      </c>
      <c r="AR304">
        <v>12</v>
      </c>
      <c r="AS304">
        <v>14</v>
      </c>
      <c r="AT304">
        <v>15</v>
      </c>
      <c r="AU304">
        <v>16</v>
      </c>
      <c r="AV304">
        <v>13</v>
      </c>
      <c r="AW304">
        <v>15</v>
      </c>
      <c r="AX304">
        <v>15</v>
      </c>
      <c r="AY304">
        <v>18</v>
      </c>
      <c r="AZ304">
        <v>15</v>
      </c>
      <c r="BA304">
        <v>18</v>
      </c>
      <c r="BB304">
        <v>17</v>
      </c>
      <c r="BC304">
        <v>18</v>
      </c>
    </row>
    <row r="305" spans="1:55" x14ac:dyDescent="0.25">
      <c r="A305" t="s">
        <v>3939</v>
      </c>
      <c r="B305" t="s">
        <v>144</v>
      </c>
      <c r="C305" t="s">
        <v>90</v>
      </c>
      <c r="D305">
        <v>1273</v>
      </c>
      <c r="E305">
        <v>15.18</v>
      </c>
      <c r="F305">
        <v>28</v>
      </c>
      <c r="G305">
        <v>28</v>
      </c>
      <c r="H305">
        <v>16</v>
      </c>
      <c r="I305">
        <v>16</v>
      </c>
      <c r="J305">
        <v>14</v>
      </c>
      <c r="K305">
        <v>19</v>
      </c>
      <c r="L305">
        <v>19</v>
      </c>
      <c r="M305">
        <v>16</v>
      </c>
      <c r="N305">
        <v>18</v>
      </c>
      <c r="O305">
        <v>19</v>
      </c>
      <c r="P305">
        <v>15</v>
      </c>
      <c r="Q305">
        <v>17</v>
      </c>
      <c r="R305">
        <v>16</v>
      </c>
      <c r="S305">
        <v>15</v>
      </c>
      <c r="T305">
        <v>13</v>
      </c>
      <c r="U305">
        <v>16</v>
      </c>
      <c r="V305">
        <v>13</v>
      </c>
      <c r="W305">
        <v>12</v>
      </c>
      <c r="X305">
        <v>12</v>
      </c>
      <c r="Y305">
        <v>13</v>
      </c>
      <c r="Z305">
        <v>14</v>
      </c>
      <c r="AA305">
        <v>12</v>
      </c>
      <c r="AB305">
        <v>12</v>
      </c>
      <c r="AC305">
        <v>10</v>
      </c>
      <c r="AD305">
        <v>10</v>
      </c>
      <c r="AE305">
        <v>9</v>
      </c>
      <c r="AF305">
        <v>11</v>
      </c>
      <c r="AG305">
        <v>9</v>
      </c>
      <c r="AH305">
        <v>10</v>
      </c>
      <c r="AI305">
        <v>9</v>
      </c>
      <c r="AJ305">
        <v>34</v>
      </c>
      <c r="AK305">
        <v>18</v>
      </c>
      <c r="AL305">
        <v>24</v>
      </c>
      <c r="AM305">
        <v>21</v>
      </c>
      <c r="AN305">
        <v>10</v>
      </c>
      <c r="AO305">
        <v>12</v>
      </c>
      <c r="AP305">
        <v>12</v>
      </c>
      <c r="AQ305">
        <v>9</v>
      </c>
      <c r="AR305">
        <v>11</v>
      </c>
      <c r="AS305">
        <v>13</v>
      </c>
      <c r="AT305">
        <v>15</v>
      </c>
      <c r="AU305">
        <v>15</v>
      </c>
      <c r="AV305">
        <v>13</v>
      </c>
      <c r="AW305">
        <v>16</v>
      </c>
      <c r="AX305">
        <v>13</v>
      </c>
      <c r="AY305">
        <v>17</v>
      </c>
      <c r="AZ305">
        <v>15</v>
      </c>
      <c r="BA305">
        <v>17</v>
      </c>
      <c r="BB305">
        <v>16</v>
      </c>
      <c r="BC305">
        <v>17</v>
      </c>
    </row>
    <row r="306" spans="1:55" x14ac:dyDescent="0.25">
      <c r="A306" t="s">
        <v>3940</v>
      </c>
      <c r="B306" t="s">
        <v>145</v>
      </c>
      <c r="C306" t="s">
        <v>90</v>
      </c>
      <c r="D306">
        <v>761</v>
      </c>
      <c r="E306">
        <v>16.12</v>
      </c>
      <c r="F306">
        <v>29</v>
      </c>
      <c r="G306">
        <v>28</v>
      </c>
      <c r="H306">
        <v>21</v>
      </c>
      <c r="I306">
        <v>14</v>
      </c>
      <c r="J306">
        <v>19</v>
      </c>
      <c r="K306">
        <v>18</v>
      </c>
      <c r="L306">
        <v>16</v>
      </c>
      <c r="M306">
        <v>18</v>
      </c>
      <c r="N306">
        <v>18</v>
      </c>
      <c r="O306">
        <v>19</v>
      </c>
      <c r="P306">
        <v>16</v>
      </c>
      <c r="Q306">
        <v>15</v>
      </c>
      <c r="R306">
        <v>16</v>
      </c>
      <c r="S306">
        <v>12</v>
      </c>
      <c r="T306">
        <v>14</v>
      </c>
      <c r="U306">
        <v>13</v>
      </c>
      <c r="V306">
        <v>15</v>
      </c>
      <c r="W306">
        <v>11</v>
      </c>
      <c r="X306">
        <v>14</v>
      </c>
      <c r="Y306">
        <v>13</v>
      </c>
      <c r="Z306">
        <v>13</v>
      </c>
      <c r="AA306">
        <v>13</v>
      </c>
      <c r="AB306">
        <v>10</v>
      </c>
      <c r="AC306">
        <v>8</v>
      </c>
      <c r="AD306">
        <v>13</v>
      </c>
      <c r="AE306">
        <v>14</v>
      </c>
      <c r="AF306">
        <v>9</v>
      </c>
      <c r="AG306">
        <v>11</v>
      </c>
      <c r="AH306">
        <v>12</v>
      </c>
      <c r="AI306">
        <v>12</v>
      </c>
      <c r="AJ306">
        <v>45</v>
      </c>
      <c r="AK306">
        <v>17</v>
      </c>
      <c r="AL306">
        <v>25</v>
      </c>
      <c r="AM306">
        <v>20</v>
      </c>
      <c r="AN306">
        <v>12</v>
      </c>
      <c r="AO306">
        <v>11</v>
      </c>
      <c r="AP306">
        <v>13</v>
      </c>
      <c r="AQ306">
        <v>10</v>
      </c>
      <c r="AR306">
        <v>13</v>
      </c>
      <c r="AS306">
        <v>15</v>
      </c>
      <c r="AT306">
        <v>15</v>
      </c>
      <c r="AU306">
        <v>17</v>
      </c>
      <c r="AV306">
        <v>14</v>
      </c>
      <c r="AW306">
        <v>13</v>
      </c>
      <c r="AX306">
        <v>19</v>
      </c>
      <c r="AY306">
        <v>19</v>
      </c>
      <c r="AZ306">
        <v>16</v>
      </c>
      <c r="BA306">
        <v>20</v>
      </c>
      <c r="BB306">
        <v>19</v>
      </c>
      <c r="BC306">
        <v>19</v>
      </c>
    </row>
    <row r="307" spans="1:55" x14ac:dyDescent="0.25">
      <c r="A307" t="s">
        <v>3941</v>
      </c>
      <c r="B307" t="s">
        <v>146</v>
      </c>
      <c r="C307" t="s">
        <v>90</v>
      </c>
      <c r="D307">
        <v>83</v>
      </c>
      <c r="E307">
        <v>10.220000000000001</v>
      </c>
      <c r="F307">
        <v>15</v>
      </c>
      <c r="G307">
        <v>12</v>
      </c>
      <c r="H307">
        <v>17</v>
      </c>
      <c r="I307">
        <v>11</v>
      </c>
      <c r="J307">
        <v>11</v>
      </c>
      <c r="K307">
        <v>14</v>
      </c>
      <c r="L307">
        <v>10</v>
      </c>
      <c r="M307">
        <v>13</v>
      </c>
      <c r="N307">
        <v>11</v>
      </c>
      <c r="O307">
        <v>11</v>
      </c>
      <c r="P307">
        <v>15</v>
      </c>
      <c r="Q307">
        <v>12</v>
      </c>
      <c r="R307">
        <v>14</v>
      </c>
      <c r="S307">
        <v>13</v>
      </c>
      <c r="T307">
        <v>9</v>
      </c>
      <c r="U307">
        <v>7</v>
      </c>
      <c r="V307">
        <v>9</v>
      </c>
      <c r="W307">
        <v>11</v>
      </c>
      <c r="X307">
        <v>8</v>
      </c>
      <c r="Y307">
        <v>10</v>
      </c>
      <c r="Z307">
        <v>13</v>
      </c>
      <c r="AA307">
        <v>6</v>
      </c>
      <c r="AB307">
        <v>13</v>
      </c>
      <c r="AC307">
        <v>12</v>
      </c>
      <c r="AD307">
        <v>10</v>
      </c>
      <c r="AE307">
        <v>10</v>
      </c>
      <c r="AF307">
        <v>13</v>
      </c>
      <c r="AG307">
        <v>9</v>
      </c>
      <c r="AH307">
        <v>15</v>
      </c>
      <c r="AI307">
        <v>8</v>
      </c>
      <c r="AJ307">
        <v>22</v>
      </c>
      <c r="AK307">
        <v>14</v>
      </c>
      <c r="AL307">
        <v>13</v>
      </c>
      <c r="AM307">
        <v>9</v>
      </c>
      <c r="AN307">
        <v>5</v>
      </c>
      <c r="AO307">
        <v>9</v>
      </c>
      <c r="AP307">
        <v>4</v>
      </c>
      <c r="AQ307">
        <v>6</v>
      </c>
      <c r="AR307">
        <v>10</v>
      </c>
      <c r="AS307">
        <v>5</v>
      </c>
      <c r="AT307">
        <v>10</v>
      </c>
      <c r="AU307">
        <v>7</v>
      </c>
      <c r="AV307">
        <v>9</v>
      </c>
      <c r="AW307">
        <v>10</v>
      </c>
      <c r="AX307">
        <v>9</v>
      </c>
      <c r="AY307">
        <v>8</v>
      </c>
      <c r="AZ307">
        <v>3</v>
      </c>
      <c r="BA307">
        <v>9</v>
      </c>
      <c r="BB307">
        <v>2</v>
      </c>
      <c r="BC307">
        <v>5</v>
      </c>
    </row>
    <row r="308" spans="1:55" x14ac:dyDescent="0.25">
      <c r="A308" t="s">
        <v>3942</v>
      </c>
      <c r="B308" t="s">
        <v>147</v>
      </c>
      <c r="C308" t="s">
        <v>90</v>
      </c>
      <c r="D308">
        <v>108</v>
      </c>
      <c r="E308">
        <v>22.42</v>
      </c>
      <c r="F308">
        <v>33</v>
      </c>
      <c r="G308">
        <v>38</v>
      </c>
      <c r="H308">
        <v>22</v>
      </c>
      <c r="I308">
        <v>25</v>
      </c>
      <c r="J308">
        <v>23</v>
      </c>
      <c r="K308">
        <v>28</v>
      </c>
      <c r="L308">
        <v>20</v>
      </c>
      <c r="M308">
        <v>35</v>
      </c>
      <c r="N308">
        <v>21</v>
      </c>
      <c r="O308">
        <v>21</v>
      </c>
      <c r="P308">
        <v>20</v>
      </c>
      <c r="Q308">
        <v>25</v>
      </c>
      <c r="R308">
        <v>20</v>
      </c>
      <c r="S308">
        <v>25</v>
      </c>
      <c r="T308">
        <v>21</v>
      </c>
      <c r="U308">
        <v>16</v>
      </c>
      <c r="V308">
        <v>26</v>
      </c>
      <c r="W308">
        <v>22</v>
      </c>
      <c r="X308">
        <v>20</v>
      </c>
      <c r="Y308">
        <v>20</v>
      </c>
      <c r="Z308">
        <v>24</v>
      </c>
      <c r="AA308">
        <v>19</v>
      </c>
      <c r="AB308">
        <v>18</v>
      </c>
      <c r="AC308">
        <v>14</v>
      </c>
      <c r="AD308">
        <v>14</v>
      </c>
      <c r="AE308">
        <v>19</v>
      </c>
      <c r="AF308">
        <v>22</v>
      </c>
      <c r="AG308">
        <v>22</v>
      </c>
      <c r="AH308">
        <v>27</v>
      </c>
      <c r="AI308">
        <v>19</v>
      </c>
      <c r="AJ308">
        <v>27</v>
      </c>
      <c r="AK308">
        <v>16</v>
      </c>
      <c r="AL308">
        <v>23</v>
      </c>
      <c r="AM308">
        <v>26</v>
      </c>
      <c r="AN308">
        <v>22</v>
      </c>
      <c r="AO308">
        <v>13</v>
      </c>
      <c r="AP308">
        <v>16</v>
      </c>
      <c r="AQ308">
        <v>19</v>
      </c>
      <c r="AR308">
        <v>20</v>
      </c>
      <c r="AS308">
        <v>30</v>
      </c>
      <c r="AT308">
        <v>30</v>
      </c>
      <c r="AU308">
        <v>22</v>
      </c>
      <c r="AV308">
        <v>26</v>
      </c>
      <c r="AW308">
        <v>25</v>
      </c>
      <c r="AX308">
        <v>23</v>
      </c>
      <c r="AY308">
        <v>25</v>
      </c>
      <c r="AZ308">
        <v>19</v>
      </c>
      <c r="BA308">
        <v>19</v>
      </c>
      <c r="BB308">
        <v>19</v>
      </c>
      <c r="BC308">
        <v>22</v>
      </c>
    </row>
    <row r="309" spans="1:55" x14ac:dyDescent="0.25">
      <c r="A309" t="s">
        <v>3943</v>
      </c>
      <c r="B309" t="s">
        <v>148</v>
      </c>
      <c r="C309" t="s">
        <v>90</v>
      </c>
      <c r="D309">
        <v>817</v>
      </c>
      <c r="E309">
        <v>11.42</v>
      </c>
      <c r="F309">
        <v>21</v>
      </c>
      <c r="G309">
        <v>19</v>
      </c>
      <c r="H309">
        <v>16</v>
      </c>
      <c r="I309">
        <v>15</v>
      </c>
      <c r="J309">
        <v>14</v>
      </c>
      <c r="K309">
        <v>15</v>
      </c>
      <c r="L309">
        <v>15</v>
      </c>
      <c r="M309">
        <v>14</v>
      </c>
      <c r="N309">
        <v>15</v>
      </c>
      <c r="O309">
        <v>15</v>
      </c>
      <c r="P309">
        <v>13</v>
      </c>
      <c r="Q309">
        <v>12</v>
      </c>
      <c r="R309">
        <v>12</v>
      </c>
      <c r="S309">
        <v>13</v>
      </c>
      <c r="T309">
        <v>14</v>
      </c>
      <c r="U309">
        <v>12</v>
      </c>
      <c r="V309">
        <v>11</v>
      </c>
      <c r="W309">
        <v>11</v>
      </c>
      <c r="X309">
        <v>11</v>
      </c>
      <c r="Y309">
        <v>9</v>
      </c>
      <c r="Z309">
        <v>10</v>
      </c>
      <c r="AA309">
        <v>10</v>
      </c>
      <c r="AB309">
        <v>10</v>
      </c>
      <c r="AC309">
        <v>8</v>
      </c>
      <c r="AD309">
        <v>9</v>
      </c>
      <c r="AE309">
        <v>9</v>
      </c>
      <c r="AF309">
        <v>9</v>
      </c>
      <c r="AG309">
        <v>9</v>
      </c>
      <c r="AH309">
        <v>8</v>
      </c>
      <c r="AI309">
        <v>9</v>
      </c>
      <c r="AJ309">
        <v>19</v>
      </c>
      <c r="AK309">
        <v>12</v>
      </c>
      <c r="AL309">
        <v>11</v>
      </c>
      <c r="AM309">
        <v>9</v>
      </c>
      <c r="AN309">
        <v>9</v>
      </c>
      <c r="AO309">
        <v>8</v>
      </c>
      <c r="AP309">
        <v>8</v>
      </c>
      <c r="AQ309">
        <v>9</v>
      </c>
      <c r="AR309">
        <v>9</v>
      </c>
      <c r="AS309">
        <v>11</v>
      </c>
      <c r="AT309">
        <v>11</v>
      </c>
      <c r="AU309">
        <v>10</v>
      </c>
      <c r="AV309">
        <v>9</v>
      </c>
      <c r="AW309">
        <v>9</v>
      </c>
      <c r="AX309">
        <v>11</v>
      </c>
      <c r="AY309">
        <v>10</v>
      </c>
      <c r="AZ309">
        <v>9</v>
      </c>
      <c r="BA309">
        <v>9</v>
      </c>
      <c r="BB309">
        <v>10</v>
      </c>
      <c r="BC309">
        <v>10</v>
      </c>
    </row>
    <row r="310" spans="1:55" x14ac:dyDescent="0.25">
      <c r="A310" t="s">
        <v>3944</v>
      </c>
      <c r="B310" t="s">
        <v>149</v>
      </c>
      <c r="C310" t="s">
        <v>90</v>
      </c>
      <c r="D310">
        <v>66</v>
      </c>
      <c r="E310">
        <v>13</v>
      </c>
      <c r="F310">
        <v>21</v>
      </c>
      <c r="G310">
        <v>18</v>
      </c>
      <c r="H310">
        <v>23</v>
      </c>
      <c r="I310">
        <v>20</v>
      </c>
      <c r="J310">
        <v>17</v>
      </c>
      <c r="K310">
        <v>20</v>
      </c>
      <c r="L310">
        <v>12</v>
      </c>
      <c r="M310">
        <v>21</v>
      </c>
      <c r="N310">
        <v>22</v>
      </c>
      <c r="O310">
        <v>16</v>
      </c>
      <c r="P310">
        <v>20</v>
      </c>
      <c r="Q310">
        <v>16</v>
      </c>
      <c r="R310">
        <v>14</v>
      </c>
      <c r="S310">
        <v>12</v>
      </c>
      <c r="T310">
        <v>14</v>
      </c>
      <c r="U310">
        <v>6</v>
      </c>
      <c r="V310">
        <v>13</v>
      </c>
      <c r="W310">
        <v>10</v>
      </c>
      <c r="X310">
        <v>13</v>
      </c>
      <c r="Y310">
        <v>17</v>
      </c>
      <c r="Z310">
        <v>10</v>
      </c>
      <c r="AA310">
        <v>13</v>
      </c>
      <c r="AB310">
        <v>14</v>
      </c>
      <c r="AC310">
        <v>9</v>
      </c>
      <c r="AD310">
        <v>7</v>
      </c>
      <c r="AE310">
        <v>9</v>
      </c>
      <c r="AF310">
        <v>9</v>
      </c>
      <c r="AG310">
        <v>9</v>
      </c>
      <c r="AH310">
        <v>9</v>
      </c>
      <c r="AI310">
        <v>8</v>
      </c>
      <c r="AJ310">
        <v>28</v>
      </c>
      <c r="AK310">
        <v>9</v>
      </c>
      <c r="AL310">
        <v>13</v>
      </c>
      <c r="AM310">
        <v>8</v>
      </c>
      <c r="AN310">
        <v>10</v>
      </c>
      <c r="AO310">
        <v>11</v>
      </c>
      <c r="AP310">
        <v>5</v>
      </c>
      <c r="AQ310">
        <v>11</v>
      </c>
      <c r="AR310">
        <v>15</v>
      </c>
      <c r="AS310">
        <v>13</v>
      </c>
      <c r="AT310">
        <v>12</v>
      </c>
      <c r="AU310">
        <v>13</v>
      </c>
      <c r="AV310">
        <v>6</v>
      </c>
      <c r="AW310">
        <v>8</v>
      </c>
      <c r="AX310">
        <v>9</v>
      </c>
      <c r="AY310">
        <v>13</v>
      </c>
      <c r="AZ310">
        <v>18</v>
      </c>
      <c r="BA310">
        <v>14</v>
      </c>
      <c r="BB310">
        <v>4</v>
      </c>
      <c r="BC310">
        <v>8</v>
      </c>
    </row>
    <row r="311" spans="1:55" x14ac:dyDescent="0.25">
      <c r="A311" t="s">
        <v>3945</v>
      </c>
      <c r="B311" t="s">
        <v>150</v>
      </c>
      <c r="C311" t="s">
        <v>90</v>
      </c>
      <c r="D311">
        <v>981</v>
      </c>
      <c r="E311">
        <v>11.34</v>
      </c>
      <c r="F311">
        <v>19</v>
      </c>
      <c r="G311">
        <v>13</v>
      </c>
      <c r="H311">
        <v>14</v>
      </c>
      <c r="I311">
        <v>11</v>
      </c>
      <c r="J311">
        <v>14</v>
      </c>
      <c r="K311">
        <v>14</v>
      </c>
      <c r="L311">
        <v>9</v>
      </c>
      <c r="M311">
        <v>11</v>
      </c>
      <c r="N311">
        <v>13</v>
      </c>
      <c r="O311">
        <v>11</v>
      </c>
      <c r="P311">
        <v>10</v>
      </c>
      <c r="Q311">
        <v>11</v>
      </c>
      <c r="R311">
        <v>9</v>
      </c>
      <c r="S311">
        <v>10</v>
      </c>
      <c r="T311">
        <v>10</v>
      </c>
      <c r="U311">
        <v>9</v>
      </c>
      <c r="V311">
        <v>9</v>
      </c>
      <c r="W311">
        <v>10</v>
      </c>
      <c r="X311">
        <v>11</v>
      </c>
      <c r="Y311">
        <v>12</v>
      </c>
      <c r="Z311">
        <v>11</v>
      </c>
      <c r="AA311">
        <v>12</v>
      </c>
      <c r="AB311">
        <v>11</v>
      </c>
      <c r="AC311">
        <v>10</v>
      </c>
      <c r="AD311">
        <v>9</v>
      </c>
      <c r="AE311">
        <v>8</v>
      </c>
      <c r="AF311">
        <v>8</v>
      </c>
      <c r="AG311">
        <v>7</v>
      </c>
      <c r="AH311">
        <v>11</v>
      </c>
      <c r="AI311">
        <v>8</v>
      </c>
      <c r="AJ311">
        <v>14</v>
      </c>
      <c r="AK311">
        <v>11</v>
      </c>
      <c r="AL311">
        <v>9</v>
      </c>
      <c r="AM311">
        <v>8</v>
      </c>
      <c r="AN311">
        <v>7</v>
      </c>
      <c r="AO311">
        <v>8</v>
      </c>
      <c r="AP311">
        <v>10</v>
      </c>
      <c r="AQ311">
        <v>17</v>
      </c>
      <c r="AR311">
        <v>14</v>
      </c>
      <c r="AS311">
        <v>17</v>
      </c>
      <c r="AT311">
        <v>18</v>
      </c>
      <c r="AU311">
        <v>13</v>
      </c>
      <c r="AV311">
        <v>13</v>
      </c>
      <c r="AW311">
        <v>10</v>
      </c>
      <c r="AX311">
        <v>10</v>
      </c>
      <c r="AY311">
        <v>12</v>
      </c>
      <c r="AZ311">
        <v>11</v>
      </c>
      <c r="BA311">
        <v>12</v>
      </c>
      <c r="BB311">
        <v>13</v>
      </c>
      <c r="BC311">
        <v>15</v>
      </c>
    </row>
    <row r="312" spans="1:55" x14ac:dyDescent="0.25">
      <c r="A312" t="s">
        <v>3946</v>
      </c>
      <c r="B312" t="s">
        <v>151</v>
      </c>
      <c r="C312" t="s">
        <v>90</v>
      </c>
      <c r="D312">
        <v>409</v>
      </c>
      <c r="E312">
        <v>10.6</v>
      </c>
      <c r="F312">
        <v>15</v>
      </c>
      <c r="G312">
        <v>12</v>
      </c>
      <c r="H312">
        <v>12</v>
      </c>
      <c r="I312">
        <v>13</v>
      </c>
      <c r="J312">
        <v>13</v>
      </c>
      <c r="K312">
        <v>13</v>
      </c>
      <c r="L312">
        <v>9</v>
      </c>
      <c r="M312">
        <v>10</v>
      </c>
      <c r="N312">
        <v>12</v>
      </c>
      <c r="O312">
        <v>9</v>
      </c>
      <c r="P312">
        <v>9</v>
      </c>
      <c r="Q312">
        <v>9</v>
      </c>
      <c r="R312">
        <v>8</v>
      </c>
      <c r="S312">
        <v>10</v>
      </c>
      <c r="T312">
        <v>10</v>
      </c>
      <c r="U312">
        <v>9</v>
      </c>
      <c r="V312">
        <v>8</v>
      </c>
      <c r="W312">
        <v>9</v>
      </c>
      <c r="X312">
        <v>11</v>
      </c>
      <c r="Y312">
        <v>12</v>
      </c>
      <c r="Z312">
        <v>10</v>
      </c>
      <c r="AA312">
        <v>12</v>
      </c>
      <c r="AB312">
        <v>11</v>
      </c>
      <c r="AC312">
        <v>10</v>
      </c>
      <c r="AD312">
        <v>7</v>
      </c>
      <c r="AE312">
        <v>7</v>
      </c>
      <c r="AF312">
        <v>6</v>
      </c>
      <c r="AG312">
        <v>6</v>
      </c>
      <c r="AH312">
        <v>11</v>
      </c>
      <c r="AI312">
        <v>8</v>
      </c>
      <c r="AJ312">
        <v>14</v>
      </c>
      <c r="AK312">
        <v>9</v>
      </c>
      <c r="AL312">
        <v>9</v>
      </c>
      <c r="AM312">
        <v>8</v>
      </c>
      <c r="AN312">
        <v>6</v>
      </c>
      <c r="AO312">
        <v>8</v>
      </c>
      <c r="AP312">
        <v>9</v>
      </c>
      <c r="AQ312">
        <v>19</v>
      </c>
      <c r="AR312">
        <v>15</v>
      </c>
      <c r="AS312">
        <v>19</v>
      </c>
      <c r="AT312">
        <v>18</v>
      </c>
      <c r="AU312">
        <v>14</v>
      </c>
      <c r="AV312">
        <v>12</v>
      </c>
      <c r="AW312">
        <v>10</v>
      </c>
      <c r="AX312">
        <v>10</v>
      </c>
      <c r="AY312">
        <v>8</v>
      </c>
      <c r="AZ312">
        <v>8</v>
      </c>
      <c r="BA312">
        <v>8</v>
      </c>
      <c r="BB312">
        <v>11</v>
      </c>
      <c r="BC312">
        <v>14</v>
      </c>
    </row>
    <row r="313" spans="1:55" x14ac:dyDescent="0.25">
      <c r="A313" t="s">
        <v>3947</v>
      </c>
      <c r="B313" t="s">
        <v>152</v>
      </c>
      <c r="C313" t="s">
        <v>90</v>
      </c>
      <c r="D313">
        <v>57</v>
      </c>
      <c r="E313">
        <v>6.88</v>
      </c>
      <c r="F313">
        <v>9</v>
      </c>
      <c r="G313">
        <v>5</v>
      </c>
      <c r="H313">
        <v>14</v>
      </c>
      <c r="I313">
        <v>5</v>
      </c>
      <c r="J313">
        <v>16</v>
      </c>
      <c r="K313">
        <v>6</v>
      </c>
      <c r="L313">
        <v>4</v>
      </c>
      <c r="M313">
        <v>5</v>
      </c>
      <c r="N313">
        <v>3</v>
      </c>
      <c r="O313">
        <v>5</v>
      </c>
      <c r="P313">
        <v>7</v>
      </c>
      <c r="Q313">
        <v>5</v>
      </c>
      <c r="R313">
        <v>8</v>
      </c>
      <c r="S313">
        <v>7</v>
      </c>
      <c r="T313">
        <v>8</v>
      </c>
      <c r="U313">
        <v>7</v>
      </c>
      <c r="V313">
        <v>11</v>
      </c>
      <c r="W313">
        <v>9</v>
      </c>
      <c r="X313">
        <v>12</v>
      </c>
      <c r="Y313">
        <v>7</v>
      </c>
      <c r="Z313">
        <v>10</v>
      </c>
      <c r="AA313">
        <v>13</v>
      </c>
      <c r="AB313">
        <v>9</v>
      </c>
      <c r="AC313">
        <v>7</v>
      </c>
      <c r="AD313">
        <v>10</v>
      </c>
      <c r="AE313">
        <v>7</v>
      </c>
      <c r="AF313">
        <v>5</v>
      </c>
      <c r="AG313">
        <v>7</v>
      </c>
      <c r="AH313">
        <v>9</v>
      </c>
      <c r="AI313">
        <v>2</v>
      </c>
      <c r="AJ313">
        <v>3</v>
      </c>
      <c r="AK313">
        <v>7</v>
      </c>
      <c r="AL313">
        <v>5</v>
      </c>
      <c r="AM313">
        <v>2</v>
      </c>
      <c r="AN313">
        <v>2</v>
      </c>
      <c r="AO313">
        <v>4</v>
      </c>
      <c r="AP313">
        <v>9</v>
      </c>
      <c r="AQ313">
        <v>4</v>
      </c>
      <c r="AR313">
        <v>5</v>
      </c>
      <c r="AS313">
        <v>7</v>
      </c>
      <c r="AT313">
        <v>10</v>
      </c>
      <c r="AU313">
        <v>8</v>
      </c>
      <c r="AV313">
        <v>6</v>
      </c>
      <c r="AW313">
        <v>5</v>
      </c>
      <c r="AX313">
        <v>4</v>
      </c>
      <c r="AY313">
        <v>6</v>
      </c>
      <c r="AZ313">
        <v>4</v>
      </c>
      <c r="BA313">
        <v>8</v>
      </c>
      <c r="BB313">
        <v>1</v>
      </c>
      <c r="BC313">
        <v>12</v>
      </c>
    </row>
    <row r="314" spans="1:55" x14ac:dyDescent="0.25">
      <c r="A314" t="s">
        <v>3948</v>
      </c>
      <c r="B314" t="s">
        <v>153</v>
      </c>
      <c r="C314" t="s">
        <v>90</v>
      </c>
      <c r="D314">
        <v>968</v>
      </c>
      <c r="E314">
        <v>26.4</v>
      </c>
      <c r="F314">
        <v>45</v>
      </c>
      <c r="G314">
        <v>27</v>
      </c>
      <c r="H314">
        <v>30</v>
      </c>
      <c r="I314">
        <v>27</v>
      </c>
      <c r="J314">
        <v>26</v>
      </c>
      <c r="K314">
        <v>31</v>
      </c>
      <c r="L314">
        <v>26</v>
      </c>
      <c r="M314">
        <v>28</v>
      </c>
      <c r="N314">
        <v>27</v>
      </c>
      <c r="O314">
        <v>26</v>
      </c>
      <c r="P314">
        <v>26</v>
      </c>
      <c r="Q314">
        <v>24</v>
      </c>
      <c r="R314">
        <v>23</v>
      </c>
      <c r="S314">
        <v>18</v>
      </c>
      <c r="T314">
        <v>18</v>
      </c>
      <c r="U314">
        <v>18</v>
      </c>
      <c r="V314">
        <v>19</v>
      </c>
      <c r="W314">
        <v>17</v>
      </c>
      <c r="X314">
        <v>20</v>
      </c>
      <c r="Y314">
        <v>21</v>
      </c>
      <c r="Z314">
        <v>24</v>
      </c>
      <c r="AA314">
        <v>24</v>
      </c>
      <c r="AB314">
        <v>23</v>
      </c>
      <c r="AC314">
        <v>20</v>
      </c>
      <c r="AD314">
        <v>21</v>
      </c>
      <c r="AE314">
        <v>19</v>
      </c>
      <c r="AF314">
        <v>19</v>
      </c>
      <c r="AG314">
        <v>16</v>
      </c>
      <c r="AH314">
        <v>15</v>
      </c>
      <c r="AI314">
        <v>16</v>
      </c>
      <c r="AJ314">
        <v>25</v>
      </c>
      <c r="AK314">
        <v>19</v>
      </c>
      <c r="AL314">
        <v>17</v>
      </c>
      <c r="AM314">
        <v>18</v>
      </c>
      <c r="AN314">
        <v>14</v>
      </c>
      <c r="AO314">
        <v>17</v>
      </c>
      <c r="AP314">
        <v>25</v>
      </c>
      <c r="AQ314">
        <v>37</v>
      </c>
      <c r="AR314">
        <v>38</v>
      </c>
      <c r="AS314">
        <v>39</v>
      </c>
      <c r="AT314">
        <v>41</v>
      </c>
      <c r="AU314">
        <v>38</v>
      </c>
      <c r="AV314">
        <v>36</v>
      </c>
      <c r="AW314">
        <v>35</v>
      </c>
      <c r="AX314">
        <v>34</v>
      </c>
      <c r="AY314">
        <v>37</v>
      </c>
      <c r="AZ314">
        <v>36</v>
      </c>
      <c r="BA314">
        <v>38</v>
      </c>
      <c r="BB314">
        <v>39</v>
      </c>
      <c r="BC314">
        <v>43</v>
      </c>
    </row>
    <row r="315" spans="1:55" x14ac:dyDescent="0.25">
      <c r="A315" t="s">
        <v>3949</v>
      </c>
      <c r="B315" t="s">
        <v>154</v>
      </c>
      <c r="C315" t="s">
        <v>90</v>
      </c>
      <c r="D315">
        <v>109</v>
      </c>
      <c r="E315">
        <v>18.100000000000001</v>
      </c>
      <c r="F315">
        <v>27</v>
      </c>
      <c r="G315">
        <v>27</v>
      </c>
      <c r="H315">
        <v>26</v>
      </c>
      <c r="I315">
        <v>24</v>
      </c>
      <c r="J315">
        <v>18</v>
      </c>
      <c r="K315">
        <v>27</v>
      </c>
      <c r="L315">
        <v>19</v>
      </c>
      <c r="M315">
        <v>22</v>
      </c>
      <c r="N315">
        <v>18</v>
      </c>
      <c r="O315">
        <v>17</v>
      </c>
      <c r="P315">
        <v>19</v>
      </c>
      <c r="Q315">
        <v>15</v>
      </c>
      <c r="R315">
        <v>16</v>
      </c>
      <c r="S315">
        <v>19</v>
      </c>
      <c r="T315">
        <v>13</v>
      </c>
      <c r="U315">
        <v>19</v>
      </c>
      <c r="V315">
        <v>15</v>
      </c>
      <c r="W315">
        <v>20</v>
      </c>
      <c r="X315">
        <v>25</v>
      </c>
      <c r="Y315">
        <v>15</v>
      </c>
      <c r="Z315">
        <v>16</v>
      </c>
      <c r="AA315">
        <v>19</v>
      </c>
      <c r="AB315">
        <v>18</v>
      </c>
      <c r="AC315">
        <v>18</v>
      </c>
      <c r="AD315">
        <v>18</v>
      </c>
      <c r="AE315">
        <v>18</v>
      </c>
      <c r="AF315">
        <v>14</v>
      </c>
      <c r="AG315">
        <v>10</v>
      </c>
      <c r="AH315">
        <v>8</v>
      </c>
      <c r="AI315">
        <v>11</v>
      </c>
      <c r="AJ315">
        <v>25</v>
      </c>
      <c r="AK315">
        <v>20</v>
      </c>
      <c r="AL315">
        <v>15</v>
      </c>
      <c r="AM315">
        <v>17</v>
      </c>
      <c r="AN315">
        <v>9</v>
      </c>
      <c r="AO315">
        <v>17</v>
      </c>
      <c r="AP315">
        <v>16</v>
      </c>
      <c r="AQ315">
        <v>13</v>
      </c>
      <c r="AR315">
        <v>17</v>
      </c>
      <c r="AS315">
        <v>13</v>
      </c>
      <c r="AT315">
        <v>14</v>
      </c>
      <c r="AU315">
        <v>21</v>
      </c>
      <c r="AV315">
        <v>20</v>
      </c>
      <c r="AW315">
        <v>19</v>
      </c>
      <c r="AX315">
        <v>21</v>
      </c>
      <c r="AY315">
        <v>20</v>
      </c>
      <c r="AZ315">
        <v>21</v>
      </c>
      <c r="BA315">
        <v>16</v>
      </c>
      <c r="BB315">
        <v>19</v>
      </c>
      <c r="BC315">
        <v>21</v>
      </c>
    </row>
    <row r="316" spans="1:55" x14ac:dyDescent="0.25">
      <c r="A316" t="s">
        <v>3950</v>
      </c>
      <c r="B316" t="s">
        <v>155</v>
      </c>
      <c r="C316" t="s">
        <v>90</v>
      </c>
      <c r="D316">
        <v>248</v>
      </c>
      <c r="E316">
        <v>11.28</v>
      </c>
      <c r="F316">
        <v>19</v>
      </c>
      <c r="G316">
        <v>19</v>
      </c>
      <c r="H316">
        <v>19</v>
      </c>
      <c r="I316">
        <v>13</v>
      </c>
      <c r="J316">
        <v>15</v>
      </c>
      <c r="K316">
        <v>14</v>
      </c>
      <c r="L316">
        <v>15</v>
      </c>
      <c r="M316">
        <v>15</v>
      </c>
      <c r="N316">
        <v>12</v>
      </c>
      <c r="O316">
        <v>15</v>
      </c>
      <c r="P316">
        <v>14</v>
      </c>
      <c r="Q316">
        <v>14</v>
      </c>
      <c r="R316">
        <v>9</v>
      </c>
      <c r="S316">
        <v>13</v>
      </c>
      <c r="T316">
        <v>10</v>
      </c>
      <c r="U316">
        <v>9</v>
      </c>
      <c r="V316">
        <v>8</v>
      </c>
      <c r="W316">
        <v>7</v>
      </c>
      <c r="X316">
        <v>7</v>
      </c>
      <c r="Y316">
        <v>10</v>
      </c>
      <c r="Z316">
        <v>9</v>
      </c>
      <c r="AA316">
        <v>10</v>
      </c>
      <c r="AB316">
        <v>8</v>
      </c>
      <c r="AC316">
        <v>10</v>
      </c>
      <c r="AD316">
        <v>7</v>
      </c>
      <c r="AE316">
        <v>6</v>
      </c>
      <c r="AF316">
        <v>7</v>
      </c>
      <c r="AG316">
        <v>7</v>
      </c>
      <c r="AH316">
        <v>11</v>
      </c>
      <c r="AI316">
        <v>8</v>
      </c>
      <c r="AJ316">
        <v>18</v>
      </c>
      <c r="AK316">
        <v>13</v>
      </c>
      <c r="AL316">
        <v>14</v>
      </c>
      <c r="AM316">
        <v>12</v>
      </c>
      <c r="AN316">
        <v>9</v>
      </c>
      <c r="AO316">
        <v>8</v>
      </c>
      <c r="AP316">
        <v>7</v>
      </c>
      <c r="AQ316">
        <v>10</v>
      </c>
      <c r="AR316">
        <v>9</v>
      </c>
      <c r="AS316">
        <v>8</v>
      </c>
      <c r="AT316">
        <v>14</v>
      </c>
      <c r="AU316">
        <v>12</v>
      </c>
      <c r="AV316">
        <v>12</v>
      </c>
      <c r="AW316">
        <v>13</v>
      </c>
      <c r="AX316">
        <v>10</v>
      </c>
      <c r="AY316">
        <v>14</v>
      </c>
      <c r="AZ316">
        <v>13</v>
      </c>
      <c r="BA316">
        <v>13</v>
      </c>
      <c r="BB316">
        <v>8</v>
      </c>
      <c r="BC316">
        <v>7</v>
      </c>
    </row>
    <row r="317" spans="1:55" x14ac:dyDescent="0.25">
      <c r="A317" t="s">
        <v>3951</v>
      </c>
      <c r="B317" t="s">
        <v>156</v>
      </c>
      <c r="C317" t="s">
        <v>90</v>
      </c>
      <c r="D317">
        <v>127</v>
      </c>
      <c r="E317">
        <v>17.059999999999999</v>
      </c>
      <c r="F317">
        <v>37</v>
      </c>
      <c r="G317">
        <v>29</v>
      </c>
      <c r="H317">
        <v>35</v>
      </c>
      <c r="I317">
        <v>18</v>
      </c>
      <c r="J317">
        <v>30</v>
      </c>
      <c r="K317">
        <v>25</v>
      </c>
      <c r="L317">
        <v>22</v>
      </c>
      <c r="M317">
        <v>21</v>
      </c>
      <c r="N317">
        <v>23</v>
      </c>
      <c r="O317">
        <v>23</v>
      </c>
      <c r="P317">
        <v>16</v>
      </c>
      <c r="Q317">
        <v>16</v>
      </c>
      <c r="R317">
        <v>12</v>
      </c>
      <c r="S317">
        <v>15</v>
      </c>
      <c r="T317">
        <v>14</v>
      </c>
      <c r="U317">
        <v>8</v>
      </c>
      <c r="V317">
        <v>14</v>
      </c>
      <c r="W317">
        <v>10</v>
      </c>
      <c r="X317">
        <v>14</v>
      </c>
      <c r="Y317">
        <v>12</v>
      </c>
      <c r="Z317">
        <v>15</v>
      </c>
      <c r="AA317">
        <v>7</v>
      </c>
      <c r="AB317">
        <v>12</v>
      </c>
      <c r="AC317">
        <v>14</v>
      </c>
      <c r="AD317">
        <v>10</v>
      </c>
      <c r="AE317">
        <v>9</v>
      </c>
      <c r="AF317">
        <v>9</v>
      </c>
      <c r="AG317">
        <v>8</v>
      </c>
      <c r="AH317">
        <v>10</v>
      </c>
      <c r="AI317">
        <v>7</v>
      </c>
      <c r="AJ317">
        <v>20</v>
      </c>
      <c r="AK317">
        <v>13</v>
      </c>
      <c r="AL317">
        <v>10</v>
      </c>
      <c r="AM317">
        <v>12</v>
      </c>
      <c r="AN317">
        <v>8</v>
      </c>
      <c r="AO317">
        <v>9</v>
      </c>
      <c r="AP317">
        <v>6</v>
      </c>
      <c r="AQ317">
        <v>19</v>
      </c>
      <c r="AR317">
        <v>17</v>
      </c>
      <c r="AS317">
        <v>21</v>
      </c>
      <c r="AT317">
        <v>33</v>
      </c>
      <c r="AU317">
        <v>27</v>
      </c>
      <c r="AV317">
        <v>19</v>
      </c>
      <c r="AW317">
        <v>15</v>
      </c>
      <c r="AX317">
        <v>20</v>
      </c>
      <c r="AY317">
        <v>26</v>
      </c>
      <c r="AZ317">
        <v>23</v>
      </c>
      <c r="BA317">
        <v>19</v>
      </c>
      <c r="BB317">
        <v>17</v>
      </c>
      <c r="BC317">
        <v>24</v>
      </c>
    </row>
    <row r="318" spans="1:55" x14ac:dyDescent="0.25">
      <c r="A318" t="s">
        <v>3952</v>
      </c>
      <c r="B318" t="s">
        <v>157</v>
      </c>
      <c r="C318" t="s">
        <v>90</v>
      </c>
      <c r="D318">
        <v>112</v>
      </c>
      <c r="E318">
        <v>8.68</v>
      </c>
      <c r="F318">
        <v>21</v>
      </c>
      <c r="G318">
        <v>12</v>
      </c>
      <c r="H318">
        <v>5</v>
      </c>
      <c r="I318">
        <v>8</v>
      </c>
      <c r="J318">
        <v>8</v>
      </c>
      <c r="K318">
        <v>8</v>
      </c>
      <c r="L318">
        <v>8</v>
      </c>
      <c r="M318">
        <v>10</v>
      </c>
      <c r="N318">
        <v>8</v>
      </c>
      <c r="O318">
        <v>11</v>
      </c>
      <c r="P318">
        <v>9</v>
      </c>
      <c r="Q318">
        <v>7</v>
      </c>
      <c r="R318">
        <v>13</v>
      </c>
      <c r="S318">
        <v>7</v>
      </c>
      <c r="T318">
        <v>8</v>
      </c>
      <c r="U318">
        <v>7</v>
      </c>
      <c r="V318">
        <v>7</v>
      </c>
      <c r="W318">
        <v>6</v>
      </c>
      <c r="X318">
        <v>9</v>
      </c>
      <c r="Y318">
        <v>7</v>
      </c>
      <c r="Z318">
        <v>8</v>
      </c>
      <c r="AA318">
        <v>6</v>
      </c>
      <c r="AB318">
        <v>3</v>
      </c>
      <c r="AC318">
        <v>6</v>
      </c>
      <c r="AD318">
        <v>6</v>
      </c>
      <c r="AE318">
        <v>4</v>
      </c>
      <c r="AF318">
        <v>8</v>
      </c>
      <c r="AG318">
        <v>8</v>
      </c>
      <c r="AH318">
        <v>5</v>
      </c>
      <c r="AI318">
        <v>9</v>
      </c>
      <c r="AJ318">
        <v>12</v>
      </c>
      <c r="AK318">
        <v>8</v>
      </c>
      <c r="AL318">
        <v>7</v>
      </c>
      <c r="AM318">
        <v>7</v>
      </c>
      <c r="AN318">
        <v>7</v>
      </c>
      <c r="AO318">
        <v>8</v>
      </c>
      <c r="AP318">
        <v>10</v>
      </c>
      <c r="AQ318">
        <v>6</v>
      </c>
      <c r="AR318">
        <v>4</v>
      </c>
      <c r="AS318">
        <v>7</v>
      </c>
      <c r="AT318">
        <v>8</v>
      </c>
      <c r="AU318">
        <v>12</v>
      </c>
      <c r="AV318">
        <v>10</v>
      </c>
      <c r="AW318">
        <v>13</v>
      </c>
      <c r="AX318">
        <v>9</v>
      </c>
      <c r="AY318">
        <v>15</v>
      </c>
      <c r="AZ318">
        <v>10</v>
      </c>
      <c r="BA318">
        <v>13</v>
      </c>
      <c r="BB318">
        <v>11</v>
      </c>
      <c r="BC318">
        <v>15</v>
      </c>
    </row>
    <row r="319" spans="1:55" x14ac:dyDescent="0.25">
      <c r="A319" t="s">
        <v>3953</v>
      </c>
      <c r="B319" t="s">
        <v>158</v>
      </c>
      <c r="C319" t="s">
        <v>90</v>
      </c>
      <c r="D319">
        <v>308</v>
      </c>
      <c r="E319">
        <v>10.74</v>
      </c>
      <c r="F319">
        <v>24</v>
      </c>
      <c r="G319">
        <v>22</v>
      </c>
      <c r="H319">
        <v>16</v>
      </c>
      <c r="I319">
        <v>14</v>
      </c>
      <c r="J319">
        <v>15</v>
      </c>
      <c r="K319">
        <v>13</v>
      </c>
      <c r="L319">
        <v>8</v>
      </c>
      <c r="M319">
        <v>10</v>
      </c>
      <c r="N319">
        <v>13</v>
      </c>
      <c r="O319">
        <v>10</v>
      </c>
      <c r="P319">
        <v>10</v>
      </c>
      <c r="Q319">
        <v>14</v>
      </c>
      <c r="R319">
        <v>13</v>
      </c>
      <c r="S319">
        <v>9</v>
      </c>
      <c r="T319">
        <v>8</v>
      </c>
      <c r="U319">
        <v>11</v>
      </c>
      <c r="V319">
        <v>9</v>
      </c>
      <c r="W319">
        <v>7</v>
      </c>
      <c r="X319">
        <v>7</v>
      </c>
      <c r="Y319">
        <v>6</v>
      </c>
      <c r="Z319">
        <v>8</v>
      </c>
      <c r="AA319">
        <v>8</v>
      </c>
      <c r="AB319">
        <v>7</v>
      </c>
      <c r="AC319">
        <v>9</v>
      </c>
      <c r="AD319">
        <v>7</v>
      </c>
      <c r="AE319">
        <v>6</v>
      </c>
      <c r="AF319">
        <v>4</v>
      </c>
      <c r="AG319">
        <v>6</v>
      </c>
      <c r="AH319">
        <v>8</v>
      </c>
      <c r="AI319">
        <v>6</v>
      </c>
      <c r="AJ319">
        <v>33</v>
      </c>
      <c r="AK319">
        <v>22</v>
      </c>
      <c r="AL319">
        <v>22</v>
      </c>
      <c r="AM319">
        <v>17</v>
      </c>
      <c r="AN319">
        <v>11</v>
      </c>
      <c r="AO319">
        <v>11</v>
      </c>
      <c r="AP319">
        <v>6</v>
      </c>
      <c r="AQ319">
        <v>9</v>
      </c>
      <c r="AR319">
        <v>8</v>
      </c>
      <c r="AS319">
        <v>8</v>
      </c>
      <c r="AT319">
        <v>9</v>
      </c>
      <c r="AU319">
        <v>7</v>
      </c>
      <c r="AV319">
        <v>7</v>
      </c>
      <c r="AW319">
        <v>8</v>
      </c>
      <c r="AX319">
        <v>9</v>
      </c>
      <c r="AY319">
        <v>8</v>
      </c>
      <c r="AZ319">
        <v>9</v>
      </c>
      <c r="BA319">
        <v>10</v>
      </c>
      <c r="BB319">
        <v>7</v>
      </c>
      <c r="BC319">
        <v>8</v>
      </c>
    </row>
    <row r="320" spans="1:55" x14ac:dyDescent="0.25">
      <c r="A320" t="s">
        <v>3954</v>
      </c>
      <c r="B320" t="s">
        <v>159</v>
      </c>
      <c r="C320" t="s">
        <v>90</v>
      </c>
      <c r="D320">
        <v>231</v>
      </c>
      <c r="E320">
        <v>6.36</v>
      </c>
      <c r="F320">
        <v>20</v>
      </c>
      <c r="G320">
        <v>15</v>
      </c>
      <c r="H320">
        <v>14</v>
      </c>
      <c r="I320">
        <v>10</v>
      </c>
      <c r="J320">
        <v>11</v>
      </c>
      <c r="K320">
        <v>10</v>
      </c>
      <c r="L320">
        <v>9</v>
      </c>
      <c r="M320">
        <v>7</v>
      </c>
      <c r="N320">
        <v>9</v>
      </c>
      <c r="O320">
        <v>7</v>
      </c>
      <c r="P320">
        <v>10</v>
      </c>
      <c r="Q320">
        <v>7</v>
      </c>
      <c r="R320">
        <v>7</v>
      </c>
      <c r="S320">
        <v>6</v>
      </c>
      <c r="T320">
        <v>6</v>
      </c>
      <c r="U320">
        <v>10</v>
      </c>
      <c r="V320">
        <v>5</v>
      </c>
      <c r="W320">
        <v>6</v>
      </c>
      <c r="X320">
        <v>7</v>
      </c>
      <c r="Y320">
        <v>4</v>
      </c>
      <c r="Z320">
        <v>3</v>
      </c>
      <c r="AA320">
        <v>4</v>
      </c>
      <c r="AB320">
        <v>5</v>
      </c>
      <c r="AC320">
        <v>3</v>
      </c>
      <c r="AD320">
        <v>4</v>
      </c>
      <c r="AE320">
        <v>5</v>
      </c>
      <c r="AF320">
        <v>3</v>
      </c>
      <c r="AG320">
        <v>3</v>
      </c>
      <c r="AH320">
        <v>3</v>
      </c>
      <c r="AI320">
        <v>2</v>
      </c>
      <c r="AJ320">
        <v>8</v>
      </c>
      <c r="AK320">
        <v>4</v>
      </c>
      <c r="AL320">
        <v>4</v>
      </c>
      <c r="AM320">
        <v>7</v>
      </c>
      <c r="AN320">
        <v>2</v>
      </c>
      <c r="AO320">
        <v>2</v>
      </c>
      <c r="AP320">
        <v>2</v>
      </c>
      <c r="AQ320">
        <v>8</v>
      </c>
      <c r="AR320">
        <v>6</v>
      </c>
      <c r="AS320">
        <v>2</v>
      </c>
      <c r="AT320">
        <v>6</v>
      </c>
      <c r="AU320">
        <v>11</v>
      </c>
      <c r="AV320">
        <v>5</v>
      </c>
      <c r="AW320">
        <v>5</v>
      </c>
      <c r="AX320">
        <v>4</v>
      </c>
      <c r="AY320">
        <v>4</v>
      </c>
      <c r="AZ320">
        <v>5</v>
      </c>
      <c r="BA320">
        <v>5</v>
      </c>
      <c r="BB320">
        <v>7</v>
      </c>
      <c r="BC320">
        <v>6</v>
      </c>
    </row>
    <row r="321" spans="1:55" x14ac:dyDescent="0.25">
      <c r="A321" t="s">
        <v>3955</v>
      </c>
      <c r="B321" t="s">
        <v>160</v>
      </c>
      <c r="C321" t="s">
        <v>90</v>
      </c>
      <c r="D321">
        <v>723</v>
      </c>
      <c r="E321">
        <v>13.72</v>
      </c>
      <c r="F321">
        <v>28</v>
      </c>
      <c r="G321">
        <v>20</v>
      </c>
      <c r="H321">
        <v>19</v>
      </c>
      <c r="I321">
        <v>14</v>
      </c>
      <c r="J321">
        <v>18</v>
      </c>
      <c r="K321">
        <v>19</v>
      </c>
      <c r="L321">
        <v>13</v>
      </c>
      <c r="M321">
        <v>16</v>
      </c>
      <c r="N321">
        <v>16</v>
      </c>
      <c r="O321">
        <v>16</v>
      </c>
      <c r="P321">
        <v>16</v>
      </c>
      <c r="Q321">
        <v>13</v>
      </c>
      <c r="R321">
        <v>13</v>
      </c>
      <c r="S321">
        <v>14</v>
      </c>
      <c r="T321">
        <v>12</v>
      </c>
      <c r="U321">
        <v>9</v>
      </c>
      <c r="V321">
        <v>12</v>
      </c>
      <c r="W321">
        <v>14</v>
      </c>
      <c r="X321">
        <v>11</v>
      </c>
      <c r="Y321">
        <v>12</v>
      </c>
      <c r="Z321">
        <v>9</v>
      </c>
      <c r="AA321">
        <v>11</v>
      </c>
      <c r="AB321">
        <v>12</v>
      </c>
      <c r="AC321">
        <v>11</v>
      </c>
      <c r="AD321">
        <v>10</v>
      </c>
      <c r="AE321">
        <v>10</v>
      </c>
      <c r="AF321">
        <v>10</v>
      </c>
      <c r="AG321">
        <v>9</v>
      </c>
      <c r="AH321">
        <v>10</v>
      </c>
      <c r="AI321">
        <v>8</v>
      </c>
      <c r="AJ321">
        <v>20</v>
      </c>
      <c r="AK321">
        <v>13</v>
      </c>
      <c r="AL321">
        <v>13</v>
      </c>
      <c r="AM321">
        <v>13</v>
      </c>
      <c r="AN321">
        <v>10</v>
      </c>
      <c r="AO321">
        <v>10</v>
      </c>
      <c r="AP321">
        <v>12</v>
      </c>
      <c r="AQ321">
        <v>14</v>
      </c>
      <c r="AR321">
        <v>13</v>
      </c>
      <c r="AS321">
        <v>15</v>
      </c>
      <c r="AT321">
        <v>16</v>
      </c>
      <c r="AU321">
        <v>15</v>
      </c>
      <c r="AV321">
        <v>15</v>
      </c>
      <c r="AW321">
        <v>16</v>
      </c>
      <c r="AX321">
        <v>12</v>
      </c>
      <c r="AY321">
        <v>14</v>
      </c>
      <c r="AZ321">
        <v>15</v>
      </c>
      <c r="BA321">
        <v>14</v>
      </c>
      <c r="BB321">
        <v>15</v>
      </c>
      <c r="BC321">
        <v>16</v>
      </c>
    </row>
    <row r="322" spans="1:55" x14ac:dyDescent="0.25">
      <c r="A322" t="s">
        <v>3956</v>
      </c>
      <c r="B322" t="s">
        <v>244</v>
      </c>
      <c r="C322" t="s">
        <v>90</v>
      </c>
      <c r="D322">
        <v>838</v>
      </c>
      <c r="E322">
        <v>10.88</v>
      </c>
      <c r="F322">
        <v>27</v>
      </c>
      <c r="G322">
        <v>16</v>
      </c>
      <c r="H322">
        <v>18</v>
      </c>
      <c r="I322">
        <v>12</v>
      </c>
      <c r="J322">
        <v>12</v>
      </c>
      <c r="K322">
        <v>15</v>
      </c>
      <c r="L322">
        <v>12</v>
      </c>
      <c r="M322">
        <v>12</v>
      </c>
      <c r="N322">
        <v>11</v>
      </c>
      <c r="O322">
        <v>13</v>
      </c>
      <c r="P322">
        <v>13</v>
      </c>
      <c r="Q322">
        <v>12</v>
      </c>
      <c r="R322">
        <v>12</v>
      </c>
      <c r="S322">
        <v>12</v>
      </c>
      <c r="T322">
        <v>11</v>
      </c>
      <c r="U322">
        <v>9</v>
      </c>
      <c r="V322">
        <v>9</v>
      </c>
      <c r="W322">
        <v>10</v>
      </c>
      <c r="X322">
        <v>10</v>
      </c>
      <c r="Y322">
        <v>10</v>
      </c>
      <c r="Z322">
        <v>8</v>
      </c>
      <c r="AA322">
        <v>9</v>
      </c>
      <c r="AB322">
        <v>9</v>
      </c>
      <c r="AC322">
        <v>8</v>
      </c>
      <c r="AD322">
        <v>8</v>
      </c>
      <c r="AE322">
        <v>8</v>
      </c>
      <c r="AF322">
        <v>7</v>
      </c>
      <c r="AG322">
        <v>8</v>
      </c>
      <c r="AH322">
        <v>9</v>
      </c>
      <c r="AI322">
        <v>8</v>
      </c>
      <c r="AJ322">
        <v>14</v>
      </c>
      <c r="AK322">
        <v>8</v>
      </c>
      <c r="AL322">
        <v>8</v>
      </c>
      <c r="AM322">
        <v>9</v>
      </c>
      <c r="AN322">
        <v>8</v>
      </c>
      <c r="AO322">
        <v>8</v>
      </c>
      <c r="AP322">
        <v>10</v>
      </c>
      <c r="AQ322">
        <v>12</v>
      </c>
      <c r="AR322">
        <v>12</v>
      </c>
      <c r="AS322">
        <v>11</v>
      </c>
      <c r="AT322">
        <v>11</v>
      </c>
      <c r="AU322">
        <v>12</v>
      </c>
      <c r="AV322">
        <v>11</v>
      </c>
      <c r="AW322">
        <v>11</v>
      </c>
      <c r="AX322">
        <v>11</v>
      </c>
      <c r="AY322">
        <v>11</v>
      </c>
      <c r="AZ322">
        <v>9</v>
      </c>
      <c r="BA322">
        <v>8</v>
      </c>
      <c r="BB322">
        <v>10</v>
      </c>
      <c r="BC322">
        <v>12</v>
      </c>
    </row>
    <row r="323" spans="1:55" x14ac:dyDescent="0.25">
      <c r="A323" t="s">
        <v>3957</v>
      </c>
      <c r="B323" t="s">
        <v>245</v>
      </c>
      <c r="C323" t="s">
        <v>90</v>
      </c>
      <c r="D323">
        <v>180</v>
      </c>
      <c r="E323">
        <v>16.46</v>
      </c>
      <c r="F323">
        <v>30</v>
      </c>
      <c r="G323">
        <v>20</v>
      </c>
      <c r="H323">
        <v>17</v>
      </c>
      <c r="I323">
        <v>17</v>
      </c>
      <c r="J323">
        <v>20</v>
      </c>
      <c r="K323">
        <v>18</v>
      </c>
      <c r="L323">
        <v>16</v>
      </c>
      <c r="M323">
        <v>13</v>
      </c>
      <c r="N323">
        <v>18</v>
      </c>
      <c r="O323">
        <v>15</v>
      </c>
      <c r="P323">
        <v>23</v>
      </c>
      <c r="Q323">
        <v>18</v>
      </c>
      <c r="R323">
        <v>18</v>
      </c>
      <c r="S323">
        <v>16</v>
      </c>
      <c r="T323">
        <v>16</v>
      </c>
      <c r="U323">
        <v>17</v>
      </c>
      <c r="V323">
        <v>16</v>
      </c>
      <c r="W323">
        <v>14</v>
      </c>
      <c r="X323">
        <v>14</v>
      </c>
      <c r="Y323">
        <v>16</v>
      </c>
      <c r="Z323">
        <v>16</v>
      </c>
      <c r="AA323">
        <v>17</v>
      </c>
      <c r="AB323">
        <v>17</v>
      </c>
      <c r="AC323">
        <v>15</v>
      </c>
      <c r="AD323">
        <v>16</v>
      </c>
      <c r="AE323">
        <v>17</v>
      </c>
      <c r="AF323">
        <v>16</v>
      </c>
      <c r="AG323">
        <v>16</v>
      </c>
      <c r="AH323">
        <v>10</v>
      </c>
      <c r="AI323">
        <v>15</v>
      </c>
      <c r="AJ323">
        <v>20</v>
      </c>
      <c r="AK323">
        <v>14</v>
      </c>
      <c r="AL323">
        <v>17</v>
      </c>
      <c r="AM323">
        <v>14</v>
      </c>
      <c r="AN323">
        <v>10</v>
      </c>
      <c r="AO323">
        <v>12</v>
      </c>
      <c r="AP323">
        <v>19</v>
      </c>
      <c r="AQ323">
        <v>19</v>
      </c>
      <c r="AR323">
        <v>16</v>
      </c>
      <c r="AS323">
        <v>18</v>
      </c>
      <c r="AT323">
        <v>18</v>
      </c>
      <c r="AU323">
        <v>22</v>
      </c>
      <c r="AV323">
        <v>18</v>
      </c>
      <c r="AW323">
        <v>13</v>
      </c>
      <c r="AX323">
        <v>14</v>
      </c>
      <c r="AY323">
        <v>18</v>
      </c>
      <c r="AZ323">
        <v>12</v>
      </c>
      <c r="BA323">
        <v>14</v>
      </c>
      <c r="BB323">
        <v>11</v>
      </c>
      <c r="BC323">
        <v>17</v>
      </c>
    </row>
    <row r="324" spans="1:55" x14ac:dyDescent="0.25">
      <c r="A324" t="s">
        <v>3958</v>
      </c>
      <c r="B324" t="s">
        <v>246</v>
      </c>
      <c r="C324" t="s">
        <v>90</v>
      </c>
      <c r="D324">
        <v>314</v>
      </c>
      <c r="E324">
        <v>13.08</v>
      </c>
      <c r="F324">
        <v>29</v>
      </c>
      <c r="G324">
        <v>19</v>
      </c>
      <c r="H324">
        <v>17</v>
      </c>
      <c r="I324">
        <v>16</v>
      </c>
      <c r="J324">
        <v>18</v>
      </c>
      <c r="K324">
        <v>16</v>
      </c>
      <c r="L324">
        <v>12</v>
      </c>
      <c r="M324">
        <v>13</v>
      </c>
      <c r="N324">
        <v>16</v>
      </c>
      <c r="O324">
        <v>17</v>
      </c>
      <c r="P324">
        <v>16</v>
      </c>
      <c r="Q324">
        <v>14</v>
      </c>
      <c r="R324">
        <v>12</v>
      </c>
      <c r="S324">
        <v>12</v>
      </c>
      <c r="T324">
        <v>12</v>
      </c>
      <c r="U324">
        <v>14</v>
      </c>
      <c r="V324">
        <v>11</v>
      </c>
      <c r="W324">
        <v>11</v>
      </c>
      <c r="X324">
        <v>10</v>
      </c>
      <c r="Y324">
        <v>13</v>
      </c>
      <c r="Z324">
        <v>9</v>
      </c>
      <c r="AA324">
        <v>11</v>
      </c>
      <c r="AB324">
        <v>10</v>
      </c>
      <c r="AC324">
        <v>9</v>
      </c>
      <c r="AD324">
        <v>12</v>
      </c>
      <c r="AE324">
        <v>8</v>
      </c>
      <c r="AF324">
        <v>10</v>
      </c>
      <c r="AG324">
        <v>6</v>
      </c>
      <c r="AH324">
        <v>8</v>
      </c>
      <c r="AI324">
        <v>9</v>
      </c>
      <c r="AJ324">
        <v>20</v>
      </c>
      <c r="AK324">
        <v>14</v>
      </c>
      <c r="AL324">
        <v>14</v>
      </c>
      <c r="AM324">
        <v>11</v>
      </c>
      <c r="AN324">
        <v>11</v>
      </c>
      <c r="AO324">
        <v>9</v>
      </c>
      <c r="AP324">
        <v>9</v>
      </c>
      <c r="AQ324">
        <v>12</v>
      </c>
      <c r="AR324">
        <v>11</v>
      </c>
      <c r="AS324">
        <v>18</v>
      </c>
      <c r="AT324">
        <v>15</v>
      </c>
      <c r="AU324">
        <v>15</v>
      </c>
      <c r="AV324">
        <v>11</v>
      </c>
      <c r="AW324">
        <v>15</v>
      </c>
      <c r="AX324">
        <v>12</v>
      </c>
      <c r="AY324">
        <v>14</v>
      </c>
      <c r="AZ324">
        <v>12</v>
      </c>
      <c r="BA324">
        <v>14</v>
      </c>
      <c r="BB324">
        <v>12</v>
      </c>
      <c r="BC324">
        <v>15</v>
      </c>
    </row>
    <row r="325" spans="1:55" x14ac:dyDescent="0.25">
      <c r="A325" t="s">
        <v>3959</v>
      </c>
      <c r="B325" t="s">
        <v>164</v>
      </c>
      <c r="C325" t="s">
        <v>90</v>
      </c>
      <c r="D325">
        <v>61</v>
      </c>
      <c r="E325">
        <v>11.24</v>
      </c>
      <c r="F325">
        <v>26</v>
      </c>
      <c r="G325">
        <v>20</v>
      </c>
      <c r="H325">
        <v>19</v>
      </c>
      <c r="I325">
        <v>11</v>
      </c>
      <c r="J325">
        <v>14</v>
      </c>
      <c r="K325">
        <v>20</v>
      </c>
      <c r="L325">
        <v>18</v>
      </c>
      <c r="M325">
        <v>14</v>
      </c>
      <c r="N325">
        <v>17</v>
      </c>
      <c r="O325">
        <v>13</v>
      </c>
      <c r="P325">
        <v>11</v>
      </c>
      <c r="Q325">
        <v>11</v>
      </c>
      <c r="R325">
        <v>16</v>
      </c>
      <c r="S325">
        <v>15</v>
      </c>
      <c r="T325">
        <v>5</v>
      </c>
      <c r="U325">
        <v>14</v>
      </c>
      <c r="V325">
        <v>4</v>
      </c>
      <c r="W325">
        <v>5</v>
      </c>
      <c r="X325">
        <v>7</v>
      </c>
      <c r="Y325">
        <v>3</v>
      </c>
      <c r="Z325">
        <v>0</v>
      </c>
      <c r="AA325">
        <v>2</v>
      </c>
      <c r="AB325">
        <v>3</v>
      </c>
      <c r="AC325">
        <v>6</v>
      </c>
      <c r="AD325">
        <v>6</v>
      </c>
      <c r="AE325">
        <v>4</v>
      </c>
      <c r="AF325">
        <v>10</v>
      </c>
      <c r="AG325">
        <v>10</v>
      </c>
      <c r="AH325">
        <v>7</v>
      </c>
      <c r="AI325">
        <v>12</v>
      </c>
      <c r="AJ325">
        <v>18</v>
      </c>
      <c r="AK325">
        <v>7</v>
      </c>
      <c r="AL325">
        <v>11</v>
      </c>
      <c r="AM325">
        <v>8</v>
      </c>
      <c r="AN325">
        <v>18</v>
      </c>
      <c r="AO325">
        <v>7</v>
      </c>
      <c r="AP325">
        <v>13</v>
      </c>
      <c r="AQ325">
        <v>13</v>
      </c>
      <c r="AR325">
        <v>11</v>
      </c>
      <c r="AS325">
        <v>15</v>
      </c>
      <c r="AT325">
        <v>15</v>
      </c>
      <c r="AU325">
        <v>12</v>
      </c>
      <c r="AV325">
        <v>12</v>
      </c>
      <c r="AW325">
        <v>5</v>
      </c>
      <c r="AX325">
        <v>13</v>
      </c>
      <c r="AY325">
        <v>11</v>
      </c>
      <c r="AZ325">
        <v>15</v>
      </c>
      <c r="BA325">
        <v>14</v>
      </c>
      <c r="BB325">
        <v>9</v>
      </c>
      <c r="BC325">
        <v>12</v>
      </c>
    </row>
    <row r="326" spans="1:55" x14ac:dyDescent="0.25">
      <c r="A326" t="s">
        <v>3960</v>
      </c>
      <c r="B326" t="s">
        <v>165</v>
      </c>
      <c r="C326" t="s">
        <v>90</v>
      </c>
      <c r="D326">
        <v>269</v>
      </c>
      <c r="E326">
        <v>13.02</v>
      </c>
      <c r="F326">
        <v>30</v>
      </c>
      <c r="G326">
        <v>23</v>
      </c>
      <c r="H326">
        <v>23</v>
      </c>
      <c r="I326">
        <v>12</v>
      </c>
      <c r="J326">
        <v>14</v>
      </c>
      <c r="K326">
        <v>20</v>
      </c>
      <c r="L326">
        <v>15</v>
      </c>
      <c r="M326">
        <v>13</v>
      </c>
      <c r="N326">
        <v>20</v>
      </c>
      <c r="O326">
        <v>12</v>
      </c>
      <c r="P326">
        <v>16</v>
      </c>
      <c r="Q326">
        <v>14</v>
      </c>
      <c r="R326">
        <v>12</v>
      </c>
      <c r="S326">
        <v>11</v>
      </c>
      <c r="T326">
        <v>14</v>
      </c>
      <c r="U326">
        <v>13</v>
      </c>
      <c r="V326">
        <v>12</v>
      </c>
      <c r="W326">
        <v>9</v>
      </c>
      <c r="X326">
        <v>17</v>
      </c>
      <c r="Y326">
        <v>11</v>
      </c>
      <c r="Z326">
        <v>12</v>
      </c>
      <c r="AA326">
        <v>10</v>
      </c>
      <c r="AB326">
        <v>9</v>
      </c>
      <c r="AC326">
        <v>11</v>
      </c>
      <c r="AD326">
        <v>9</v>
      </c>
      <c r="AE326">
        <v>9</v>
      </c>
      <c r="AF326">
        <v>9</v>
      </c>
      <c r="AG326">
        <v>12</v>
      </c>
      <c r="AH326">
        <v>7</v>
      </c>
      <c r="AI326">
        <v>7</v>
      </c>
      <c r="AJ326">
        <v>15</v>
      </c>
      <c r="AK326">
        <v>11</v>
      </c>
      <c r="AL326">
        <v>9</v>
      </c>
      <c r="AM326">
        <v>6</v>
      </c>
      <c r="AN326">
        <v>8</v>
      </c>
      <c r="AO326">
        <v>7</v>
      </c>
      <c r="AP326">
        <v>8</v>
      </c>
      <c r="AQ326">
        <v>14</v>
      </c>
      <c r="AR326">
        <v>12</v>
      </c>
      <c r="AS326">
        <v>14</v>
      </c>
      <c r="AT326">
        <v>14</v>
      </c>
      <c r="AU326">
        <v>16</v>
      </c>
      <c r="AV326">
        <v>13</v>
      </c>
      <c r="AW326">
        <v>12</v>
      </c>
      <c r="AX326">
        <v>12</v>
      </c>
      <c r="AY326">
        <v>11</v>
      </c>
      <c r="AZ326">
        <v>15</v>
      </c>
      <c r="BA326">
        <v>15</v>
      </c>
      <c r="BB326">
        <v>17</v>
      </c>
      <c r="BC326">
        <v>16</v>
      </c>
    </row>
    <row r="327" spans="1:55" x14ac:dyDescent="0.25">
      <c r="A327" t="s">
        <v>3961</v>
      </c>
      <c r="B327" t="s">
        <v>166</v>
      </c>
      <c r="C327" t="s">
        <v>90</v>
      </c>
      <c r="D327">
        <v>135</v>
      </c>
      <c r="E327">
        <v>17.7</v>
      </c>
      <c r="F327">
        <v>27</v>
      </c>
      <c r="G327">
        <v>25</v>
      </c>
      <c r="H327">
        <v>16</v>
      </c>
      <c r="I327">
        <v>24</v>
      </c>
      <c r="J327">
        <v>23</v>
      </c>
      <c r="K327">
        <v>20</v>
      </c>
      <c r="L327">
        <v>24</v>
      </c>
      <c r="M327">
        <v>23</v>
      </c>
      <c r="N327">
        <v>19</v>
      </c>
      <c r="O327">
        <v>18</v>
      </c>
      <c r="P327">
        <v>22</v>
      </c>
      <c r="Q327">
        <v>16</v>
      </c>
      <c r="R327">
        <v>23</v>
      </c>
      <c r="S327">
        <v>13</v>
      </c>
      <c r="T327">
        <v>19</v>
      </c>
      <c r="U327">
        <v>23</v>
      </c>
      <c r="V327">
        <v>18</v>
      </c>
      <c r="W327">
        <v>16</v>
      </c>
      <c r="X327">
        <v>16</v>
      </c>
      <c r="Y327">
        <v>8</v>
      </c>
      <c r="Z327">
        <v>17</v>
      </c>
      <c r="AA327">
        <v>15</v>
      </c>
      <c r="AB327">
        <v>9</v>
      </c>
      <c r="AC327">
        <v>13</v>
      </c>
      <c r="AD327">
        <v>14</v>
      </c>
      <c r="AE327">
        <v>9</v>
      </c>
      <c r="AF327">
        <v>11</v>
      </c>
      <c r="AG327">
        <v>18</v>
      </c>
      <c r="AH327">
        <v>16</v>
      </c>
      <c r="AI327">
        <v>12</v>
      </c>
      <c r="AJ327">
        <v>24</v>
      </c>
      <c r="AK327">
        <v>19</v>
      </c>
      <c r="AL327">
        <v>20</v>
      </c>
      <c r="AM327">
        <v>14</v>
      </c>
      <c r="AN327">
        <v>18</v>
      </c>
      <c r="AO327">
        <v>18</v>
      </c>
      <c r="AP327">
        <v>16</v>
      </c>
      <c r="AQ327">
        <v>19</v>
      </c>
      <c r="AR327">
        <v>14</v>
      </c>
      <c r="AS327">
        <v>15</v>
      </c>
      <c r="AT327">
        <v>21</v>
      </c>
      <c r="AU327">
        <v>22</v>
      </c>
      <c r="AV327">
        <v>18</v>
      </c>
      <c r="AW327">
        <v>18</v>
      </c>
      <c r="AX327">
        <v>17</v>
      </c>
      <c r="AY327">
        <v>16</v>
      </c>
      <c r="AZ327">
        <v>17</v>
      </c>
      <c r="BA327">
        <v>18</v>
      </c>
      <c r="BB327">
        <v>16</v>
      </c>
      <c r="BC327">
        <v>18</v>
      </c>
    </row>
    <row r="328" spans="1:55" x14ac:dyDescent="0.25">
      <c r="A328" t="s">
        <v>3962</v>
      </c>
      <c r="B328" t="s">
        <v>167</v>
      </c>
      <c r="C328" t="s">
        <v>90</v>
      </c>
      <c r="D328">
        <v>285</v>
      </c>
      <c r="E328">
        <v>21.5</v>
      </c>
      <c r="F328">
        <v>24</v>
      </c>
      <c r="G328">
        <v>20</v>
      </c>
      <c r="H328">
        <v>26</v>
      </c>
      <c r="I328">
        <v>19</v>
      </c>
      <c r="J328">
        <v>20</v>
      </c>
      <c r="K328">
        <v>23</v>
      </c>
      <c r="L328">
        <v>20</v>
      </c>
      <c r="M328">
        <v>28</v>
      </c>
      <c r="N328">
        <v>20</v>
      </c>
      <c r="O328">
        <v>25</v>
      </c>
      <c r="P328">
        <v>23</v>
      </c>
      <c r="Q328">
        <v>24</v>
      </c>
      <c r="R328">
        <v>17</v>
      </c>
      <c r="S328">
        <v>22</v>
      </c>
      <c r="T328">
        <v>23</v>
      </c>
      <c r="U328">
        <v>19</v>
      </c>
      <c r="V328">
        <v>22</v>
      </c>
      <c r="W328">
        <v>19</v>
      </c>
      <c r="X328">
        <v>16</v>
      </c>
      <c r="Y328">
        <v>21</v>
      </c>
      <c r="Z328">
        <v>22</v>
      </c>
      <c r="AA328">
        <v>18</v>
      </c>
      <c r="AB328">
        <v>20</v>
      </c>
      <c r="AC328">
        <v>20</v>
      </c>
      <c r="AD328">
        <v>22</v>
      </c>
      <c r="AE328">
        <v>20</v>
      </c>
      <c r="AF328">
        <v>20</v>
      </c>
      <c r="AG328">
        <v>21</v>
      </c>
      <c r="AH328">
        <v>23</v>
      </c>
      <c r="AI328">
        <v>21</v>
      </c>
      <c r="AJ328">
        <v>28</v>
      </c>
      <c r="AK328">
        <v>17</v>
      </c>
      <c r="AL328">
        <v>21</v>
      </c>
      <c r="AM328">
        <v>18</v>
      </c>
      <c r="AN328">
        <v>15</v>
      </c>
      <c r="AO328">
        <v>15</v>
      </c>
      <c r="AP328">
        <v>15</v>
      </c>
      <c r="AQ328">
        <v>25</v>
      </c>
      <c r="AR328">
        <v>19</v>
      </c>
      <c r="AS328">
        <v>22</v>
      </c>
      <c r="AT328">
        <v>23</v>
      </c>
      <c r="AU328">
        <v>30</v>
      </c>
      <c r="AV328">
        <v>18</v>
      </c>
      <c r="AW328">
        <v>22</v>
      </c>
      <c r="AX328">
        <v>23</v>
      </c>
      <c r="AY328">
        <v>23</v>
      </c>
      <c r="AZ328">
        <v>23</v>
      </c>
      <c r="BA328">
        <v>25</v>
      </c>
      <c r="BB328">
        <v>23</v>
      </c>
      <c r="BC328">
        <v>32</v>
      </c>
    </row>
    <row r="329" spans="1:55" x14ac:dyDescent="0.25">
      <c r="A329" t="s">
        <v>3963</v>
      </c>
      <c r="B329" t="s">
        <v>247</v>
      </c>
      <c r="C329" t="s">
        <v>90</v>
      </c>
      <c r="D329">
        <v>240</v>
      </c>
      <c r="E329">
        <v>13.88</v>
      </c>
      <c r="F329">
        <v>24</v>
      </c>
      <c r="G329">
        <v>23</v>
      </c>
      <c r="H329">
        <v>18</v>
      </c>
      <c r="I329">
        <v>20</v>
      </c>
      <c r="J329">
        <v>15</v>
      </c>
      <c r="K329">
        <v>18</v>
      </c>
      <c r="L329">
        <v>18</v>
      </c>
      <c r="M329">
        <v>19</v>
      </c>
      <c r="N329">
        <v>9</v>
      </c>
      <c r="O329">
        <v>13</v>
      </c>
      <c r="P329">
        <v>20</v>
      </c>
      <c r="Q329">
        <v>16</v>
      </c>
      <c r="R329">
        <v>14</v>
      </c>
      <c r="S329">
        <v>16</v>
      </c>
      <c r="T329">
        <v>17</v>
      </c>
      <c r="U329">
        <v>13</v>
      </c>
      <c r="V329">
        <v>16</v>
      </c>
      <c r="W329">
        <v>12</v>
      </c>
      <c r="X329">
        <v>10</v>
      </c>
      <c r="Y329">
        <v>19</v>
      </c>
      <c r="Z329">
        <v>15</v>
      </c>
      <c r="AA329">
        <v>12</v>
      </c>
      <c r="AB329">
        <v>14</v>
      </c>
      <c r="AC329">
        <v>10</v>
      </c>
      <c r="AD329">
        <v>9</v>
      </c>
      <c r="AE329">
        <v>8</v>
      </c>
      <c r="AF329">
        <v>9</v>
      </c>
      <c r="AG329">
        <v>7</v>
      </c>
      <c r="AH329">
        <v>8</v>
      </c>
      <c r="AI329">
        <v>11</v>
      </c>
      <c r="AJ329">
        <v>28</v>
      </c>
      <c r="AK329">
        <v>16</v>
      </c>
      <c r="AL329">
        <v>23</v>
      </c>
      <c r="AM329">
        <v>13</v>
      </c>
      <c r="AN329">
        <v>15</v>
      </c>
      <c r="AO329">
        <v>12</v>
      </c>
      <c r="AP329">
        <v>7</v>
      </c>
      <c r="AQ329">
        <v>10</v>
      </c>
      <c r="AR329">
        <v>8</v>
      </c>
      <c r="AS329">
        <v>9</v>
      </c>
      <c r="AT329">
        <v>9</v>
      </c>
      <c r="AU329">
        <v>12</v>
      </c>
      <c r="AV329">
        <v>10</v>
      </c>
      <c r="AW329">
        <v>10</v>
      </c>
      <c r="AX329">
        <v>14</v>
      </c>
      <c r="AY329">
        <v>15</v>
      </c>
      <c r="AZ329">
        <v>10</v>
      </c>
      <c r="BA329">
        <v>15</v>
      </c>
      <c r="BB329">
        <v>11</v>
      </c>
      <c r="BC329">
        <v>14</v>
      </c>
    </row>
    <row r="330" spans="1:55" x14ac:dyDescent="0.25">
      <c r="A330" t="s">
        <v>3964</v>
      </c>
      <c r="B330" t="s">
        <v>169</v>
      </c>
      <c r="C330" t="s">
        <v>90</v>
      </c>
      <c r="D330">
        <v>146</v>
      </c>
      <c r="E330">
        <v>14.5</v>
      </c>
      <c r="F330">
        <v>28</v>
      </c>
      <c r="G330">
        <v>24</v>
      </c>
      <c r="H330">
        <v>24</v>
      </c>
      <c r="I330">
        <v>20</v>
      </c>
      <c r="J330">
        <v>15</v>
      </c>
      <c r="K330">
        <v>19</v>
      </c>
      <c r="L330">
        <v>17</v>
      </c>
      <c r="M330">
        <v>21</v>
      </c>
      <c r="N330">
        <v>16</v>
      </c>
      <c r="O330">
        <v>15</v>
      </c>
      <c r="P330">
        <v>14</v>
      </c>
      <c r="Q330">
        <v>17</v>
      </c>
      <c r="R330">
        <v>15</v>
      </c>
      <c r="S330">
        <v>13</v>
      </c>
      <c r="T330">
        <v>17</v>
      </c>
      <c r="U330">
        <v>15</v>
      </c>
      <c r="V330">
        <v>15</v>
      </c>
      <c r="W330">
        <v>20</v>
      </c>
      <c r="X330">
        <v>16</v>
      </c>
      <c r="Y330">
        <v>17</v>
      </c>
      <c r="Z330">
        <v>16</v>
      </c>
      <c r="AA330">
        <v>14</v>
      </c>
      <c r="AB330">
        <v>15</v>
      </c>
      <c r="AC330">
        <v>14</v>
      </c>
      <c r="AD330">
        <v>13</v>
      </c>
      <c r="AE330">
        <v>13</v>
      </c>
      <c r="AF330">
        <v>9</v>
      </c>
      <c r="AG330">
        <v>17</v>
      </c>
      <c r="AH330">
        <v>14</v>
      </c>
      <c r="AI330">
        <v>10</v>
      </c>
      <c r="AJ330">
        <v>17</v>
      </c>
      <c r="AK330">
        <v>15</v>
      </c>
      <c r="AL330">
        <v>12</v>
      </c>
      <c r="AM330">
        <v>10</v>
      </c>
      <c r="AN330">
        <v>12</v>
      </c>
      <c r="AO330">
        <v>5</v>
      </c>
      <c r="AP330">
        <v>6</v>
      </c>
      <c r="AQ330">
        <v>14</v>
      </c>
      <c r="AR330">
        <v>11</v>
      </c>
      <c r="AS330">
        <v>12</v>
      </c>
      <c r="AT330">
        <v>12</v>
      </c>
      <c r="AU330">
        <v>11</v>
      </c>
      <c r="AV330">
        <v>14</v>
      </c>
      <c r="AW330">
        <v>9</v>
      </c>
      <c r="AX330">
        <v>13</v>
      </c>
      <c r="AY330">
        <v>12</v>
      </c>
      <c r="AZ330">
        <v>10</v>
      </c>
      <c r="BA330">
        <v>11</v>
      </c>
      <c r="BB330">
        <v>12</v>
      </c>
      <c r="BC330">
        <v>14</v>
      </c>
    </row>
    <row r="331" spans="1:55" x14ac:dyDescent="0.25">
      <c r="A331" t="s">
        <v>3965</v>
      </c>
      <c r="B331" t="s">
        <v>170</v>
      </c>
      <c r="C331" t="s">
        <v>90</v>
      </c>
      <c r="D331">
        <v>1097</v>
      </c>
      <c r="E331">
        <v>12.68</v>
      </c>
      <c r="F331">
        <v>22</v>
      </c>
      <c r="G331">
        <v>21</v>
      </c>
      <c r="H331">
        <v>18</v>
      </c>
      <c r="I331">
        <v>16</v>
      </c>
      <c r="J331">
        <v>15</v>
      </c>
      <c r="K331">
        <v>16</v>
      </c>
      <c r="L331">
        <v>15</v>
      </c>
      <c r="M331">
        <v>17</v>
      </c>
      <c r="N331">
        <v>16</v>
      </c>
      <c r="O331">
        <v>15</v>
      </c>
      <c r="P331">
        <v>15</v>
      </c>
      <c r="Q331">
        <v>14</v>
      </c>
      <c r="R331">
        <v>13</v>
      </c>
      <c r="S331">
        <v>15</v>
      </c>
      <c r="T331">
        <v>14</v>
      </c>
      <c r="U331">
        <v>11</v>
      </c>
      <c r="V331">
        <v>12</v>
      </c>
      <c r="W331">
        <v>13</v>
      </c>
      <c r="X331">
        <v>12</v>
      </c>
      <c r="Y331">
        <v>11</v>
      </c>
      <c r="Z331">
        <v>12</v>
      </c>
      <c r="AA331">
        <v>11</v>
      </c>
      <c r="AB331">
        <v>12</v>
      </c>
      <c r="AC331">
        <v>9</v>
      </c>
      <c r="AD331">
        <v>10</v>
      </c>
      <c r="AE331">
        <v>10</v>
      </c>
      <c r="AF331">
        <v>11</v>
      </c>
      <c r="AG331">
        <v>10</v>
      </c>
      <c r="AH331">
        <v>11</v>
      </c>
      <c r="AI331">
        <v>10</v>
      </c>
      <c r="AJ331">
        <v>21</v>
      </c>
      <c r="AK331">
        <v>12</v>
      </c>
      <c r="AL331">
        <v>12</v>
      </c>
      <c r="AM331">
        <v>10</v>
      </c>
      <c r="AN331">
        <v>10</v>
      </c>
      <c r="AO331">
        <v>8</v>
      </c>
      <c r="AP331">
        <v>8</v>
      </c>
      <c r="AQ331">
        <v>10</v>
      </c>
      <c r="AR331">
        <v>10</v>
      </c>
      <c r="AS331">
        <v>13</v>
      </c>
      <c r="AT331">
        <v>13</v>
      </c>
      <c r="AU331">
        <v>11</v>
      </c>
      <c r="AV331">
        <v>11</v>
      </c>
      <c r="AW331">
        <v>11</v>
      </c>
      <c r="AX331">
        <v>12</v>
      </c>
      <c r="AY331">
        <v>12</v>
      </c>
      <c r="AZ331">
        <v>11</v>
      </c>
      <c r="BA331">
        <v>11</v>
      </c>
      <c r="BB331">
        <v>10</v>
      </c>
      <c r="BC331">
        <v>11</v>
      </c>
    </row>
    <row r="332" spans="1:55" x14ac:dyDescent="0.25">
      <c r="A332" t="s">
        <v>3966</v>
      </c>
      <c r="B332" t="s">
        <v>45</v>
      </c>
      <c r="C332" t="s">
        <v>86</v>
      </c>
      <c r="D332">
        <v>22933</v>
      </c>
      <c r="E332">
        <v>47.48</v>
      </c>
      <c r="F332">
        <v>65</v>
      </c>
      <c r="G332">
        <v>47</v>
      </c>
      <c r="H332">
        <v>40</v>
      </c>
      <c r="I332">
        <v>35</v>
      </c>
      <c r="J332">
        <v>46</v>
      </c>
      <c r="K332">
        <v>46</v>
      </c>
      <c r="L332">
        <v>44</v>
      </c>
      <c r="M332">
        <v>51</v>
      </c>
      <c r="N332">
        <v>51</v>
      </c>
      <c r="O332">
        <v>50</v>
      </c>
      <c r="P332">
        <v>48</v>
      </c>
      <c r="Q332">
        <v>45</v>
      </c>
      <c r="R332">
        <v>43</v>
      </c>
      <c r="S332">
        <v>48</v>
      </c>
      <c r="T332">
        <v>48</v>
      </c>
      <c r="U332">
        <v>44</v>
      </c>
      <c r="V332">
        <v>45</v>
      </c>
      <c r="W332">
        <v>45</v>
      </c>
      <c r="X332">
        <v>45</v>
      </c>
      <c r="Y332">
        <v>43</v>
      </c>
      <c r="Z332">
        <v>40</v>
      </c>
      <c r="AA332">
        <v>38</v>
      </c>
      <c r="AB332">
        <v>37</v>
      </c>
      <c r="AC332">
        <v>33</v>
      </c>
      <c r="AD332">
        <v>34</v>
      </c>
      <c r="AE332">
        <v>34</v>
      </c>
      <c r="AF332">
        <v>38</v>
      </c>
      <c r="AG332">
        <v>42</v>
      </c>
      <c r="AH332">
        <v>46</v>
      </c>
      <c r="AI332">
        <v>45</v>
      </c>
      <c r="AJ332">
        <v>68</v>
      </c>
      <c r="AK332">
        <v>60</v>
      </c>
      <c r="AL332">
        <v>57</v>
      </c>
      <c r="AM332">
        <v>48</v>
      </c>
      <c r="AN332">
        <v>36</v>
      </c>
      <c r="AO332">
        <v>37</v>
      </c>
      <c r="AP332">
        <v>41</v>
      </c>
      <c r="AQ332">
        <v>52</v>
      </c>
      <c r="AR332">
        <v>48</v>
      </c>
      <c r="AS332">
        <v>46</v>
      </c>
      <c r="AT332">
        <v>53</v>
      </c>
      <c r="AU332">
        <v>55</v>
      </c>
      <c r="AV332">
        <v>55</v>
      </c>
      <c r="AW332">
        <v>59</v>
      </c>
      <c r="AX332">
        <v>59</v>
      </c>
      <c r="AY332">
        <v>57</v>
      </c>
      <c r="AZ332">
        <v>58</v>
      </c>
      <c r="BA332">
        <v>59</v>
      </c>
      <c r="BB332">
        <v>56</v>
      </c>
      <c r="BC332">
        <v>54</v>
      </c>
    </row>
    <row r="333" spans="1:55" x14ac:dyDescent="0.25">
      <c r="A333" t="s">
        <v>3967</v>
      </c>
      <c r="B333" t="s">
        <v>110</v>
      </c>
      <c r="C333" t="s">
        <v>86</v>
      </c>
      <c r="D333">
        <v>5680</v>
      </c>
      <c r="E333">
        <v>52.18</v>
      </c>
      <c r="F333">
        <v>67</v>
      </c>
      <c r="G333">
        <v>48</v>
      </c>
      <c r="H333">
        <v>38</v>
      </c>
      <c r="I333">
        <v>32</v>
      </c>
      <c r="J333">
        <v>46</v>
      </c>
      <c r="K333">
        <v>49</v>
      </c>
      <c r="L333">
        <v>47</v>
      </c>
      <c r="M333">
        <v>58</v>
      </c>
      <c r="N333">
        <v>58</v>
      </c>
      <c r="O333">
        <v>56</v>
      </c>
      <c r="P333">
        <v>53</v>
      </c>
      <c r="Q333">
        <v>49</v>
      </c>
      <c r="R333">
        <v>43</v>
      </c>
      <c r="S333">
        <v>53</v>
      </c>
      <c r="T333">
        <v>52</v>
      </c>
      <c r="U333">
        <v>48</v>
      </c>
      <c r="V333">
        <v>50</v>
      </c>
      <c r="W333">
        <v>48</v>
      </c>
      <c r="X333">
        <v>50</v>
      </c>
      <c r="Y333">
        <v>49</v>
      </c>
      <c r="Z333">
        <v>44</v>
      </c>
      <c r="AA333">
        <v>41</v>
      </c>
      <c r="AB333">
        <v>39</v>
      </c>
      <c r="AC333">
        <v>34</v>
      </c>
      <c r="AD333">
        <v>34</v>
      </c>
      <c r="AE333">
        <v>37</v>
      </c>
      <c r="AF333">
        <v>44</v>
      </c>
      <c r="AG333">
        <v>49</v>
      </c>
      <c r="AH333">
        <v>57</v>
      </c>
      <c r="AI333">
        <v>57</v>
      </c>
      <c r="AJ333">
        <v>74</v>
      </c>
      <c r="AK333">
        <v>68</v>
      </c>
      <c r="AL333">
        <v>61</v>
      </c>
      <c r="AM333">
        <v>49</v>
      </c>
      <c r="AN333">
        <v>36</v>
      </c>
      <c r="AO333">
        <v>35</v>
      </c>
      <c r="AP333">
        <v>40</v>
      </c>
      <c r="AQ333">
        <v>56</v>
      </c>
      <c r="AR333">
        <v>51</v>
      </c>
      <c r="AS333">
        <v>50</v>
      </c>
      <c r="AT333">
        <v>64</v>
      </c>
      <c r="AU333">
        <v>65</v>
      </c>
      <c r="AV333">
        <v>66</v>
      </c>
      <c r="AW333">
        <v>71</v>
      </c>
      <c r="AX333">
        <v>70</v>
      </c>
      <c r="AY333">
        <v>65</v>
      </c>
      <c r="AZ333">
        <v>68</v>
      </c>
      <c r="BA333">
        <v>67</v>
      </c>
      <c r="BB333">
        <v>62</v>
      </c>
      <c r="BC333">
        <v>61</v>
      </c>
    </row>
    <row r="334" spans="1:55" x14ac:dyDescent="0.25">
      <c r="A334" t="s">
        <v>3968</v>
      </c>
      <c r="B334" t="s">
        <v>111</v>
      </c>
      <c r="C334" t="s">
        <v>86</v>
      </c>
      <c r="D334">
        <v>64</v>
      </c>
      <c r="E334">
        <v>52.28</v>
      </c>
      <c r="F334">
        <v>79</v>
      </c>
      <c r="G334">
        <v>61</v>
      </c>
      <c r="H334">
        <v>50</v>
      </c>
      <c r="I334">
        <v>41</v>
      </c>
      <c r="J334">
        <v>51</v>
      </c>
      <c r="K334">
        <v>53</v>
      </c>
      <c r="L334">
        <v>38</v>
      </c>
      <c r="M334">
        <v>57</v>
      </c>
      <c r="N334">
        <v>54</v>
      </c>
      <c r="O334">
        <v>51</v>
      </c>
      <c r="P334">
        <v>47</v>
      </c>
      <c r="Q334">
        <v>44</v>
      </c>
      <c r="R334">
        <v>44</v>
      </c>
      <c r="S334">
        <v>58</v>
      </c>
      <c r="T334">
        <v>55</v>
      </c>
      <c r="U334">
        <v>52</v>
      </c>
      <c r="V334">
        <v>51</v>
      </c>
      <c r="W334">
        <v>53</v>
      </c>
      <c r="X334">
        <v>51</v>
      </c>
      <c r="Y334">
        <v>44</v>
      </c>
      <c r="Z334">
        <v>44</v>
      </c>
      <c r="AA334">
        <v>28</v>
      </c>
      <c r="AB334">
        <v>36</v>
      </c>
      <c r="AC334">
        <v>30</v>
      </c>
      <c r="AD334">
        <v>26</v>
      </c>
      <c r="AE334">
        <v>25</v>
      </c>
      <c r="AF334">
        <v>31</v>
      </c>
      <c r="AG334">
        <v>33</v>
      </c>
      <c r="AH334">
        <v>48</v>
      </c>
      <c r="AI334">
        <v>37</v>
      </c>
      <c r="AJ334">
        <v>40</v>
      </c>
      <c r="AK334">
        <v>62</v>
      </c>
      <c r="AL334">
        <v>55</v>
      </c>
      <c r="AM334">
        <v>41</v>
      </c>
      <c r="AN334">
        <v>29</v>
      </c>
      <c r="AO334">
        <v>31</v>
      </c>
      <c r="AP334">
        <v>41</v>
      </c>
      <c r="AQ334">
        <v>67</v>
      </c>
      <c r="AR334">
        <v>62</v>
      </c>
      <c r="AS334">
        <v>65</v>
      </c>
      <c r="AT334">
        <v>69</v>
      </c>
      <c r="AU334">
        <v>82</v>
      </c>
      <c r="AV334">
        <v>70</v>
      </c>
      <c r="AW334">
        <v>83</v>
      </c>
      <c r="AX334">
        <v>81</v>
      </c>
      <c r="AY334">
        <v>76</v>
      </c>
      <c r="AZ334">
        <v>76</v>
      </c>
      <c r="BA334">
        <v>74</v>
      </c>
      <c r="BB334">
        <v>68</v>
      </c>
      <c r="BC334">
        <v>70</v>
      </c>
    </row>
    <row r="335" spans="1:55" x14ac:dyDescent="0.25">
      <c r="A335" t="s">
        <v>3969</v>
      </c>
      <c r="B335" t="s">
        <v>112</v>
      </c>
      <c r="C335" t="s">
        <v>86</v>
      </c>
      <c r="D335">
        <v>221</v>
      </c>
      <c r="E335">
        <v>40.4</v>
      </c>
      <c r="F335">
        <v>55</v>
      </c>
      <c r="G335">
        <v>42</v>
      </c>
      <c r="H335">
        <v>34</v>
      </c>
      <c r="I335">
        <v>27</v>
      </c>
      <c r="J335">
        <v>37</v>
      </c>
      <c r="K335">
        <v>38</v>
      </c>
      <c r="L335">
        <v>36</v>
      </c>
      <c r="M335">
        <v>39</v>
      </c>
      <c r="N335">
        <v>38</v>
      </c>
      <c r="O335">
        <v>38</v>
      </c>
      <c r="P335">
        <v>36</v>
      </c>
      <c r="Q335">
        <v>36</v>
      </c>
      <c r="R335">
        <v>35</v>
      </c>
      <c r="S335">
        <v>37</v>
      </c>
      <c r="T335">
        <v>38</v>
      </c>
      <c r="U335">
        <v>38</v>
      </c>
      <c r="V335">
        <v>36</v>
      </c>
      <c r="W335">
        <v>34</v>
      </c>
      <c r="X335">
        <v>41</v>
      </c>
      <c r="Y335">
        <v>38</v>
      </c>
      <c r="Z335">
        <v>34</v>
      </c>
      <c r="AA335">
        <v>37</v>
      </c>
      <c r="AB335">
        <v>31</v>
      </c>
      <c r="AC335">
        <v>30</v>
      </c>
      <c r="AD335">
        <v>27</v>
      </c>
      <c r="AE335">
        <v>34</v>
      </c>
      <c r="AF335">
        <v>35</v>
      </c>
      <c r="AG335">
        <v>36</v>
      </c>
      <c r="AH335">
        <v>40</v>
      </c>
      <c r="AI335">
        <v>34</v>
      </c>
      <c r="AJ335">
        <v>55</v>
      </c>
      <c r="AK335">
        <v>46</v>
      </c>
      <c r="AL335">
        <v>47</v>
      </c>
      <c r="AM335">
        <v>50</v>
      </c>
      <c r="AN335">
        <v>34</v>
      </c>
      <c r="AO335">
        <v>36</v>
      </c>
      <c r="AP335">
        <v>34</v>
      </c>
      <c r="AQ335">
        <v>53</v>
      </c>
      <c r="AR335">
        <v>47</v>
      </c>
      <c r="AS335">
        <v>44</v>
      </c>
      <c r="AT335">
        <v>50</v>
      </c>
      <c r="AU335">
        <v>44</v>
      </c>
      <c r="AV335">
        <v>45</v>
      </c>
      <c r="AW335">
        <v>49</v>
      </c>
      <c r="AX335">
        <v>46</v>
      </c>
      <c r="AY335">
        <v>48</v>
      </c>
      <c r="AZ335">
        <v>51</v>
      </c>
      <c r="BA335">
        <v>48</v>
      </c>
      <c r="BB335">
        <v>46</v>
      </c>
      <c r="BC335">
        <v>56</v>
      </c>
    </row>
    <row r="336" spans="1:55" x14ac:dyDescent="0.25">
      <c r="A336" t="s">
        <v>3970</v>
      </c>
      <c r="B336" t="s">
        <v>113</v>
      </c>
      <c r="C336" t="s">
        <v>86</v>
      </c>
      <c r="D336">
        <v>106</v>
      </c>
      <c r="E336">
        <v>67.099999999999994</v>
      </c>
      <c r="F336">
        <v>82</v>
      </c>
      <c r="G336">
        <v>67</v>
      </c>
      <c r="H336">
        <v>67</v>
      </c>
      <c r="I336">
        <v>67</v>
      </c>
      <c r="J336">
        <v>64</v>
      </c>
      <c r="K336">
        <v>62</v>
      </c>
      <c r="L336">
        <v>64</v>
      </c>
      <c r="M336">
        <v>63</v>
      </c>
      <c r="N336">
        <v>68</v>
      </c>
      <c r="O336">
        <v>62</v>
      </c>
      <c r="P336">
        <v>69</v>
      </c>
      <c r="Q336">
        <v>71</v>
      </c>
      <c r="R336">
        <v>60</v>
      </c>
      <c r="S336">
        <v>66</v>
      </c>
      <c r="T336">
        <v>56</v>
      </c>
      <c r="U336">
        <v>67</v>
      </c>
      <c r="V336">
        <v>62</v>
      </c>
      <c r="W336">
        <v>59</v>
      </c>
      <c r="X336">
        <v>64</v>
      </c>
      <c r="Y336">
        <v>60</v>
      </c>
      <c r="Z336">
        <v>59</v>
      </c>
      <c r="AA336">
        <v>63</v>
      </c>
      <c r="AB336">
        <v>57</v>
      </c>
      <c r="AC336">
        <v>58</v>
      </c>
      <c r="AD336">
        <v>63</v>
      </c>
      <c r="AE336">
        <v>50</v>
      </c>
      <c r="AF336">
        <v>52</v>
      </c>
      <c r="AG336">
        <v>55</v>
      </c>
      <c r="AH336">
        <v>50</v>
      </c>
      <c r="AI336">
        <v>58</v>
      </c>
      <c r="AJ336">
        <v>84</v>
      </c>
      <c r="AK336">
        <v>78</v>
      </c>
      <c r="AL336">
        <v>83</v>
      </c>
      <c r="AM336">
        <v>75</v>
      </c>
      <c r="AN336">
        <v>54</v>
      </c>
      <c r="AO336">
        <v>68</v>
      </c>
      <c r="AP336">
        <v>62</v>
      </c>
      <c r="AQ336">
        <v>71</v>
      </c>
      <c r="AR336">
        <v>72</v>
      </c>
      <c r="AS336">
        <v>58</v>
      </c>
      <c r="AT336">
        <v>79</v>
      </c>
      <c r="AU336">
        <v>81</v>
      </c>
      <c r="AV336">
        <v>75</v>
      </c>
      <c r="AW336">
        <v>79</v>
      </c>
      <c r="AX336">
        <v>73</v>
      </c>
      <c r="AY336">
        <v>80</v>
      </c>
      <c r="AZ336">
        <v>82</v>
      </c>
      <c r="BA336">
        <v>82</v>
      </c>
      <c r="BB336">
        <v>80</v>
      </c>
      <c r="BC336">
        <v>74</v>
      </c>
    </row>
    <row r="337" spans="1:55" x14ac:dyDescent="0.25">
      <c r="A337" t="s">
        <v>3971</v>
      </c>
      <c r="B337" t="s">
        <v>114</v>
      </c>
      <c r="C337" t="s">
        <v>86</v>
      </c>
      <c r="D337">
        <v>222</v>
      </c>
      <c r="E337">
        <v>57.48</v>
      </c>
      <c r="F337">
        <v>71</v>
      </c>
      <c r="G337">
        <v>50</v>
      </c>
      <c r="H337">
        <v>39</v>
      </c>
      <c r="I337">
        <v>37</v>
      </c>
      <c r="J337">
        <v>54</v>
      </c>
      <c r="K337">
        <v>58</v>
      </c>
      <c r="L337">
        <v>53</v>
      </c>
      <c r="M337">
        <v>57</v>
      </c>
      <c r="N337">
        <v>59</v>
      </c>
      <c r="O337">
        <v>58</v>
      </c>
      <c r="P337">
        <v>52</v>
      </c>
      <c r="Q337">
        <v>53</v>
      </c>
      <c r="R337">
        <v>42</v>
      </c>
      <c r="S337">
        <v>52</v>
      </c>
      <c r="T337">
        <v>53</v>
      </c>
      <c r="U337">
        <v>52</v>
      </c>
      <c r="V337">
        <v>57</v>
      </c>
      <c r="W337">
        <v>52</v>
      </c>
      <c r="X337">
        <v>57</v>
      </c>
      <c r="Y337">
        <v>52</v>
      </c>
      <c r="Z337">
        <v>48</v>
      </c>
      <c r="AA337">
        <v>52</v>
      </c>
      <c r="AB337">
        <v>47</v>
      </c>
      <c r="AC337">
        <v>45</v>
      </c>
      <c r="AD337">
        <v>46</v>
      </c>
      <c r="AE337">
        <v>49</v>
      </c>
      <c r="AF337">
        <v>53</v>
      </c>
      <c r="AG337">
        <v>54</v>
      </c>
      <c r="AH337">
        <v>61</v>
      </c>
      <c r="AI337">
        <v>59</v>
      </c>
      <c r="AJ337">
        <v>80</v>
      </c>
      <c r="AK337">
        <v>74</v>
      </c>
      <c r="AL337">
        <v>71</v>
      </c>
      <c r="AM337">
        <v>63</v>
      </c>
      <c r="AN337">
        <v>44</v>
      </c>
      <c r="AO337">
        <v>44</v>
      </c>
      <c r="AP337">
        <v>53</v>
      </c>
      <c r="AQ337">
        <v>66</v>
      </c>
      <c r="AR337">
        <v>58</v>
      </c>
      <c r="AS337">
        <v>57</v>
      </c>
      <c r="AT337">
        <v>67</v>
      </c>
      <c r="AU337">
        <v>72</v>
      </c>
      <c r="AV337">
        <v>64</v>
      </c>
      <c r="AW337">
        <v>77</v>
      </c>
      <c r="AX337">
        <v>71</v>
      </c>
      <c r="AY337">
        <v>66</v>
      </c>
      <c r="AZ337">
        <v>69</v>
      </c>
      <c r="BA337">
        <v>72</v>
      </c>
      <c r="BB337">
        <v>68</v>
      </c>
      <c r="BC337">
        <v>66</v>
      </c>
    </row>
    <row r="338" spans="1:55" x14ac:dyDescent="0.25">
      <c r="A338" t="s">
        <v>3972</v>
      </c>
      <c r="B338" t="s">
        <v>115</v>
      </c>
      <c r="C338" t="s">
        <v>86</v>
      </c>
      <c r="D338">
        <v>139</v>
      </c>
      <c r="E338">
        <v>55.26</v>
      </c>
      <c r="F338">
        <v>71</v>
      </c>
      <c r="G338">
        <v>52</v>
      </c>
      <c r="H338">
        <v>42</v>
      </c>
      <c r="I338">
        <v>40</v>
      </c>
      <c r="J338">
        <v>54</v>
      </c>
      <c r="K338">
        <v>55</v>
      </c>
      <c r="L338">
        <v>47</v>
      </c>
      <c r="M338">
        <v>59</v>
      </c>
      <c r="N338">
        <v>56</v>
      </c>
      <c r="O338">
        <v>56</v>
      </c>
      <c r="P338">
        <v>49</v>
      </c>
      <c r="Q338">
        <v>50</v>
      </c>
      <c r="R338">
        <v>39</v>
      </c>
      <c r="S338">
        <v>52</v>
      </c>
      <c r="T338">
        <v>48</v>
      </c>
      <c r="U338">
        <v>50</v>
      </c>
      <c r="V338">
        <v>51</v>
      </c>
      <c r="W338">
        <v>49</v>
      </c>
      <c r="X338">
        <v>54</v>
      </c>
      <c r="Y338">
        <v>49</v>
      </c>
      <c r="Z338">
        <v>44</v>
      </c>
      <c r="AA338">
        <v>45</v>
      </c>
      <c r="AB338">
        <v>42</v>
      </c>
      <c r="AC338">
        <v>40</v>
      </c>
      <c r="AD338">
        <v>42</v>
      </c>
      <c r="AE338">
        <v>47</v>
      </c>
      <c r="AF338">
        <v>47</v>
      </c>
      <c r="AG338">
        <v>54</v>
      </c>
      <c r="AH338">
        <v>57</v>
      </c>
      <c r="AI338">
        <v>56</v>
      </c>
      <c r="AJ338">
        <v>76</v>
      </c>
      <c r="AK338">
        <v>71</v>
      </c>
      <c r="AL338">
        <v>68</v>
      </c>
      <c r="AM338">
        <v>61</v>
      </c>
      <c r="AN338">
        <v>44</v>
      </c>
      <c r="AO338">
        <v>45</v>
      </c>
      <c r="AP338">
        <v>48</v>
      </c>
      <c r="AQ338">
        <v>65</v>
      </c>
      <c r="AR338">
        <v>55</v>
      </c>
      <c r="AS338">
        <v>57</v>
      </c>
      <c r="AT338">
        <v>68</v>
      </c>
      <c r="AU338">
        <v>72</v>
      </c>
      <c r="AV338">
        <v>62</v>
      </c>
      <c r="AW338">
        <v>74</v>
      </c>
      <c r="AX338">
        <v>66</v>
      </c>
      <c r="AY338">
        <v>66</v>
      </c>
      <c r="AZ338">
        <v>72</v>
      </c>
      <c r="BA338">
        <v>68</v>
      </c>
      <c r="BB338">
        <v>64</v>
      </c>
      <c r="BC338">
        <v>64</v>
      </c>
    </row>
    <row r="339" spans="1:55" x14ac:dyDescent="0.25">
      <c r="A339" t="s">
        <v>3973</v>
      </c>
      <c r="B339" t="s">
        <v>116</v>
      </c>
      <c r="C339" t="s">
        <v>86</v>
      </c>
      <c r="D339">
        <v>151</v>
      </c>
      <c r="E339">
        <v>54.02</v>
      </c>
      <c r="F339">
        <v>65</v>
      </c>
      <c r="G339">
        <v>47</v>
      </c>
      <c r="H339">
        <v>42</v>
      </c>
      <c r="I339">
        <v>28</v>
      </c>
      <c r="J339">
        <v>52</v>
      </c>
      <c r="K339">
        <v>50</v>
      </c>
      <c r="L339">
        <v>43</v>
      </c>
      <c r="M339">
        <v>61</v>
      </c>
      <c r="N339">
        <v>57</v>
      </c>
      <c r="O339">
        <v>48</v>
      </c>
      <c r="P339">
        <v>61</v>
      </c>
      <c r="Q339">
        <v>55</v>
      </c>
      <c r="R339">
        <v>38</v>
      </c>
      <c r="S339">
        <v>62</v>
      </c>
      <c r="T339">
        <v>59</v>
      </c>
      <c r="U339">
        <v>52</v>
      </c>
      <c r="V339">
        <v>54</v>
      </c>
      <c r="W339">
        <v>54</v>
      </c>
      <c r="X339">
        <v>58</v>
      </c>
      <c r="Y339">
        <v>53</v>
      </c>
      <c r="Z339">
        <v>43</v>
      </c>
      <c r="AA339">
        <v>39</v>
      </c>
      <c r="AB339">
        <v>40</v>
      </c>
      <c r="AC339">
        <v>38</v>
      </c>
      <c r="AD339">
        <v>29</v>
      </c>
      <c r="AE339">
        <v>30</v>
      </c>
      <c r="AF339">
        <v>44</v>
      </c>
      <c r="AG339">
        <v>42</v>
      </c>
      <c r="AH339">
        <v>46</v>
      </c>
      <c r="AI339">
        <v>45</v>
      </c>
      <c r="AJ339">
        <v>69</v>
      </c>
      <c r="AK339">
        <v>61</v>
      </c>
      <c r="AL339">
        <v>51</v>
      </c>
      <c r="AM339">
        <v>31</v>
      </c>
      <c r="AN339">
        <v>40</v>
      </c>
      <c r="AO339">
        <v>36</v>
      </c>
      <c r="AP339">
        <v>51</v>
      </c>
      <c r="AQ339">
        <v>75</v>
      </c>
      <c r="AR339">
        <v>68</v>
      </c>
      <c r="AS339">
        <v>71</v>
      </c>
      <c r="AT339">
        <v>81</v>
      </c>
      <c r="AU339">
        <v>81</v>
      </c>
      <c r="AV339">
        <v>75</v>
      </c>
      <c r="AW339">
        <v>76</v>
      </c>
      <c r="AX339">
        <v>70</v>
      </c>
      <c r="AY339">
        <v>68</v>
      </c>
      <c r="AZ339">
        <v>68</v>
      </c>
      <c r="BA339">
        <v>69</v>
      </c>
      <c r="BB339">
        <v>63</v>
      </c>
      <c r="BC339">
        <v>62</v>
      </c>
    </row>
    <row r="340" spans="1:55" x14ac:dyDescent="0.25">
      <c r="A340" t="s">
        <v>3974</v>
      </c>
      <c r="B340" t="s">
        <v>117</v>
      </c>
      <c r="C340" t="s">
        <v>86</v>
      </c>
      <c r="D340">
        <v>135</v>
      </c>
      <c r="E340">
        <v>60.18</v>
      </c>
      <c r="F340">
        <v>64</v>
      </c>
      <c r="G340">
        <v>45</v>
      </c>
      <c r="H340">
        <v>33</v>
      </c>
      <c r="I340">
        <v>31</v>
      </c>
      <c r="J340">
        <v>59</v>
      </c>
      <c r="K340">
        <v>54</v>
      </c>
      <c r="L340">
        <v>57</v>
      </c>
      <c r="M340">
        <v>73</v>
      </c>
      <c r="N340">
        <v>64</v>
      </c>
      <c r="O340">
        <v>68</v>
      </c>
      <c r="P340">
        <v>58</v>
      </c>
      <c r="Q340">
        <v>46</v>
      </c>
      <c r="R340">
        <v>56</v>
      </c>
      <c r="S340">
        <v>67</v>
      </c>
      <c r="T340">
        <v>53</v>
      </c>
      <c r="U340">
        <v>50</v>
      </c>
      <c r="V340">
        <v>58</v>
      </c>
      <c r="W340">
        <v>52</v>
      </c>
      <c r="X340">
        <v>58</v>
      </c>
      <c r="Y340">
        <v>57</v>
      </c>
      <c r="Z340">
        <v>50</v>
      </c>
      <c r="AA340">
        <v>47</v>
      </c>
      <c r="AB340">
        <v>44</v>
      </c>
      <c r="AC340">
        <v>37</v>
      </c>
      <c r="AD340">
        <v>40</v>
      </c>
      <c r="AE340">
        <v>45</v>
      </c>
      <c r="AF340">
        <v>60</v>
      </c>
      <c r="AG340">
        <v>63</v>
      </c>
      <c r="AH340">
        <v>69</v>
      </c>
      <c r="AI340">
        <v>64</v>
      </c>
      <c r="AJ340">
        <v>83</v>
      </c>
      <c r="AK340">
        <v>78</v>
      </c>
      <c r="AL340">
        <v>67</v>
      </c>
      <c r="AM340">
        <v>51</v>
      </c>
      <c r="AN340">
        <v>36</v>
      </c>
      <c r="AO340">
        <v>34</v>
      </c>
      <c r="AP340">
        <v>48</v>
      </c>
      <c r="AQ340">
        <v>63</v>
      </c>
      <c r="AR340">
        <v>69</v>
      </c>
      <c r="AS340">
        <v>71</v>
      </c>
      <c r="AT340">
        <v>82</v>
      </c>
      <c r="AU340">
        <v>76</v>
      </c>
      <c r="AV340">
        <v>80</v>
      </c>
      <c r="AW340">
        <v>78</v>
      </c>
      <c r="AX340">
        <v>84</v>
      </c>
      <c r="AY340">
        <v>80</v>
      </c>
      <c r="AZ340">
        <v>75</v>
      </c>
      <c r="BA340">
        <v>83</v>
      </c>
      <c r="BB340">
        <v>73</v>
      </c>
      <c r="BC340">
        <v>76</v>
      </c>
    </row>
    <row r="341" spans="1:55" x14ac:dyDescent="0.25">
      <c r="A341" t="s">
        <v>3975</v>
      </c>
      <c r="B341" t="s">
        <v>118</v>
      </c>
      <c r="C341" t="s">
        <v>86</v>
      </c>
      <c r="D341">
        <v>141</v>
      </c>
      <c r="E341">
        <v>70.02</v>
      </c>
      <c r="F341">
        <v>77</v>
      </c>
      <c r="G341">
        <v>63</v>
      </c>
      <c r="H341">
        <v>58</v>
      </c>
      <c r="I341">
        <v>53</v>
      </c>
      <c r="J341">
        <v>65</v>
      </c>
      <c r="K341">
        <v>69</v>
      </c>
      <c r="L341">
        <v>67</v>
      </c>
      <c r="M341">
        <v>75</v>
      </c>
      <c r="N341">
        <v>69</v>
      </c>
      <c r="O341">
        <v>69</v>
      </c>
      <c r="P341">
        <v>75</v>
      </c>
      <c r="Q341">
        <v>66</v>
      </c>
      <c r="R341">
        <v>63</v>
      </c>
      <c r="S341">
        <v>76</v>
      </c>
      <c r="T341">
        <v>67</v>
      </c>
      <c r="U341">
        <v>70</v>
      </c>
      <c r="V341">
        <v>68</v>
      </c>
      <c r="W341">
        <v>65</v>
      </c>
      <c r="X341">
        <v>71</v>
      </c>
      <c r="Y341">
        <v>71</v>
      </c>
      <c r="Z341">
        <v>69</v>
      </c>
      <c r="AA341">
        <v>69</v>
      </c>
      <c r="AB341">
        <v>62</v>
      </c>
      <c r="AC341">
        <v>59</v>
      </c>
      <c r="AD341">
        <v>64</v>
      </c>
      <c r="AE341">
        <v>65</v>
      </c>
      <c r="AF341">
        <v>64</v>
      </c>
      <c r="AG341">
        <v>64</v>
      </c>
      <c r="AH341">
        <v>72</v>
      </c>
      <c r="AI341">
        <v>68</v>
      </c>
      <c r="AJ341">
        <v>91</v>
      </c>
      <c r="AK341">
        <v>86</v>
      </c>
      <c r="AL341">
        <v>79</v>
      </c>
      <c r="AM341">
        <v>77</v>
      </c>
      <c r="AN341">
        <v>60</v>
      </c>
      <c r="AO341">
        <v>60</v>
      </c>
      <c r="AP341">
        <v>58</v>
      </c>
      <c r="AQ341">
        <v>72</v>
      </c>
      <c r="AR341">
        <v>69</v>
      </c>
      <c r="AS341">
        <v>75</v>
      </c>
      <c r="AT341">
        <v>72</v>
      </c>
      <c r="AU341">
        <v>77</v>
      </c>
      <c r="AV341">
        <v>72</v>
      </c>
      <c r="AW341">
        <v>79</v>
      </c>
      <c r="AX341">
        <v>81</v>
      </c>
      <c r="AY341">
        <v>75</v>
      </c>
      <c r="AZ341">
        <v>80</v>
      </c>
      <c r="BA341">
        <v>79</v>
      </c>
      <c r="BB341">
        <v>77</v>
      </c>
      <c r="BC341">
        <v>69</v>
      </c>
    </row>
    <row r="342" spans="1:55" x14ac:dyDescent="0.25">
      <c r="A342" t="s">
        <v>3976</v>
      </c>
      <c r="B342" t="s">
        <v>119</v>
      </c>
      <c r="C342" t="s">
        <v>86</v>
      </c>
      <c r="D342">
        <v>231</v>
      </c>
      <c r="E342">
        <v>48.88</v>
      </c>
      <c r="F342">
        <v>51</v>
      </c>
      <c r="G342">
        <v>41</v>
      </c>
      <c r="H342">
        <v>34</v>
      </c>
      <c r="I342">
        <v>25</v>
      </c>
      <c r="J342">
        <v>42</v>
      </c>
      <c r="K342">
        <v>47</v>
      </c>
      <c r="L342">
        <v>45</v>
      </c>
      <c r="M342">
        <v>54</v>
      </c>
      <c r="N342">
        <v>52</v>
      </c>
      <c r="O342">
        <v>54</v>
      </c>
      <c r="P342">
        <v>50</v>
      </c>
      <c r="Q342">
        <v>45</v>
      </c>
      <c r="R342">
        <v>40</v>
      </c>
      <c r="S342">
        <v>48</v>
      </c>
      <c r="T342">
        <v>45</v>
      </c>
      <c r="U342">
        <v>42</v>
      </c>
      <c r="V342">
        <v>46</v>
      </c>
      <c r="W342">
        <v>44</v>
      </c>
      <c r="X342">
        <v>45</v>
      </c>
      <c r="Y342">
        <v>49</v>
      </c>
      <c r="Z342">
        <v>40</v>
      </c>
      <c r="AA342">
        <v>38</v>
      </c>
      <c r="AB342">
        <v>39</v>
      </c>
      <c r="AC342">
        <v>31</v>
      </c>
      <c r="AD342">
        <v>30</v>
      </c>
      <c r="AE342">
        <v>34</v>
      </c>
      <c r="AF342">
        <v>39</v>
      </c>
      <c r="AG342">
        <v>45</v>
      </c>
      <c r="AH342">
        <v>54</v>
      </c>
      <c r="AI342">
        <v>50</v>
      </c>
      <c r="AJ342">
        <v>69</v>
      </c>
      <c r="AK342">
        <v>62</v>
      </c>
      <c r="AL342">
        <v>56</v>
      </c>
      <c r="AM342">
        <v>45</v>
      </c>
      <c r="AN342">
        <v>33</v>
      </c>
      <c r="AO342">
        <v>32</v>
      </c>
      <c r="AP342">
        <v>40</v>
      </c>
      <c r="AQ342">
        <v>61</v>
      </c>
      <c r="AR342">
        <v>55</v>
      </c>
      <c r="AS342">
        <v>54</v>
      </c>
      <c r="AT342">
        <v>65</v>
      </c>
      <c r="AU342">
        <v>63</v>
      </c>
      <c r="AV342">
        <v>61</v>
      </c>
      <c r="AW342">
        <v>70</v>
      </c>
      <c r="AX342">
        <v>63</v>
      </c>
      <c r="AY342">
        <v>63</v>
      </c>
      <c r="AZ342">
        <v>68</v>
      </c>
      <c r="BA342">
        <v>70</v>
      </c>
      <c r="BB342">
        <v>58</v>
      </c>
      <c r="BC342">
        <v>57</v>
      </c>
    </row>
    <row r="343" spans="1:55" x14ac:dyDescent="0.25">
      <c r="A343" t="s">
        <v>3977</v>
      </c>
      <c r="B343" t="s">
        <v>120</v>
      </c>
      <c r="C343" t="s">
        <v>86</v>
      </c>
      <c r="D343">
        <v>61</v>
      </c>
      <c r="E343">
        <v>40.24</v>
      </c>
      <c r="F343">
        <v>62</v>
      </c>
      <c r="G343">
        <v>46</v>
      </c>
      <c r="H343">
        <v>39</v>
      </c>
      <c r="I343">
        <v>37</v>
      </c>
      <c r="J343">
        <v>39</v>
      </c>
      <c r="K343">
        <v>45</v>
      </c>
      <c r="L343">
        <v>38</v>
      </c>
      <c r="M343">
        <v>47</v>
      </c>
      <c r="N343">
        <v>46</v>
      </c>
      <c r="O343">
        <v>46</v>
      </c>
      <c r="P343">
        <v>40</v>
      </c>
      <c r="Q343">
        <v>41</v>
      </c>
      <c r="R343">
        <v>36</v>
      </c>
      <c r="S343">
        <v>38</v>
      </c>
      <c r="T343">
        <v>36</v>
      </c>
      <c r="U343">
        <v>36</v>
      </c>
      <c r="V343">
        <v>36</v>
      </c>
      <c r="W343">
        <v>41</v>
      </c>
      <c r="X343">
        <v>38</v>
      </c>
      <c r="Y343">
        <v>31</v>
      </c>
      <c r="Z343">
        <v>28</v>
      </c>
      <c r="AA343">
        <v>29</v>
      </c>
      <c r="AB343">
        <v>39</v>
      </c>
      <c r="AC343">
        <v>31</v>
      </c>
      <c r="AD343">
        <v>31</v>
      </c>
      <c r="AE343">
        <v>39</v>
      </c>
      <c r="AF343">
        <v>34</v>
      </c>
      <c r="AG343">
        <v>32</v>
      </c>
      <c r="AH343">
        <v>35</v>
      </c>
      <c r="AI343">
        <v>42</v>
      </c>
      <c r="AJ343">
        <v>51</v>
      </c>
      <c r="AK343">
        <v>51</v>
      </c>
      <c r="AL343">
        <v>50</v>
      </c>
      <c r="AM343">
        <v>43</v>
      </c>
      <c r="AN343">
        <v>38</v>
      </c>
      <c r="AO343">
        <v>35</v>
      </c>
      <c r="AP343">
        <v>30</v>
      </c>
      <c r="AQ343">
        <v>45</v>
      </c>
      <c r="AR343">
        <v>49</v>
      </c>
      <c r="AS343">
        <v>41</v>
      </c>
      <c r="AT343">
        <v>41</v>
      </c>
      <c r="AU343">
        <v>40</v>
      </c>
      <c r="AV343">
        <v>53</v>
      </c>
      <c r="AW343">
        <v>36</v>
      </c>
      <c r="AX343">
        <v>30</v>
      </c>
      <c r="AY343">
        <v>37</v>
      </c>
      <c r="AZ343">
        <v>56</v>
      </c>
      <c r="BA343">
        <v>38</v>
      </c>
      <c r="BB343">
        <v>49</v>
      </c>
      <c r="BC343">
        <v>41</v>
      </c>
    </row>
    <row r="344" spans="1:55" x14ac:dyDescent="0.25">
      <c r="A344" t="s">
        <v>3978</v>
      </c>
      <c r="B344" t="s">
        <v>121</v>
      </c>
      <c r="C344" t="s">
        <v>86</v>
      </c>
      <c r="D344">
        <v>429</v>
      </c>
      <c r="E344">
        <v>50.94</v>
      </c>
      <c r="F344">
        <v>65</v>
      </c>
      <c r="G344">
        <v>42</v>
      </c>
      <c r="H344">
        <v>31</v>
      </c>
      <c r="I344">
        <v>26</v>
      </c>
      <c r="J344">
        <v>42</v>
      </c>
      <c r="K344">
        <v>43</v>
      </c>
      <c r="L344">
        <v>43</v>
      </c>
      <c r="M344">
        <v>56</v>
      </c>
      <c r="N344">
        <v>58</v>
      </c>
      <c r="O344">
        <v>55</v>
      </c>
      <c r="P344">
        <v>48</v>
      </c>
      <c r="Q344">
        <v>45</v>
      </c>
      <c r="R344">
        <v>36</v>
      </c>
      <c r="S344">
        <v>54</v>
      </c>
      <c r="T344">
        <v>51</v>
      </c>
      <c r="U344">
        <v>43</v>
      </c>
      <c r="V344">
        <v>49</v>
      </c>
      <c r="W344">
        <v>45</v>
      </c>
      <c r="X344">
        <v>42</v>
      </c>
      <c r="Y344">
        <v>47</v>
      </c>
      <c r="Z344">
        <v>40</v>
      </c>
      <c r="AA344">
        <v>35</v>
      </c>
      <c r="AB344">
        <v>37</v>
      </c>
      <c r="AC344">
        <v>27</v>
      </c>
      <c r="AD344">
        <v>32</v>
      </c>
      <c r="AE344">
        <v>36</v>
      </c>
      <c r="AF344">
        <v>47</v>
      </c>
      <c r="AG344">
        <v>53</v>
      </c>
      <c r="AH344">
        <v>61</v>
      </c>
      <c r="AI344">
        <v>60</v>
      </c>
      <c r="AJ344">
        <v>72</v>
      </c>
      <c r="AK344">
        <v>69</v>
      </c>
      <c r="AL344">
        <v>58</v>
      </c>
      <c r="AM344">
        <v>41</v>
      </c>
      <c r="AN344">
        <v>34</v>
      </c>
      <c r="AO344">
        <v>31</v>
      </c>
      <c r="AP344">
        <v>44</v>
      </c>
      <c r="AQ344">
        <v>57</v>
      </c>
      <c r="AR344">
        <v>56</v>
      </c>
      <c r="AS344">
        <v>56</v>
      </c>
      <c r="AT344">
        <v>69</v>
      </c>
      <c r="AU344">
        <v>68</v>
      </c>
      <c r="AV344">
        <v>71</v>
      </c>
      <c r="AW344">
        <v>75</v>
      </c>
      <c r="AX344">
        <v>75</v>
      </c>
      <c r="AY344">
        <v>64</v>
      </c>
      <c r="AZ344">
        <v>68</v>
      </c>
      <c r="BA344">
        <v>68</v>
      </c>
      <c r="BB344">
        <v>61</v>
      </c>
      <c r="BC344">
        <v>61</v>
      </c>
    </row>
    <row r="345" spans="1:55" x14ac:dyDescent="0.25">
      <c r="A345" t="s">
        <v>3979</v>
      </c>
      <c r="B345" t="s">
        <v>122</v>
      </c>
      <c r="C345" t="s">
        <v>86</v>
      </c>
      <c r="D345">
        <v>249</v>
      </c>
      <c r="E345">
        <v>54.3</v>
      </c>
      <c r="F345">
        <v>74</v>
      </c>
      <c r="G345">
        <v>59</v>
      </c>
      <c r="H345">
        <v>50</v>
      </c>
      <c r="I345">
        <v>34</v>
      </c>
      <c r="J345">
        <v>45</v>
      </c>
      <c r="K345">
        <v>50</v>
      </c>
      <c r="L345">
        <v>45</v>
      </c>
      <c r="M345">
        <v>54</v>
      </c>
      <c r="N345">
        <v>54</v>
      </c>
      <c r="O345">
        <v>54</v>
      </c>
      <c r="P345">
        <v>51</v>
      </c>
      <c r="Q345">
        <v>47</v>
      </c>
      <c r="R345">
        <v>38</v>
      </c>
      <c r="S345">
        <v>60</v>
      </c>
      <c r="T345">
        <v>59</v>
      </c>
      <c r="U345">
        <v>51</v>
      </c>
      <c r="V345">
        <v>59</v>
      </c>
      <c r="W345">
        <v>49</v>
      </c>
      <c r="X345">
        <v>54</v>
      </c>
      <c r="Y345">
        <v>48</v>
      </c>
      <c r="Z345">
        <v>40</v>
      </c>
      <c r="AA345">
        <v>40</v>
      </c>
      <c r="AB345">
        <v>43</v>
      </c>
      <c r="AC345">
        <v>30</v>
      </c>
      <c r="AD345">
        <v>35</v>
      </c>
      <c r="AE345">
        <v>29</v>
      </c>
      <c r="AF345">
        <v>34</v>
      </c>
      <c r="AG345">
        <v>41</v>
      </c>
      <c r="AH345">
        <v>51</v>
      </c>
      <c r="AI345">
        <v>46</v>
      </c>
      <c r="AJ345">
        <v>69</v>
      </c>
      <c r="AK345">
        <v>62</v>
      </c>
      <c r="AL345">
        <v>60</v>
      </c>
      <c r="AM345">
        <v>47</v>
      </c>
      <c r="AN345">
        <v>35</v>
      </c>
      <c r="AO345">
        <v>32</v>
      </c>
      <c r="AP345">
        <v>40</v>
      </c>
      <c r="AQ345">
        <v>59</v>
      </c>
      <c r="AR345">
        <v>63</v>
      </c>
      <c r="AS345">
        <v>58</v>
      </c>
      <c r="AT345">
        <v>79</v>
      </c>
      <c r="AU345">
        <v>83</v>
      </c>
      <c r="AV345">
        <v>78</v>
      </c>
      <c r="AW345">
        <v>83</v>
      </c>
      <c r="AX345">
        <v>80</v>
      </c>
      <c r="AY345">
        <v>74</v>
      </c>
      <c r="AZ345">
        <v>76</v>
      </c>
      <c r="BA345">
        <v>72</v>
      </c>
      <c r="BB345">
        <v>70</v>
      </c>
      <c r="BC345">
        <v>71</v>
      </c>
    </row>
    <row r="346" spans="1:55" x14ac:dyDescent="0.25">
      <c r="A346" t="s">
        <v>3980</v>
      </c>
      <c r="B346" t="s">
        <v>123</v>
      </c>
      <c r="C346" t="s">
        <v>86</v>
      </c>
      <c r="D346">
        <v>210</v>
      </c>
      <c r="E346">
        <v>54.8</v>
      </c>
      <c r="F346">
        <v>73</v>
      </c>
      <c r="G346">
        <v>50</v>
      </c>
      <c r="H346">
        <v>28</v>
      </c>
      <c r="I346">
        <v>28</v>
      </c>
      <c r="J346">
        <v>47</v>
      </c>
      <c r="K346">
        <v>53</v>
      </c>
      <c r="L346">
        <v>47</v>
      </c>
      <c r="M346">
        <v>65</v>
      </c>
      <c r="N346">
        <v>64</v>
      </c>
      <c r="O346">
        <v>62</v>
      </c>
      <c r="P346">
        <v>59</v>
      </c>
      <c r="Q346">
        <v>50</v>
      </c>
      <c r="R346">
        <v>40</v>
      </c>
      <c r="S346">
        <v>60</v>
      </c>
      <c r="T346">
        <v>56</v>
      </c>
      <c r="U346">
        <v>48</v>
      </c>
      <c r="V346">
        <v>60</v>
      </c>
      <c r="W346">
        <v>56</v>
      </c>
      <c r="X346">
        <v>53</v>
      </c>
      <c r="Y346">
        <v>49</v>
      </c>
      <c r="Z346">
        <v>45</v>
      </c>
      <c r="AA346">
        <v>41</v>
      </c>
      <c r="AB346">
        <v>44</v>
      </c>
      <c r="AC346">
        <v>30</v>
      </c>
      <c r="AD346">
        <v>28</v>
      </c>
      <c r="AE346">
        <v>36</v>
      </c>
      <c r="AF346">
        <v>45</v>
      </c>
      <c r="AG346">
        <v>59</v>
      </c>
      <c r="AH346">
        <v>66</v>
      </c>
      <c r="AI346">
        <v>69</v>
      </c>
      <c r="AJ346">
        <v>85</v>
      </c>
      <c r="AK346">
        <v>75</v>
      </c>
      <c r="AL346">
        <v>66</v>
      </c>
      <c r="AM346">
        <v>42</v>
      </c>
      <c r="AN346">
        <v>31</v>
      </c>
      <c r="AO346">
        <v>30</v>
      </c>
      <c r="AP346">
        <v>39</v>
      </c>
      <c r="AQ346">
        <v>51</v>
      </c>
      <c r="AR346">
        <v>41</v>
      </c>
      <c r="AS346">
        <v>47</v>
      </c>
      <c r="AT346">
        <v>68</v>
      </c>
      <c r="AU346">
        <v>73</v>
      </c>
      <c r="AV346">
        <v>77</v>
      </c>
      <c r="AW346">
        <v>80</v>
      </c>
      <c r="AX346">
        <v>79</v>
      </c>
      <c r="AY346">
        <v>70</v>
      </c>
      <c r="AZ346">
        <v>75</v>
      </c>
      <c r="BA346">
        <v>75</v>
      </c>
      <c r="BB346">
        <v>62</v>
      </c>
      <c r="BC346">
        <v>63</v>
      </c>
    </row>
    <row r="347" spans="1:55" x14ac:dyDescent="0.25">
      <c r="A347" t="s">
        <v>3981</v>
      </c>
      <c r="B347" t="s">
        <v>124</v>
      </c>
      <c r="C347" t="s">
        <v>86</v>
      </c>
      <c r="D347">
        <v>970</v>
      </c>
      <c r="E347">
        <v>54.62</v>
      </c>
      <c r="F347">
        <v>73</v>
      </c>
      <c r="G347">
        <v>49</v>
      </c>
      <c r="H347">
        <v>36</v>
      </c>
      <c r="I347">
        <v>31</v>
      </c>
      <c r="J347">
        <v>48</v>
      </c>
      <c r="K347">
        <v>52</v>
      </c>
      <c r="L347">
        <v>48</v>
      </c>
      <c r="M347">
        <v>62</v>
      </c>
      <c r="N347">
        <v>66</v>
      </c>
      <c r="O347">
        <v>63</v>
      </c>
      <c r="P347">
        <v>54</v>
      </c>
      <c r="Q347">
        <v>48</v>
      </c>
      <c r="R347">
        <v>42</v>
      </c>
      <c r="S347">
        <v>55</v>
      </c>
      <c r="T347">
        <v>54</v>
      </c>
      <c r="U347">
        <v>50</v>
      </c>
      <c r="V347">
        <v>50</v>
      </c>
      <c r="W347">
        <v>49</v>
      </c>
      <c r="X347">
        <v>50</v>
      </c>
      <c r="Y347">
        <v>49</v>
      </c>
      <c r="Z347">
        <v>46</v>
      </c>
      <c r="AA347">
        <v>38</v>
      </c>
      <c r="AB347">
        <v>37</v>
      </c>
      <c r="AC347">
        <v>33</v>
      </c>
      <c r="AD347">
        <v>33</v>
      </c>
      <c r="AE347">
        <v>36</v>
      </c>
      <c r="AF347">
        <v>44</v>
      </c>
      <c r="AG347">
        <v>53</v>
      </c>
      <c r="AH347">
        <v>64</v>
      </c>
      <c r="AI347">
        <v>67</v>
      </c>
      <c r="AJ347">
        <v>78</v>
      </c>
      <c r="AK347">
        <v>74</v>
      </c>
      <c r="AL347">
        <v>64</v>
      </c>
      <c r="AM347">
        <v>48</v>
      </c>
      <c r="AN347">
        <v>37</v>
      </c>
      <c r="AO347">
        <v>35</v>
      </c>
      <c r="AP347">
        <v>41</v>
      </c>
      <c r="AQ347">
        <v>60</v>
      </c>
      <c r="AR347">
        <v>52</v>
      </c>
      <c r="AS347">
        <v>50</v>
      </c>
      <c r="AT347">
        <v>67</v>
      </c>
      <c r="AU347">
        <v>69</v>
      </c>
      <c r="AV347">
        <v>72</v>
      </c>
      <c r="AW347">
        <v>77</v>
      </c>
      <c r="AX347">
        <v>76</v>
      </c>
      <c r="AY347">
        <v>70</v>
      </c>
      <c r="AZ347">
        <v>73</v>
      </c>
      <c r="BA347">
        <v>73</v>
      </c>
      <c r="BB347">
        <v>68</v>
      </c>
      <c r="BC347">
        <v>67</v>
      </c>
    </row>
    <row r="348" spans="1:55" x14ac:dyDescent="0.25">
      <c r="A348" t="s">
        <v>3982</v>
      </c>
      <c r="B348" t="s">
        <v>125</v>
      </c>
      <c r="C348" t="s">
        <v>86</v>
      </c>
      <c r="D348">
        <v>665</v>
      </c>
      <c r="E348">
        <v>51.56</v>
      </c>
      <c r="F348">
        <v>65</v>
      </c>
      <c r="G348">
        <v>43</v>
      </c>
      <c r="H348">
        <v>37</v>
      </c>
      <c r="I348">
        <v>30</v>
      </c>
      <c r="J348">
        <v>43</v>
      </c>
      <c r="K348">
        <v>46</v>
      </c>
      <c r="L348">
        <v>47</v>
      </c>
      <c r="M348">
        <v>59</v>
      </c>
      <c r="N348">
        <v>60</v>
      </c>
      <c r="O348">
        <v>55</v>
      </c>
      <c r="P348">
        <v>56</v>
      </c>
      <c r="Q348">
        <v>52</v>
      </c>
      <c r="R348">
        <v>46</v>
      </c>
      <c r="S348">
        <v>54</v>
      </c>
      <c r="T348">
        <v>52</v>
      </c>
      <c r="U348">
        <v>47</v>
      </c>
      <c r="V348">
        <v>50</v>
      </c>
      <c r="W348">
        <v>47</v>
      </c>
      <c r="X348">
        <v>51</v>
      </c>
      <c r="Y348">
        <v>51</v>
      </c>
      <c r="Z348">
        <v>44</v>
      </c>
      <c r="AA348">
        <v>43</v>
      </c>
      <c r="AB348">
        <v>37</v>
      </c>
      <c r="AC348">
        <v>33</v>
      </c>
      <c r="AD348">
        <v>35</v>
      </c>
      <c r="AE348">
        <v>37</v>
      </c>
      <c r="AF348">
        <v>47</v>
      </c>
      <c r="AG348">
        <v>52</v>
      </c>
      <c r="AH348">
        <v>59</v>
      </c>
      <c r="AI348">
        <v>61</v>
      </c>
      <c r="AJ348">
        <v>74</v>
      </c>
      <c r="AK348">
        <v>71</v>
      </c>
      <c r="AL348">
        <v>62</v>
      </c>
      <c r="AM348">
        <v>47</v>
      </c>
      <c r="AN348">
        <v>33</v>
      </c>
      <c r="AO348">
        <v>35</v>
      </c>
      <c r="AP348">
        <v>37</v>
      </c>
      <c r="AQ348">
        <v>49</v>
      </c>
      <c r="AR348">
        <v>44</v>
      </c>
      <c r="AS348">
        <v>42</v>
      </c>
      <c r="AT348">
        <v>64</v>
      </c>
      <c r="AU348">
        <v>61</v>
      </c>
      <c r="AV348">
        <v>64</v>
      </c>
      <c r="AW348">
        <v>70</v>
      </c>
      <c r="AX348">
        <v>69</v>
      </c>
      <c r="AY348">
        <v>63</v>
      </c>
      <c r="AZ348">
        <v>69</v>
      </c>
      <c r="BA348">
        <v>65</v>
      </c>
      <c r="BB348">
        <v>62</v>
      </c>
      <c r="BC348">
        <v>58</v>
      </c>
    </row>
    <row r="349" spans="1:55" x14ac:dyDescent="0.25">
      <c r="A349" t="s">
        <v>3983</v>
      </c>
      <c r="B349" t="s">
        <v>71</v>
      </c>
      <c r="C349" t="s">
        <v>86</v>
      </c>
      <c r="D349">
        <v>412</v>
      </c>
      <c r="E349">
        <v>50.22</v>
      </c>
      <c r="F349">
        <v>66</v>
      </c>
      <c r="G349">
        <v>42</v>
      </c>
      <c r="H349">
        <v>38</v>
      </c>
      <c r="I349">
        <v>28</v>
      </c>
      <c r="J349">
        <v>40</v>
      </c>
      <c r="K349">
        <v>45</v>
      </c>
      <c r="L349">
        <v>46</v>
      </c>
      <c r="M349">
        <v>58</v>
      </c>
      <c r="N349">
        <v>58</v>
      </c>
      <c r="O349">
        <v>54</v>
      </c>
      <c r="P349">
        <v>56</v>
      </c>
      <c r="Q349">
        <v>49</v>
      </c>
      <c r="R349">
        <v>44</v>
      </c>
      <c r="S349">
        <v>51</v>
      </c>
      <c r="T349">
        <v>48</v>
      </c>
      <c r="U349">
        <v>43</v>
      </c>
      <c r="V349">
        <v>46</v>
      </c>
      <c r="W349">
        <v>46</v>
      </c>
      <c r="X349">
        <v>48</v>
      </c>
      <c r="Y349">
        <v>51</v>
      </c>
      <c r="Z349">
        <v>42</v>
      </c>
      <c r="AA349">
        <v>41</v>
      </c>
      <c r="AB349">
        <v>35</v>
      </c>
      <c r="AC349">
        <v>32</v>
      </c>
      <c r="AD349">
        <v>33</v>
      </c>
      <c r="AE349">
        <v>35</v>
      </c>
      <c r="AF349">
        <v>46</v>
      </c>
      <c r="AG349">
        <v>48</v>
      </c>
      <c r="AH349">
        <v>59</v>
      </c>
      <c r="AI349">
        <v>57</v>
      </c>
      <c r="AJ349">
        <v>70</v>
      </c>
      <c r="AK349">
        <v>71</v>
      </c>
      <c r="AL349">
        <v>60</v>
      </c>
      <c r="AM349">
        <v>49</v>
      </c>
      <c r="AN349">
        <v>33</v>
      </c>
      <c r="AO349">
        <v>35</v>
      </c>
      <c r="AP349">
        <v>35</v>
      </c>
      <c r="AQ349">
        <v>47</v>
      </c>
      <c r="AR349">
        <v>44</v>
      </c>
      <c r="AS349">
        <v>41</v>
      </c>
      <c r="AT349">
        <v>62</v>
      </c>
      <c r="AU349">
        <v>60</v>
      </c>
      <c r="AV349">
        <v>65</v>
      </c>
      <c r="AW349">
        <v>70</v>
      </c>
      <c r="AX349">
        <v>70</v>
      </c>
      <c r="AY349">
        <v>63</v>
      </c>
      <c r="AZ349">
        <v>69</v>
      </c>
      <c r="BA349">
        <v>64</v>
      </c>
      <c r="BB349">
        <v>61</v>
      </c>
      <c r="BC349">
        <v>57</v>
      </c>
    </row>
    <row r="350" spans="1:55" x14ac:dyDescent="0.25">
      <c r="A350" t="s">
        <v>3984</v>
      </c>
      <c r="B350" t="s">
        <v>127</v>
      </c>
      <c r="C350" t="s">
        <v>86</v>
      </c>
      <c r="D350">
        <v>253</v>
      </c>
      <c r="E350">
        <v>53.42</v>
      </c>
      <c r="F350">
        <v>65</v>
      </c>
      <c r="G350">
        <v>43</v>
      </c>
      <c r="H350">
        <v>37</v>
      </c>
      <c r="I350">
        <v>33</v>
      </c>
      <c r="J350">
        <v>46</v>
      </c>
      <c r="K350">
        <v>49</v>
      </c>
      <c r="L350">
        <v>49</v>
      </c>
      <c r="M350">
        <v>61</v>
      </c>
      <c r="N350">
        <v>63</v>
      </c>
      <c r="O350">
        <v>56</v>
      </c>
      <c r="P350">
        <v>56</v>
      </c>
      <c r="Q350">
        <v>55</v>
      </c>
      <c r="R350">
        <v>48</v>
      </c>
      <c r="S350">
        <v>57</v>
      </c>
      <c r="T350">
        <v>57</v>
      </c>
      <c r="U350">
        <v>54</v>
      </c>
      <c r="V350">
        <v>54</v>
      </c>
      <c r="W350">
        <v>49</v>
      </c>
      <c r="X350">
        <v>56</v>
      </c>
      <c r="Y350">
        <v>51</v>
      </c>
      <c r="Z350">
        <v>48</v>
      </c>
      <c r="AA350">
        <v>45</v>
      </c>
      <c r="AB350">
        <v>40</v>
      </c>
      <c r="AC350">
        <v>35</v>
      </c>
      <c r="AD350">
        <v>38</v>
      </c>
      <c r="AE350">
        <v>39</v>
      </c>
      <c r="AF350">
        <v>48</v>
      </c>
      <c r="AG350">
        <v>58</v>
      </c>
      <c r="AH350">
        <v>60</v>
      </c>
      <c r="AI350">
        <v>66</v>
      </c>
      <c r="AJ350">
        <v>79</v>
      </c>
      <c r="AK350">
        <v>70</v>
      </c>
      <c r="AL350">
        <v>63</v>
      </c>
      <c r="AM350">
        <v>44</v>
      </c>
      <c r="AN350">
        <v>34</v>
      </c>
      <c r="AO350">
        <v>35</v>
      </c>
      <c r="AP350">
        <v>40</v>
      </c>
      <c r="AQ350">
        <v>51</v>
      </c>
      <c r="AR350">
        <v>44</v>
      </c>
      <c r="AS350">
        <v>42</v>
      </c>
      <c r="AT350">
        <v>65</v>
      </c>
      <c r="AU350">
        <v>63</v>
      </c>
      <c r="AV350">
        <v>64</v>
      </c>
      <c r="AW350">
        <v>71</v>
      </c>
      <c r="AX350">
        <v>67</v>
      </c>
      <c r="AY350">
        <v>64</v>
      </c>
      <c r="AZ350">
        <v>71</v>
      </c>
      <c r="BA350">
        <v>66</v>
      </c>
      <c r="BB350">
        <v>64</v>
      </c>
      <c r="BC350">
        <v>58</v>
      </c>
    </row>
    <row r="351" spans="1:55" x14ac:dyDescent="0.25">
      <c r="A351" t="s">
        <v>3985</v>
      </c>
      <c r="B351" t="s">
        <v>128</v>
      </c>
      <c r="C351" t="s">
        <v>86</v>
      </c>
      <c r="D351">
        <v>917</v>
      </c>
      <c r="E351">
        <v>51.26</v>
      </c>
      <c r="F351">
        <v>67</v>
      </c>
      <c r="G351">
        <v>48</v>
      </c>
      <c r="H351">
        <v>37</v>
      </c>
      <c r="I351">
        <v>28</v>
      </c>
      <c r="J351">
        <v>42</v>
      </c>
      <c r="K351">
        <v>44</v>
      </c>
      <c r="L351">
        <v>44</v>
      </c>
      <c r="M351">
        <v>57</v>
      </c>
      <c r="N351">
        <v>57</v>
      </c>
      <c r="O351">
        <v>55</v>
      </c>
      <c r="P351">
        <v>52</v>
      </c>
      <c r="Q351">
        <v>48</v>
      </c>
      <c r="R351">
        <v>43</v>
      </c>
      <c r="S351">
        <v>50</v>
      </c>
      <c r="T351">
        <v>50</v>
      </c>
      <c r="U351">
        <v>49</v>
      </c>
      <c r="V351">
        <v>48</v>
      </c>
      <c r="W351">
        <v>47</v>
      </c>
      <c r="X351">
        <v>51</v>
      </c>
      <c r="Y351">
        <v>52</v>
      </c>
      <c r="Z351">
        <v>46</v>
      </c>
      <c r="AA351">
        <v>38</v>
      </c>
      <c r="AB351">
        <v>37</v>
      </c>
      <c r="AC351">
        <v>32</v>
      </c>
      <c r="AD351">
        <v>30</v>
      </c>
      <c r="AE351">
        <v>35</v>
      </c>
      <c r="AF351">
        <v>43</v>
      </c>
      <c r="AG351">
        <v>51</v>
      </c>
      <c r="AH351">
        <v>60</v>
      </c>
      <c r="AI351">
        <v>61</v>
      </c>
      <c r="AJ351">
        <v>77</v>
      </c>
      <c r="AK351">
        <v>71</v>
      </c>
      <c r="AL351">
        <v>64</v>
      </c>
      <c r="AM351">
        <v>50</v>
      </c>
      <c r="AN351">
        <v>34</v>
      </c>
      <c r="AO351">
        <v>32</v>
      </c>
      <c r="AP351">
        <v>35</v>
      </c>
      <c r="AQ351">
        <v>47</v>
      </c>
      <c r="AR351">
        <v>43</v>
      </c>
      <c r="AS351">
        <v>43</v>
      </c>
      <c r="AT351">
        <v>59</v>
      </c>
      <c r="AU351">
        <v>63</v>
      </c>
      <c r="AV351">
        <v>67</v>
      </c>
      <c r="AW351">
        <v>72</v>
      </c>
      <c r="AX351">
        <v>74</v>
      </c>
      <c r="AY351">
        <v>66</v>
      </c>
      <c r="AZ351">
        <v>70</v>
      </c>
      <c r="BA351">
        <v>70</v>
      </c>
      <c r="BB351">
        <v>62</v>
      </c>
      <c r="BC351">
        <v>62</v>
      </c>
    </row>
    <row r="352" spans="1:55" x14ac:dyDescent="0.25">
      <c r="A352" t="s">
        <v>3986</v>
      </c>
      <c r="B352" t="s">
        <v>72</v>
      </c>
      <c r="C352" t="s">
        <v>86</v>
      </c>
      <c r="D352">
        <v>122</v>
      </c>
      <c r="E352">
        <v>53.74</v>
      </c>
      <c r="F352">
        <v>79</v>
      </c>
      <c r="G352">
        <v>54</v>
      </c>
      <c r="H352">
        <v>33</v>
      </c>
      <c r="I352">
        <v>30</v>
      </c>
      <c r="J352">
        <v>43</v>
      </c>
      <c r="K352">
        <v>55</v>
      </c>
      <c r="L352">
        <v>53</v>
      </c>
      <c r="M352">
        <v>69</v>
      </c>
      <c r="N352">
        <v>68</v>
      </c>
      <c r="O352">
        <v>69</v>
      </c>
      <c r="P352">
        <v>58</v>
      </c>
      <c r="Q352">
        <v>48</v>
      </c>
      <c r="R352">
        <v>40</v>
      </c>
      <c r="S352">
        <v>51</v>
      </c>
      <c r="T352">
        <v>53</v>
      </c>
      <c r="U352">
        <v>48</v>
      </c>
      <c r="V352">
        <v>47</v>
      </c>
      <c r="W352">
        <v>47</v>
      </c>
      <c r="X352">
        <v>53</v>
      </c>
      <c r="Y352">
        <v>45</v>
      </c>
      <c r="Z352">
        <v>40</v>
      </c>
      <c r="AA352">
        <v>37</v>
      </c>
      <c r="AB352">
        <v>36</v>
      </c>
      <c r="AC352">
        <v>37</v>
      </c>
      <c r="AD352">
        <v>31</v>
      </c>
      <c r="AE352">
        <v>30</v>
      </c>
      <c r="AF352">
        <v>45</v>
      </c>
      <c r="AG352">
        <v>55</v>
      </c>
      <c r="AH352">
        <v>60</v>
      </c>
      <c r="AI352">
        <v>60</v>
      </c>
      <c r="AJ352">
        <v>81</v>
      </c>
      <c r="AK352">
        <v>77</v>
      </c>
      <c r="AL352">
        <v>57</v>
      </c>
      <c r="AM352">
        <v>49</v>
      </c>
      <c r="AN352">
        <v>42</v>
      </c>
      <c r="AO352">
        <v>42</v>
      </c>
      <c r="AP352">
        <v>41</v>
      </c>
      <c r="AQ352">
        <v>58</v>
      </c>
      <c r="AR352">
        <v>49</v>
      </c>
      <c r="AS352">
        <v>42</v>
      </c>
      <c r="AT352">
        <v>60</v>
      </c>
      <c r="AU352">
        <v>70</v>
      </c>
      <c r="AV352">
        <v>63</v>
      </c>
      <c r="AW352">
        <v>78</v>
      </c>
      <c r="AX352">
        <v>78</v>
      </c>
      <c r="AY352">
        <v>67</v>
      </c>
      <c r="AZ352">
        <v>71</v>
      </c>
      <c r="BA352">
        <v>66</v>
      </c>
      <c r="BB352">
        <v>57</v>
      </c>
      <c r="BC352">
        <v>65</v>
      </c>
    </row>
    <row r="353" spans="1:55" x14ac:dyDescent="0.25">
      <c r="A353" t="s">
        <v>3987</v>
      </c>
      <c r="B353" t="s">
        <v>240</v>
      </c>
      <c r="C353" t="s">
        <v>86</v>
      </c>
      <c r="D353">
        <v>46</v>
      </c>
      <c r="E353">
        <v>39.6</v>
      </c>
      <c r="F353">
        <v>39</v>
      </c>
      <c r="G353">
        <v>34</v>
      </c>
      <c r="H353">
        <v>44</v>
      </c>
      <c r="I353">
        <v>33</v>
      </c>
      <c r="J353">
        <v>36</v>
      </c>
      <c r="K353">
        <v>45</v>
      </c>
      <c r="L353">
        <v>43</v>
      </c>
      <c r="M353">
        <v>43</v>
      </c>
      <c r="N353">
        <v>50</v>
      </c>
      <c r="O353">
        <v>37</v>
      </c>
      <c r="P353">
        <v>49</v>
      </c>
      <c r="Q353">
        <v>41</v>
      </c>
      <c r="R353">
        <v>48</v>
      </c>
      <c r="S353">
        <v>36</v>
      </c>
      <c r="T353">
        <v>41</v>
      </c>
      <c r="U353">
        <v>36</v>
      </c>
      <c r="V353">
        <v>24</v>
      </c>
      <c r="W353">
        <v>43</v>
      </c>
      <c r="X353">
        <v>33</v>
      </c>
      <c r="Y353">
        <v>28</v>
      </c>
      <c r="Z353">
        <v>26</v>
      </c>
      <c r="AA353">
        <v>30</v>
      </c>
      <c r="AB353">
        <v>28</v>
      </c>
      <c r="AC353">
        <v>35</v>
      </c>
      <c r="AD353">
        <v>31</v>
      </c>
      <c r="AE353">
        <v>28</v>
      </c>
      <c r="AF353">
        <v>34</v>
      </c>
      <c r="AG353">
        <v>31</v>
      </c>
      <c r="AH353">
        <v>34</v>
      </c>
      <c r="AI353">
        <v>39</v>
      </c>
      <c r="AJ353">
        <v>66</v>
      </c>
      <c r="AK353">
        <v>61</v>
      </c>
      <c r="AL353">
        <v>50</v>
      </c>
      <c r="AM353">
        <v>50</v>
      </c>
      <c r="AN353">
        <v>35</v>
      </c>
      <c r="AO353">
        <v>35</v>
      </c>
      <c r="AP353">
        <v>36</v>
      </c>
      <c r="AQ353">
        <v>37</v>
      </c>
      <c r="AR353">
        <v>42</v>
      </c>
      <c r="AS353">
        <v>37</v>
      </c>
      <c r="AT353">
        <v>33</v>
      </c>
      <c r="AU353">
        <v>37</v>
      </c>
      <c r="AV353">
        <v>43</v>
      </c>
      <c r="AW353">
        <v>47</v>
      </c>
      <c r="AX353">
        <v>51</v>
      </c>
      <c r="AY353">
        <v>42</v>
      </c>
      <c r="AZ353">
        <v>54</v>
      </c>
      <c r="BA353">
        <v>44</v>
      </c>
      <c r="BB353">
        <v>46</v>
      </c>
      <c r="BC353">
        <v>35</v>
      </c>
    </row>
    <row r="354" spans="1:55" x14ac:dyDescent="0.25">
      <c r="A354" t="s">
        <v>3988</v>
      </c>
      <c r="B354" t="s">
        <v>129</v>
      </c>
      <c r="C354" t="s">
        <v>86</v>
      </c>
      <c r="D354">
        <v>97</v>
      </c>
      <c r="E354">
        <v>67.36</v>
      </c>
      <c r="F354">
        <v>79</v>
      </c>
      <c r="G354">
        <v>67</v>
      </c>
      <c r="H354">
        <v>49</v>
      </c>
      <c r="I354">
        <v>52</v>
      </c>
      <c r="J354">
        <v>61</v>
      </c>
      <c r="K354">
        <v>67</v>
      </c>
      <c r="L354">
        <v>65</v>
      </c>
      <c r="M354">
        <v>69</v>
      </c>
      <c r="N354">
        <v>72</v>
      </c>
      <c r="O354">
        <v>73</v>
      </c>
      <c r="P354">
        <v>70</v>
      </c>
      <c r="Q354">
        <v>68</v>
      </c>
      <c r="R354">
        <v>65</v>
      </c>
      <c r="S354">
        <v>67</v>
      </c>
      <c r="T354">
        <v>67</v>
      </c>
      <c r="U354">
        <v>56</v>
      </c>
      <c r="V354">
        <v>58</v>
      </c>
      <c r="W354">
        <v>69</v>
      </c>
      <c r="X354">
        <v>66</v>
      </c>
      <c r="Y354">
        <v>58</v>
      </c>
      <c r="Z354">
        <v>57</v>
      </c>
      <c r="AA354">
        <v>57</v>
      </c>
      <c r="AB354">
        <v>48</v>
      </c>
      <c r="AC354">
        <v>53</v>
      </c>
      <c r="AD354">
        <v>52</v>
      </c>
      <c r="AE354">
        <v>55</v>
      </c>
      <c r="AF354">
        <v>61</v>
      </c>
      <c r="AG354">
        <v>59</v>
      </c>
      <c r="AH354">
        <v>69</v>
      </c>
      <c r="AI354">
        <v>64</v>
      </c>
      <c r="AJ354">
        <v>95</v>
      </c>
      <c r="AK354">
        <v>81</v>
      </c>
      <c r="AL354">
        <v>65</v>
      </c>
      <c r="AM354">
        <v>65</v>
      </c>
      <c r="AN354">
        <v>45</v>
      </c>
      <c r="AO354">
        <v>48</v>
      </c>
      <c r="AP354">
        <v>56</v>
      </c>
      <c r="AQ354">
        <v>81</v>
      </c>
      <c r="AR354">
        <v>78</v>
      </c>
      <c r="AS354">
        <v>69</v>
      </c>
      <c r="AT354">
        <v>77</v>
      </c>
      <c r="AU354">
        <v>74</v>
      </c>
      <c r="AV354">
        <v>80</v>
      </c>
      <c r="AW354">
        <v>94</v>
      </c>
      <c r="AX354">
        <v>84</v>
      </c>
      <c r="AY354">
        <v>83</v>
      </c>
      <c r="AZ354">
        <v>82</v>
      </c>
      <c r="BA354">
        <v>82</v>
      </c>
      <c r="BB354">
        <v>78</v>
      </c>
      <c r="BC354">
        <v>78</v>
      </c>
    </row>
    <row r="355" spans="1:55" x14ac:dyDescent="0.25">
      <c r="A355" t="s">
        <v>3989</v>
      </c>
      <c r="B355" t="s">
        <v>241</v>
      </c>
      <c r="C355" t="s">
        <v>86</v>
      </c>
      <c r="D355">
        <v>166</v>
      </c>
      <c r="E355">
        <v>50.8</v>
      </c>
      <c r="F355">
        <v>55</v>
      </c>
      <c r="G355">
        <v>46</v>
      </c>
      <c r="H355">
        <v>42</v>
      </c>
      <c r="I355">
        <v>36</v>
      </c>
      <c r="J355">
        <v>47</v>
      </c>
      <c r="K355">
        <v>42</v>
      </c>
      <c r="L355">
        <v>46</v>
      </c>
      <c r="M355">
        <v>45</v>
      </c>
      <c r="N355">
        <v>52</v>
      </c>
      <c r="O355">
        <v>55</v>
      </c>
      <c r="P355">
        <v>48</v>
      </c>
      <c r="Q355">
        <v>49</v>
      </c>
      <c r="R355">
        <v>46</v>
      </c>
      <c r="S355">
        <v>57</v>
      </c>
      <c r="T355">
        <v>55</v>
      </c>
      <c r="U355">
        <v>51</v>
      </c>
      <c r="V355">
        <v>52</v>
      </c>
      <c r="W355">
        <v>47</v>
      </c>
      <c r="X355">
        <v>49</v>
      </c>
      <c r="Y355">
        <v>43</v>
      </c>
      <c r="Z355">
        <v>41</v>
      </c>
      <c r="AA355">
        <v>42</v>
      </c>
      <c r="AB355">
        <v>41</v>
      </c>
      <c r="AC355">
        <v>37</v>
      </c>
      <c r="AD355">
        <v>43</v>
      </c>
      <c r="AE355">
        <v>42</v>
      </c>
      <c r="AF355">
        <v>50</v>
      </c>
      <c r="AG355">
        <v>49</v>
      </c>
      <c r="AH355">
        <v>45</v>
      </c>
      <c r="AI355">
        <v>51</v>
      </c>
      <c r="AJ355">
        <v>68</v>
      </c>
      <c r="AK355">
        <v>62</v>
      </c>
      <c r="AL355">
        <v>61</v>
      </c>
      <c r="AM355">
        <v>52</v>
      </c>
      <c r="AN355">
        <v>43</v>
      </c>
      <c r="AO355">
        <v>35</v>
      </c>
      <c r="AP355">
        <v>39</v>
      </c>
      <c r="AQ355">
        <v>55</v>
      </c>
      <c r="AR355">
        <v>47</v>
      </c>
      <c r="AS355">
        <v>52</v>
      </c>
      <c r="AT355">
        <v>57</v>
      </c>
      <c r="AU355">
        <v>57</v>
      </c>
      <c r="AV355">
        <v>59</v>
      </c>
      <c r="AW355">
        <v>71</v>
      </c>
      <c r="AX355">
        <v>64</v>
      </c>
      <c r="AY355">
        <v>63</v>
      </c>
      <c r="AZ355">
        <v>65</v>
      </c>
      <c r="BA355">
        <v>61</v>
      </c>
      <c r="BB355">
        <v>63</v>
      </c>
      <c r="BC355">
        <v>62</v>
      </c>
    </row>
    <row r="356" spans="1:55" x14ac:dyDescent="0.25">
      <c r="A356" t="s">
        <v>3990</v>
      </c>
      <c r="B356" t="s">
        <v>242</v>
      </c>
      <c r="C356" t="s">
        <v>86</v>
      </c>
      <c r="D356">
        <v>99</v>
      </c>
      <c r="E356">
        <v>51.34</v>
      </c>
      <c r="F356">
        <v>73</v>
      </c>
      <c r="G356">
        <v>60</v>
      </c>
      <c r="H356">
        <v>35</v>
      </c>
      <c r="I356">
        <v>33</v>
      </c>
      <c r="J356">
        <v>43</v>
      </c>
      <c r="K356">
        <v>46</v>
      </c>
      <c r="L356">
        <v>43</v>
      </c>
      <c r="M356">
        <v>58</v>
      </c>
      <c r="N356">
        <v>60</v>
      </c>
      <c r="O356">
        <v>57</v>
      </c>
      <c r="P356">
        <v>59</v>
      </c>
      <c r="Q356">
        <v>63</v>
      </c>
      <c r="R356">
        <v>61</v>
      </c>
      <c r="S356">
        <v>50</v>
      </c>
      <c r="T356">
        <v>54</v>
      </c>
      <c r="U356">
        <v>51</v>
      </c>
      <c r="V356">
        <v>42</v>
      </c>
      <c r="W356">
        <v>52</v>
      </c>
      <c r="X356">
        <v>60</v>
      </c>
      <c r="Y356">
        <v>55</v>
      </c>
      <c r="Z356">
        <v>46</v>
      </c>
      <c r="AA356">
        <v>45</v>
      </c>
      <c r="AB356">
        <v>34</v>
      </c>
      <c r="AC356">
        <v>35</v>
      </c>
      <c r="AD356">
        <v>33</v>
      </c>
      <c r="AE356">
        <v>36</v>
      </c>
      <c r="AF356">
        <v>49</v>
      </c>
      <c r="AG356">
        <v>52</v>
      </c>
      <c r="AH356">
        <v>45</v>
      </c>
      <c r="AI356">
        <v>56</v>
      </c>
      <c r="AJ356">
        <v>84</v>
      </c>
      <c r="AK356">
        <v>71</v>
      </c>
      <c r="AL356">
        <v>58</v>
      </c>
      <c r="AM356">
        <v>55</v>
      </c>
      <c r="AN356">
        <v>34</v>
      </c>
      <c r="AO356">
        <v>27</v>
      </c>
      <c r="AP356">
        <v>28</v>
      </c>
      <c r="AQ356">
        <v>53</v>
      </c>
      <c r="AR356">
        <v>47</v>
      </c>
      <c r="AS356">
        <v>42</v>
      </c>
      <c r="AT356">
        <v>57</v>
      </c>
      <c r="AU356">
        <v>53</v>
      </c>
      <c r="AV356">
        <v>55</v>
      </c>
      <c r="AW356">
        <v>65</v>
      </c>
      <c r="AX356">
        <v>65</v>
      </c>
      <c r="AY356">
        <v>58</v>
      </c>
      <c r="AZ356">
        <v>59</v>
      </c>
      <c r="BA356">
        <v>58</v>
      </c>
      <c r="BB356">
        <v>62</v>
      </c>
      <c r="BC356">
        <v>50</v>
      </c>
    </row>
    <row r="357" spans="1:55" x14ac:dyDescent="0.25">
      <c r="A357" t="s">
        <v>3991</v>
      </c>
      <c r="B357" t="s">
        <v>132</v>
      </c>
      <c r="C357" t="s">
        <v>86</v>
      </c>
      <c r="D357">
        <v>139</v>
      </c>
      <c r="E357">
        <v>30.46</v>
      </c>
      <c r="F357">
        <v>53</v>
      </c>
      <c r="G357">
        <v>39</v>
      </c>
      <c r="H357">
        <v>36</v>
      </c>
      <c r="I357">
        <v>33</v>
      </c>
      <c r="J357">
        <v>39</v>
      </c>
      <c r="K357">
        <v>39</v>
      </c>
      <c r="L357">
        <v>33</v>
      </c>
      <c r="M357">
        <v>30</v>
      </c>
      <c r="N357">
        <v>33</v>
      </c>
      <c r="O357">
        <v>29</v>
      </c>
      <c r="P357">
        <v>26</v>
      </c>
      <c r="Q357">
        <v>29</v>
      </c>
      <c r="R357">
        <v>32</v>
      </c>
      <c r="S357">
        <v>34</v>
      </c>
      <c r="T357">
        <v>40</v>
      </c>
      <c r="U357">
        <v>33</v>
      </c>
      <c r="V357">
        <v>31</v>
      </c>
      <c r="W357">
        <v>37</v>
      </c>
      <c r="X357">
        <v>25</v>
      </c>
      <c r="Y357">
        <v>33</v>
      </c>
      <c r="Z357">
        <v>26</v>
      </c>
      <c r="AA357">
        <v>27</v>
      </c>
      <c r="AB357">
        <v>26</v>
      </c>
      <c r="AC357">
        <v>31</v>
      </c>
      <c r="AD357">
        <v>27</v>
      </c>
      <c r="AE357">
        <v>28</v>
      </c>
      <c r="AF357">
        <v>29</v>
      </c>
      <c r="AG357">
        <v>27</v>
      </c>
      <c r="AH357">
        <v>34</v>
      </c>
      <c r="AI357">
        <v>30</v>
      </c>
      <c r="AJ357">
        <v>48</v>
      </c>
      <c r="AK357">
        <v>43</v>
      </c>
      <c r="AL357">
        <v>35</v>
      </c>
      <c r="AM357">
        <v>26</v>
      </c>
      <c r="AN357">
        <v>24</v>
      </c>
      <c r="AO357">
        <v>21</v>
      </c>
      <c r="AP357">
        <v>19</v>
      </c>
      <c r="AQ357">
        <v>25</v>
      </c>
      <c r="AR357">
        <v>22</v>
      </c>
      <c r="AS357">
        <v>17</v>
      </c>
      <c r="AT357">
        <v>25</v>
      </c>
      <c r="AU357">
        <v>26</v>
      </c>
      <c r="AV357">
        <v>25</v>
      </c>
      <c r="AW357">
        <v>31</v>
      </c>
      <c r="AX357">
        <v>26</v>
      </c>
      <c r="AY357">
        <v>30</v>
      </c>
      <c r="AZ357">
        <v>33</v>
      </c>
      <c r="BA357">
        <v>29</v>
      </c>
      <c r="BB357">
        <v>27</v>
      </c>
      <c r="BC357">
        <v>22</v>
      </c>
    </row>
    <row r="358" spans="1:55" x14ac:dyDescent="0.25">
      <c r="A358" t="s">
        <v>3992</v>
      </c>
      <c r="B358" t="s">
        <v>243</v>
      </c>
      <c r="C358" t="s">
        <v>86</v>
      </c>
      <c r="D358">
        <v>207</v>
      </c>
      <c r="E358">
        <v>38.9</v>
      </c>
      <c r="F358">
        <v>56</v>
      </c>
      <c r="G358">
        <v>43</v>
      </c>
      <c r="H358">
        <v>35</v>
      </c>
      <c r="I358">
        <v>20</v>
      </c>
      <c r="J358">
        <v>45</v>
      </c>
      <c r="K358">
        <v>43</v>
      </c>
      <c r="L358">
        <v>35</v>
      </c>
      <c r="M358">
        <v>43</v>
      </c>
      <c r="N358">
        <v>43</v>
      </c>
      <c r="O358">
        <v>40</v>
      </c>
      <c r="P358">
        <v>41</v>
      </c>
      <c r="Q358">
        <v>34</v>
      </c>
      <c r="R358">
        <v>35</v>
      </c>
      <c r="S358">
        <v>37</v>
      </c>
      <c r="T358">
        <v>42</v>
      </c>
      <c r="U358">
        <v>37</v>
      </c>
      <c r="V358">
        <v>35</v>
      </c>
      <c r="W358">
        <v>39</v>
      </c>
      <c r="X358">
        <v>31</v>
      </c>
      <c r="Y358">
        <v>28</v>
      </c>
      <c r="Z358">
        <v>29</v>
      </c>
      <c r="AA358">
        <v>30</v>
      </c>
      <c r="AB358">
        <v>28</v>
      </c>
      <c r="AC358">
        <v>26</v>
      </c>
      <c r="AD358">
        <v>21</v>
      </c>
      <c r="AE358">
        <v>26</v>
      </c>
      <c r="AF358">
        <v>29</v>
      </c>
      <c r="AG358">
        <v>27</v>
      </c>
      <c r="AH358">
        <v>35</v>
      </c>
      <c r="AI358">
        <v>34</v>
      </c>
      <c r="AJ358">
        <v>70</v>
      </c>
      <c r="AK358">
        <v>49</v>
      </c>
      <c r="AL358">
        <v>47</v>
      </c>
      <c r="AM358">
        <v>42</v>
      </c>
      <c r="AN358">
        <v>31</v>
      </c>
      <c r="AO358">
        <v>26</v>
      </c>
      <c r="AP358">
        <v>33</v>
      </c>
      <c r="AQ358">
        <v>49</v>
      </c>
      <c r="AR358">
        <v>43</v>
      </c>
      <c r="AS358">
        <v>46</v>
      </c>
      <c r="AT358">
        <v>47</v>
      </c>
      <c r="AU358">
        <v>50</v>
      </c>
      <c r="AV358">
        <v>46</v>
      </c>
      <c r="AW358">
        <v>45</v>
      </c>
      <c r="AX358">
        <v>54</v>
      </c>
      <c r="AY358">
        <v>45</v>
      </c>
      <c r="AZ358">
        <v>46</v>
      </c>
      <c r="BA358">
        <v>45</v>
      </c>
      <c r="BB358">
        <v>43</v>
      </c>
      <c r="BC358">
        <v>41</v>
      </c>
    </row>
    <row r="359" spans="1:55" x14ac:dyDescent="0.25">
      <c r="A359" t="s">
        <v>3993</v>
      </c>
      <c r="B359" t="s">
        <v>37</v>
      </c>
      <c r="C359" t="s">
        <v>86</v>
      </c>
      <c r="D359">
        <v>1542</v>
      </c>
      <c r="E359">
        <v>42.58</v>
      </c>
      <c r="F359">
        <v>63</v>
      </c>
      <c r="G359">
        <v>48</v>
      </c>
      <c r="H359">
        <v>42</v>
      </c>
      <c r="I359">
        <v>36</v>
      </c>
      <c r="J359">
        <v>44</v>
      </c>
      <c r="K359">
        <v>45</v>
      </c>
      <c r="L359">
        <v>38</v>
      </c>
      <c r="M359">
        <v>47</v>
      </c>
      <c r="N359">
        <v>50</v>
      </c>
      <c r="O359">
        <v>45</v>
      </c>
      <c r="P359">
        <v>43</v>
      </c>
      <c r="Q359">
        <v>40</v>
      </c>
      <c r="R359">
        <v>39</v>
      </c>
      <c r="S359">
        <v>47</v>
      </c>
      <c r="T359">
        <v>49</v>
      </c>
      <c r="U359">
        <v>43</v>
      </c>
      <c r="V359">
        <v>42</v>
      </c>
      <c r="W359">
        <v>42</v>
      </c>
      <c r="X359">
        <v>39</v>
      </c>
      <c r="Y359">
        <v>36</v>
      </c>
      <c r="Z359">
        <v>34</v>
      </c>
      <c r="AA359">
        <v>27</v>
      </c>
      <c r="AB359">
        <v>27</v>
      </c>
      <c r="AC359">
        <v>23</v>
      </c>
      <c r="AD359">
        <v>21</v>
      </c>
      <c r="AE359">
        <v>22</v>
      </c>
      <c r="AF359">
        <v>25</v>
      </c>
      <c r="AG359">
        <v>27</v>
      </c>
      <c r="AH359">
        <v>32</v>
      </c>
      <c r="AI359">
        <v>33</v>
      </c>
      <c r="AJ359">
        <v>55</v>
      </c>
      <c r="AK359">
        <v>51</v>
      </c>
      <c r="AL359">
        <v>50</v>
      </c>
      <c r="AM359">
        <v>41</v>
      </c>
      <c r="AN359">
        <v>29</v>
      </c>
      <c r="AO359">
        <v>27</v>
      </c>
      <c r="AP359">
        <v>37</v>
      </c>
      <c r="AQ359">
        <v>53</v>
      </c>
      <c r="AR359">
        <v>50</v>
      </c>
      <c r="AS359">
        <v>47</v>
      </c>
      <c r="AT359">
        <v>58</v>
      </c>
      <c r="AU359">
        <v>55</v>
      </c>
      <c r="AV359">
        <v>54</v>
      </c>
      <c r="AW359">
        <v>56</v>
      </c>
      <c r="AX359">
        <v>58</v>
      </c>
      <c r="AY359">
        <v>52</v>
      </c>
      <c r="AZ359">
        <v>52</v>
      </c>
      <c r="BA359">
        <v>55</v>
      </c>
      <c r="BB359">
        <v>50</v>
      </c>
      <c r="BC359">
        <v>50</v>
      </c>
    </row>
    <row r="360" spans="1:55" x14ac:dyDescent="0.25">
      <c r="A360" t="s">
        <v>3994</v>
      </c>
      <c r="B360" t="s">
        <v>134</v>
      </c>
      <c r="C360" t="s">
        <v>86</v>
      </c>
      <c r="D360">
        <v>436</v>
      </c>
      <c r="E360">
        <v>46</v>
      </c>
      <c r="F360">
        <v>64</v>
      </c>
      <c r="G360">
        <v>50</v>
      </c>
      <c r="H360">
        <v>44</v>
      </c>
      <c r="I360">
        <v>38</v>
      </c>
      <c r="J360">
        <v>49</v>
      </c>
      <c r="K360">
        <v>48</v>
      </c>
      <c r="L360">
        <v>42</v>
      </c>
      <c r="M360">
        <v>50</v>
      </c>
      <c r="N360">
        <v>54</v>
      </c>
      <c r="O360">
        <v>45</v>
      </c>
      <c r="P360">
        <v>46</v>
      </c>
      <c r="Q360">
        <v>42</v>
      </c>
      <c r="R360">
        <v>41</v>
      </c>
      <c r="S360">
        <v>49</v>
      </c>
      <c r="T360">
        <v>51</v>
      </c>
      <c r="U360">
        <v>45</v>
      </c>
      <c r="V360">
        <v>45</v>
      </c>
      <c r="W360">
        <v>41</v>
      </c>
      <c r="X360">
        <v>37</v>
      </c>
      <c r="Y360">
        <v>39</v>
      </c>
      <c r="Z360">
        <v>38</v>
      </c>
      <c r="AA360">
        <v>30</v>
      </c>
      <c r="AB360">
        <v>32</v>
      </c>
      <c r="AC360">
        <v>25</v>
      </c>
      <c r="AD360">
        <v>23</v>
      </c>
      <c r="AE360">
        <v>24</v>
      </c>
      <c r="AF360">
        <v>28</v>
      </c>
      <c r="AG360">
        <v>30</v>
      </c>
      <c r="AH360">
        <v>34</v>
      </c>
      <c r="AI360">
        <v>33</v>
      </c>
      <c r="AJ360">
        <v>55</v>
      </c>
      <c r="AK360">
        <v>53</v>
      </c>
      <c r="AL360">
        <v>51</v>
      </c>
      <c r="AM360">
        <v>42</v>
      </c>
      <c r="AN360">
        <v>30</v>
      </c>
      <c r="AO360">
        <v>27</v>
      </c>
      <c r="AP360">
        <v>40</v>
      </c>
      <c r="AQ360">
        <v>59</v>
      </c>
      <c r="AR360">
        <v>60</v>
      </c>
      <c r="AS360">
        <v>57</v>
      </c>
      <c r="AT360">
        <v>64</v>
      </c>
      <c r="AU360">
        <v>63</v>
      </c>
      <c r="AV360">
        <v>62</v>
      </c>
      <c r="AW360">
        <v>61</v>
      </c>
      <c r="AX360">
        <v>64</v>
      </c>
      <c r="AY360">
        <v>60</v>
      </c>
      <c r="AZ360">
        <v>62</v>
      </c>
      <c r="BA360">
        <v>61</v>
      </c>
      <c r="BB360">
        <v>55</v>
      </c>
      <c r="BC360">
        <v>57</v>
      </c>
    </row>
    <row r="361" spans="1:55" x14ac:dyDescent="0.25">
      <c r="A361" t="s">
        <v>3995</v>
      </c>
      <c r="B361" t="s">
        <v>135</v>
      </c>
      <c r="C361" t="s">
        <v>86</v>
      </c>
      <c r="D361">
        <v>201</v>
      </c>
      <c r="E361">
        <v>44.26</v>
      </c>
      <c r="F361">
        <v>64</v>
      </c>
      <c r="G361">
        <v>56</v>
      </c>
      <c r="H361">
        <v>48</v>
      </c>
      <c r="I361">
        <v>41</v>
      </c>
      <c r="J361">
        <v>46</v>
      </c>
      <c r="K361">
        <v>50</v>
      </c>
      <c r="L361">
        <v>38</v>
      </c>
      <c r="M361">
        <v>50</v>
      </c>
      <c r="N361">
        <v>51</v>
      </c>
      <c r="O361">
        <v>46</v>
      </c>
      <c r="P361">
        <v>42</v>
      </c>
      <c r="Q361">
        <v>45</v>
      </c>
      <c r="R361">
        <v>40</v>
      </c>
      <c r="S361">
        <v>52</v>
      </c>
      <c r="T361">
        <v>56</v>
      </c>
      <c r="U361">
        <v>50</v>
      </c>
      <c r="V361">
        <v>46</v>
      </c>
      <c r="W361">
        <v>48</v>
      </c>
      <c r="X361">
        <v>50</v>
      </c>
      <c r="Y361">
        <v>45</v>
      </c>
      <c r="Z361">
        <v>36</v>
      </c>
      <c r="AA361">
        <v>27</v>
      </c>
      <c r="AB361">
        <v>32</v>
      </c>
      <c r="AC361">
        <v>21</v>
      </c>
      <c r="AD361">
        <v>20</v>
      </c>
      <c r="AE361">
        <v>25</v>
      </c>
      <c r="AF361">
        <v>23</v>
      </c>
      <c r="AG361">
        <v>32</v>
      </c>
      <c r="AH361">
        <v>36</v>
      </c>
      <c r="AI361">
        <v>41</v>
      </c>
      <c r="AJ361">
        <v>52</v>
      </c>
      <c r="AK361">
        <v>56</v>
      </c>
      <c r="AL361">
        <v>54</v>
      </c>
      <c r="AM361">
        <v>49</v>
      </c>
      <c r="AN361">
        <v>40</v>
      </c>
      <c r="AO361">
        <v>30</v>
      </c>
      <c r="AP361">
        <v>41</v>
      </c>
      <c r="AQ361">
        <v>47</v>
      </c>
      <c r="AR361">
        <v>50</v>
      </c>
      <c r="AS361">
        <v>40</v>
      </c>
      <c r="AT361">
        <v>51</v>
      </c>
      <c r="AU361">
        <v>48</v>
      </c>
      <c r="AV361">
        <v>50</v>
      </c>
      <c r="AW361">
        <v>54</v>
      </c>
      <c r="AX361">
        <v>56</v>
      </c>
      <c r="AY361">
        <v>42</v>
      </c>
      <c r="AZ361">
        <v>51</v>
      </c>
      <c r="BA361">
        <v>53</v>
      </c>
      <c r="BB361">
        <v>47</v>
      </c>
      <c r="BC361">
        <v>45</v>
      </c>
    </row>
    <row r="362" spans="1:55" x14ac:dyDescent="0.25">
      <c r="A362" t="s">
        <v>3996</v>
      </c>
      <c r="B362" t="s">
        <v>136</v>
      </c>
      <c r="C362" t="s">
        <v>86</v>
      </c>
      <c r="D362">
        <v>600</v>
      </c>
      <c r="E362">
        <v>39.880000000000003</v>
      </c>
      <c r="F362">
        <v>62</v>
      </c>
      <c r="G362">
        <v>45</v>
      </c>
      <c r="H362">
        <v>38</v>
      </c>
      <c r="I362">
        <v>34</v>
      </c>
      <c r="J362">
        <v>40</v>
      </c>
      <c r="K362">
        <v>43</v>
      </c>
      <c r="L362">
        <v>36</v>
      </c>
      <c r="M362">
        <v>45</v>
      </c>
      <c r="N362">
        <v>46</v>
      </c>
      <c r="O362">
        <v>44</v>
      </c>
      <c r="P362">
        <v>41</v>
      </c>
      <c r="Q362">
        <v>37</v>
      </c>
      <c r="R362">
        <v>37</v>
      </c>
      <c r="S362">
        <v>46</v>
      </c>
      <c r="T362">
        <v>47</v>
      </c>
      <c r="U362">
        <v>41</v>
      </c>
      <c r="V362">
        <v>40</v>
      </c>
      <c r="W362">
        <v>42</v>
      </c>
      <c r="X362">
        <v>41</v>
      </c>
      <c r="Y362">
        <v>32</v>
      </c>
      <c r="Z362">
        <v>33</v>
      </c>
      <c r="AA362">
        <v>25</v>
      </c>
      <c r="AB362">
        <v>21</v>
      </c>
      <c r="AC362">
        <v>23</v>
      </c>
      <c r="AD362">
        <v>20</v>
      </c>
      <c r="AE362">
        <v>19</v>
      </c>
      <c r="AF362">
        <v>24</v>
      </c>
      <c r="AG362">
        <v>23</v>
      </c>
      <c r="AH362">
        <v>28</v>
      </c>
      <c r="AI362">
        <v>30</v>
      </c>
      <c r="AJ362">
        <v>58</v>
      </c>
      <c r="AK362">
        <v>50</v>
      </c>
      <c r="AL362">
        <v>50</v>
      </c>
      <c r="AM362">
        <v>39</v>
      </c>
      <c r="AN362">
        <v>25</v>
      </c>
      <c r="AO362">
        <v>27</v>
      </c>
      <c r="AP362">
        <v>34</v>
      </c>
      <c r="AQ362">
        <v>49</v>
      </c>
      <c r="AR362">
        <v>42</v>
      </c>
      <c r="AS362">
        <v>40</v>
      </c>
      <c r="AT362">
        <v>53</v>
      </c>
      <c r="AU362">
        <v>50</v>
      </c>
      <c r="AV362">
        <v>49</v>
      </c>
      <c r="AW362">
        <v>54</v>
      </c>
      <c r="AX362">
        <v>53</v>
      </c>
      <c r="AY362">
        <v>49</v>
      </c>
      <c r="AZ362">
        <v>46</v>
      </c>
      <c r="BA362">
        <v>53</v>
      </c>
      <c r="BB362">
        <v>45</v>
      </c>
      <c r="BC362">
        <v>45</v>
      </c>
    </row>
    <row r="363" spans="1:55" x14ac:dyDescent="0.25">
      <c r="A363" t="s">
        <v>3997</v>
      </c>
      <c r="B363" t="s">
        <v>38</v>
      </c>
      <c r="C363" t="s">
        <v>86</v>
      </c>
      <c r="D363">
        <v>5004</v>
      </c>
      <c r="E363">
        <v>58.6</v>
      </c>
      <c r="F363">
        <v>71</v>
      </c>
      <c r="G363">
        <v>59</v>
      </c>
      <c r="H363">
        <v>50</v>
      </c>
      <c r="I363">
        <v>47</v>
      </c>
      <c r="J363">
        <v>59</v>
      </c>
      <c r="K363">
        <v>56</v>
      </c>
      <c r="L363">
        <v>56</v>
      </c>
      <c r="M363">
        <v>62</v>
      </c>
      <c r="N363">
        <v>62</v>
      </c>
      <c r="O363">
        <v>64</v>
      </c>
      <c r="P363">
        <v>58</v>
      </c>
      <c r="Q363">
        <v>57</v>
      </c>
      <c r="R363">
        <v>57</v>
      </c>
      <c r="S363">
        <v>61</v>
      </c>
      <c r="T363">
        <v>61</v>
      </c>
      <c r="U363">
        <v>56</v>
      </c>
      <c r="V363">
        <v>56</v>
      </c>
      <c r="W363">
        <v>55</v>
      </c>
      <c r="X363">
        <v>57</v>
      </c>
      <c r="Y363">
        <v>54</v>
      </c>
      <c r="Z363">
        <v>52</v>
      </c>
      <c r="AA363">
        <v>51</v>
      </c>
      <c r="AB363">
        <v>49</v>
      </c>
      <c r="AC363">
        <v>46</v>
      </c>
      <c r="AD363">
        <v>48</v>
      </c>
      <c r="AE363">
        <v>46</v>
      </c>
      <c r="AF363">
        <v>50</v>
      </c>
      <c r="AG363">
        <v>52</v>
      </c>
      <c r="AH363">
        <v>56</v>
      </c>
      <c r="AI363">
        <v>55</v>
      </c>
      <c r="AJ363">
        <v>73</v>
      </c>
      <c r="AK363">
        <v>67</v>
      </c>
      <c r="AL363">
        <v>65</v>
      </c>
      <c r="AM363">
        <v>58</v>
      </c>
      <c r="AN363">
        <v>46</v>
      </c>
      <c r="AO363">
        <v>48</v>
      </c>
      <c r="AP363">
        <v>53</v>
      </c>
      <c r="AQ363">
        <v>65</v>
      </c>
      <c r="AR363">
        <v>60</v>
      </c>
      <c r="AS363">
        <v>60</v>
      </c>
      <c r="AT363">
        <v>65</v>
      </c>
      <c r="AU363">
        <v>65</v>
      </c>
      <c r="AV363">
        <v>65</v>
      </c>
      <c r="AW363">
        <v>70</v>
      </c>
      <c r="AX363">
        <v>68</v>
      </c>
      <c r="AY363">
        <v>68</v>
      </c>
      <c r="AZ363">
        <v>67</v>
      </c>
      <c r="BA363">
        <v>69</v>
      </c>
      <c r="BB363">
        <v>68</v>
      </c>
      <c r="BC363">
        <v>67</v>
      </c>
    </row>
    <row r="364" spans="1:55" x14ac:dyDescent="0.25">
      <c r="A364" t="s">
        <v>3998</v>
      </c>
      <c r="B364" t="s">
        <v>137</v>
      </c>
      <c r="C364" t="s">
        <v>86</v>
      </c>
      <c r="D364">
        <v>2336</v>
      </c>
      <c r="E364">
        <v>58.94</v>
      </c>
      <c r="F364">
        <v>69</v>
      </c>
      <c r="G364">
        <v>58</v>
      </c>
      <c r="H364">
        <v>47</v>
      </c>
      <c r="I364">
        <v>44</v>
      </c>
      <c r="J364">
        <v>57</v>
      </c>
      <c r="K364">
        <v>54</v>
      </c>
      <c r="L364">
        <v>54</v>
      </c>
      <c r="M364">
        <v>63</v>
      </c>
      <c r="N364">
        <v>61</v>
      </c>
      <c r="O364">
        <v>63</v>
      </c>
      <c r="P364">
        <v>58</v>
      </c>
      <c r="Q364">
        <v>56</v>
      </c>
      <c r="R364">
        <v>55</v>
      </c>
      <c r="S364">
        <v>61</v>
      </c>
      <c r="T364">
        <v>60</v>
      </c>
      <c r="U364">
        <v>53</v>
      </c>
      <c r="V364">
        <v>55</v>
      </c>
      <c r="W364">
        <v>53</v>
      </c>
      <c r="X364">
        <v>56</v>
      </c>
      <c r="Y364">
        <v>54</v>
      </c>
      <c r="Z364">
        <v>51</v>
      </c>
      <c r="AA364">
        <v>49</v>
      </c>
      <c r="AB364">
        <v>48</v>
      </c>
      <c r="AC364">
        <v>43</v>
      </c>
      <c r="AD364">
        <v>46</v>
      </c>
      <c r="AE364">
        <v>45</v>
      </c>
      <c r="AF364">
        <v>49</v>
      </c>
      <c r="AG364">
        <v>51</v>
      </c>
      <c r="AH364">
        <v>58</v>
      </c>
      <c r="AI364">
        <v>57</v>
      </c>
      <c r="AJ364">
        <v>74</v>
      </c>
      <c r="AK364">
        <v>70</v>
      </c>
      <c r="AL364">
        <v>66</v>
      </c>
      <c r="AM364">
        <v>57</v>
      </c>
      <c r="AN364">
        <v>45</v>
      </c>
      <c r="AO364">
        <v>46</v>
      </c>
      <c r="AP364">
        <v>51</v>
      </c>
      <c r="AQ364">
        <v>67</v>
      </c>
      <c r="AR364">
        <v>62</v>
      </c>
      <c r="AS364">
        <v>63</v>
      </c>
      <c r="AT364">
        <v>68</v>
      </c>
      <c r="AU364">
        <v>68</v>
      </c>
      <c r="AV364">
        <v>70</v>
      </c>
      <c r="AW364">
        <v>76</v>
      </c>
      <c r="AX364">
        <v>74</v>
      </c>
      <c r="AY364">
        <v>73</v>
      </c>
      <c r="AZ364">
        <v>71</v>
      </c>
      <c r="BA364">
        <v>75</v>
      </c>
      <c r="BB364">
        <v>73</v>
      </c>
      <c r="BC364">
        <v>70</v>
      </c>
    </row>
    <row r="365" spans="1:55" x14ac:dyDescent="0.25">
      <c r="A365" t="s">
        <v>3999</v>
      </c>
      <c r="B365" t="s">
        <v>138</v>
      </c>
      <c r="C365" t="s">
        <v>86</v>
      </c>
      <c r="D365">
        <v>2668</v>
      </c>
      <c r="E365">
        <v>57.72</v>
      </c>
      <c r="F365">
        <v>70</v>
      </c>
      <c r="G365">
        <v>58</v>
      </c>
      <c r="H365">
        <v>52</v>
      </c>
      <c r="I365">
        <v>51</v>
      </c>
      <c r="J365">
        <v>60</v>
      </c>
      <c r="K365">
        <v>57</v>
      </c>
      <c r="L365">
        <v>56</v>
      </c>
      <c r="M365">
        <v>59</v>
      </c>
      <c r="N365">
        <v>60</v>
      </c>
      <c r="O365">
        <v>62</v>
      </c>
      <c r="P365">
        <v>55</v>
      </c>
      <c r="Q365">
        <v>56</v>
      </c>
      <c r="R365">
        <v>58</v>
      </c>
      <c r="S365">
        <v>59</v>
      </c>
      <c r="T365">
        <v>61</v>
      </c>
      <c r="U365">
        <v>58</v>
      </c>
      <c r="V365">
        <v>56</v>
      </c>
      <c r="W365">
        <v>56</v>
      </c>
      <c r="X365">
        <v>56</v>
      </c>
      <c r="Y365">
        <v>54</v>
      </c>
      <c r="Z365">
        <v>52</v>
      </c>
      <c r="AA365">
        <v>53</v>
      </c>
      <c r="AB365">
        <v>50</v>
      </c>
      <c r="AC365">
        <v>48</v>
      </c>
      <c r="AD365">
        <v>50</v>
      </c>
      <c r="AE365">
        <v>48</v>
      </c>
      <c r="AF365">
        <v>51</v>
      </c>
      <c r="AG365">
        <v>53</v>
      </c>
      <c r="AH365">
        <v>53</v>
      </c>
      <c r="AI365">
        <v>52</v>
      </c>
      <c r="AJ365">
        <v>71</v>
      </c>
      <c r="AK365">
        <v>64</v>
      </c>
      <c r="AL365">
        <v>63</v>
      </c>
      <c r="AM365">
        <v>56</v>
      </c>
      <c r="AN365">
        <v>46</v>
      </c>
      <c r="AO365">
        <v>50</v>
      </c>
      <c r="AP365">
        <v>56</v>
      </c>
      <c r="AQ365">
        <v>62</v>
      </c>
      <c r="AR365">
        <v>59</v>
      </c>
      <c r="AS365">
        <v>58</v>
      </c>
      <c r="AT365">
        <v>61</v>
      </c>
      <c r="AU365">
        <v>62</v>
      </c>
      <c r="AV365">
        <v>61</v>
      </c>
      <c r="AW365">
        <v>65</v>
      </c>
      <c r="AX365">
        <v>64</v>
      </c>
      <c r="AY365">
        <v>65</v>
      </c>
      <c r="AZ365">
        <v>64</v>
      </c>
      <c r="BA365">
        <v>65</v>
      </c>
      <c r="BB365">
        <v>65</v>
      </c>
      <c r="BC365">
        <v>65</v>
      </c>
    </row>
    <row r="366" spans="1:55" x14ac:dyDescent="0.25">
      <c r="A366" t="s">
        <v>4000</v>
      </c>
      <c r="B366" t="s">
        <v>139</v>
      </c>
      <c r="C366" t="s">
        <v>86</v>
      </c>
      <c r="D366">
        <v>10866</v>
      </c>
      <c r="E366">
        <v>42.56</v>
      </c>
      <c r="F366">
        <v>62</v>
      </c>
      <c r="G366">
        <v>43</v>
      </c>
      <c r="H366">
        <v>39</v>
      </c>
      <c r="I366">
        <v>34</v>
      </c>
      <c r="J366">
        <v>42</v>
      </c>
      <c r="K366">
        <v>41</v>
      </c>
      <c r="L366">
        <v>40</v>
      </c>
      <c r="M366">
        <v>45</v>
      </c>
      <c r="N366">
        <v>45</v>
      </c>
      <c r="O366">
        <v>44</v>
      </c>
      <c r="P366">
        <v>42</v>
      </c>
      <c r="Q366">
        <v>40</v>
      </c>
      <c r="R366">
        <v>40</v>
      </c>
      <c r="S366">
        <v>42</v>
      </c>
      <c r="T366">
        <v>42</v>
      </c>
      <c r="U366">
        <v>39</v>
      </c>
      <c r="V366">
        <v>39</v>
      </c>
      <c r="W366">
        <v>40</v>
      </c>
      <c r="X366">
        <v>39</v>
      </c>
      <c r="Y366">
        <v>38</v>
      </c>
      <c r="Z366">
        <v>36</v>
      </c>
      <c r="AA366">
        <v>35</v>
      </c>
      <c r="AB366">
        <v>33</v>
      </c>
      <c r="AC366">
        <v>30</v>
      </c>
      <c r="AD366">
        <v>31</v>
      </c>
      <c r="AE366">
        <v>30</v>
      </c>
      <c r="AF366">
        <v>34</v>
      </c>
      <c r="AG366">
        <v>37</v>
      </c>
      <c r="AH366">
        <v>40</v>
      </c>
      <c r="AI366">
        <v>38</v>
      </c>
      <c r="AJ366">
        <v>65</v>
      </c>
      <c r="AK366">
        <v>55</v>
      </c>
      <c r="AL366">
        <v>53</v>
      </c>
      <c r="AM366">
        <v>46</v>
      </c>
      <c r="AN366">
        <v>35</v>
      </c>
      <c r="AO366">
        <v>36</v>
      </c>
      <c r="AP366">
        <v>38</v>
      </c>
      <c r="AQ366">
        <v>47</v>
      </c>
      <c r="AR366">
        <v>43</v>
      </c>
      <c r="AS366">
        <v>40</v>
      </c>
      <c r="AT366">
        <v>45</v>
      </c>
      <c r="AU366">
        <v>47</v>
      </c>
      <c r="AV366">
        <v>47</v>
      </c>
      <c r="AW366">
        <v>49</v>
      </c>
      <c r="AX366">
        <v>51</v>
      </c>
      <c r="AY366">
        <v>50</v>
      </c>
      <c r="AZ366">
        <v>50</v>
      </c>
      <c r="BA366">
        <v>52</v>
      </c>
      <c r="BB366">
        <v>51</v>
      </c>
      <c r="BC366">
        <v>48</v>
      </c>
    </row>
    <row r="367" spans="1:55" x14ac:dyDescent="0.25">
      <c r="A367" t="s">
        <v>4001</v>
      </c>
      <c r="B367" t="s">
        <v>140</v>
      </c>
      <c r="C367" t="s">
        <v>86</v>
      </c>
      <c r="D367">
        <v>1355</v>
      </c>
      <c r="E367">
        <v>37.04</v>
      </c>
      <c r="F367">
        <v>54</v>
      </c>
      <c r="G367">
        <v>33</v>
      </c>
      <c r="H367">
        <v>27</v>
      </c>
      <c r="I367">
        <v>22</v>
      </c>
      <c r="J367">
        <v>34</v>
      </c>
      <c r="K367">
        <v>34</v>
      </c>
      <c r="L367">
        <v>30</v>
      </c>
      <c r="M367">
        <v>35</v>
      </c>
      <c r="N367">
        <v>41</v>
      </c>
      <c r="O367">
        <v>38</v>
      </c>
      <c r="P367">
        <v>37</v>
      </c>
      <c r="Q367">
        <v>32</v>
      </c>
      <c r="R367">
        <v>35</v>
      </c>
      <c r="S367">
        <v>35</v>
      </c>
      <c r="T367">
        <v>37</v>
      </c>
      <c r="U367">
        <v>34</v>
      </c>
      <c r="V367">
        <v>32</v>
      </c>
      <c r="W367">
        <v>36</v>
      </c>
      <c r="X367">
        <v>35</v>
      </c>
      <c r="Y367">
        <v>31</v>
      </c>
      <c r="Z367">
        <v>29</v>
      </c>
      <c r="AA367">
        <v>28</v>
      </c>
      <c r="AB367">
        <v>24</v>
      </c>
      <c r="AC367">
        <v>20</v>
      </c>
      <c r="AD367">
        <v>24</v>
      </c>
      <c r="AE367">
        <v>19</v>
      </c>
      <c r="AF367">
        <v>24</v>
      </c>
      <c r="AG367">
        <v>32</v>
      </c>
      <c r="AH367">
        <v>37</v>
      </c>
      <c r="AI367">
        <v>34</v>
      </c>
      <c r="AJ367">
        <v>67</v>
      </c>
      <c r="AK367">
        <v>54</v>
      </c>
      <c r="AL367">
        <v>50</v>
      </c>
      <c r="AM367">
        <v>42</v>
      </c>
      <c r="AN367">
        <v>28</v>
      </c>
      <c r="AO367">
        <v>27</v>
      </c>
      <c r="AP367">
        <v>31</v>
      </c>
      <c r="AQ367">
        <v>43</v>
      </c>
      <c r="AR367">
        <v>41</v>
      </c>
      <c r="AS367">
        <v>41</v>
      </c>
      <c r="AT367">
        <v>46</v>
      </c>
      <c r="AU367">
        <v>48</v>
      </c>
      <c r="AV367">
        <v>47</v>
      </c>
      <c r="AW367">
        <v>50</v>
      </c>
      <c r="AX367">
        <v>50</v>
      </c>
      <c r="AY367">
        <v>48</v>
      </c>
      <c r="AZ367">
        <v>45</v>
      </c>
      <c r="BA367">
        <v>49</v>
      </c>
      <c r="BB367">
        <v>43</v>
      </c>
      <c r="BC367">
        <v>39</v>
      </c>
    </row>
    <row r="368" spans="1:55" x14ac:dyDescent="0.25">
      <c r="A368" t="s">
        <v>4002</v>
      </c>
      <c r="B368" t="s">
        <v>141</v>
      </c>
      <c r="C368" t="s">
        <v>86</v>
      </c>
      <c r="D368">
        <v>708</v>
      </c>
      <c r="E368">
        <v>31.44</v>
      </c>
      <c r="F368">
        <v>46</v>
      </c>
      <c r="G368">
        <v>29</v>
      </c>
      <c r="H368">
        <v>21</v>
      </c>
      <c r="I368">
        <v>21</v>
      </c>
      <c r="J368">
        <v>27</v>
      </c>
      <c r="K368">
        <v>28</v>
      </c>
      <c r="L368">
        <v>25</v>
      </c>
      <c r="M368">
        <v>27</v>
      </c>
      <c r="N368">
        <v>34</v>
      </c>
      <c r="O368">
        <v>33</v>
      </c>
      <c r="P368">
        <v>32</v>
      </c>
      <c r="Q368">
        <v>27</v>
      </c>
      <c r="R368">
        <v>32</v>
      </c>
      <c r="S368">
        <v>31</v>
      </c>
      <c r="T368">
        <v>32</v>
      </c>
      <c r="U368">
        <v>30</v>
      </c>
      <c r="V368">
        <v>29</v>
      </c>
      <c r="W368">
        <v>32</v>
      </c>
      <c r="X368">
        <v>30</v>
      </c>
      <c r="Y368">
        <v>27</v>
      </c>
      <c r="Z368">
        <v>24</v>
      </c>
      <c r="AA368">
        <v>26</v>
      </c>
      <c r="AB368">
        <v>21</v>
      </c>
      <c r="AC368">
        <v>18</v>
      </c>
      <c r="AD368">
        <v>20</v>
      </c>
      <c r="AE368">
        <v>16</v>
      </c>
      <c r="AF368">
        <v>19</v>
      </c>
      <c r="AG368">
        <v>25</v>
      </c>
      <c r="AH368">
        <v>30</v>
      </c>
      <c r="AI368">
        <v>27</v>
      </c>
      <c r="AJ368">
        <v>63</v>
      </c>
      <c r="AK368">
        <v>51</v>
      </c>
      <c r="AL368">
        <v>47</v>
      </c>
      <c r="AM368">
        <v>40</v>
      </c>
      <c r="AN368">
        <v>26</v>
      </c>
      <c r="AO368">
        <v>27</v>
      </c>
      <c r="AP368">
        <v>26</v>
      </c>
      <c r="AQ368">
        <v>35</v>
      </c>
      <c r="AR368">
        <v>34</v>
      </c>
      <c r="AS368">
        <v>30</v>
      </c>
      <c r="AT368">
        <v>37</v>
      </c>
      <c r="AU368">
        <v>37</v>
      </c>
      <c r="AV368">
        <v>39</v>
      </c>
      <c r="AW368">
        <v>40</v>
      </c>
      <c r="AX368">
        <v>42</v>
      </c>
      <c r="AY368">
        <v>37</v>
      </c>
      <c r="AZ368">
        <v>36</v>
      </c>
      <c r="BA368">
        <v>40</v>
      </c>
      <c r="BB368">
        <v>35</v>
      </c>
      <c r="BC368">
        <v>31</v>
      </c>
    </row>
    <row r="369" spans="1:55" x14ac:dyDescent="0.25">
      <c r="A369" t="s">
        <v>4003</v>
      </c>
      <c r="B369" t="s">
        <v>142</v>
      </c>
      <c r="C369" t="s">
        <v>86</v>
      </c>
      <c r="D369">
        <v>583</v>
      </c>
      <c r="E369">
        <v>43.6</v>
      </c>
      <c r="F369">
        <v>64</v>
      </c>
      <c r="G369">
        <v>38</v>
      </c>
      <c r="H369">
        <v>31</v>
      </c>
      <c r="I369">
        <v>24</v>
      </c>
      <c r="J369">
        <v>41</v>
      </c>
      <c r="K369">
        <v>42</v>
      </c>
      <c r="L369">
        <v>36</v>
      </c>
      <c r="M369">
        <v>44</v>
      </c>
      <c r="N369">
        <v>50</v>
      </c>
      <c r="O369">
        <v>47</v>
      </c>
      <c r="P369">
        <v>44</v>
      </c>
      <c r="Q369">
        <v>38</v>
      </c>
      <c r="R369">
        <v>37</v>
      </c>
      <c r="S369">
        <v>40</v>
      </c>
      <c r="T369">
        <v>42</v>
      </c>
      <c r="U369">
        <v>36</v>
      </c>
      <c r="V369">
        <v>36</v>
      </c>
      <c r="W369">
        <v>39</v>
      </c>
      <c r="X369">
        <v>39</v>
      </c>
      <c r="Y369">
        <v>36</v>
      </c>
      <c r="Z369">
        <v>33</v>
      </c>
      <c r="AA369">
        <v>30</v>
      </c>
      <c r="AB369">
        <v>26</v>
      </c>
      <c r="AC369">
        <v>22</v>
      </c>
      <c r="AD369">
        <v>28</v>
      </c>
      <c r="AE369">
        <v>22</v>
      </c>
      <c r="AF369">
        <v>29</v>
      </c>
      <c r="AG369">
        <v>39</v>
      </c>
      <c r="AH369">
        <v>47</v>
      </c>
      <c r="AI369">
        <v>43</v>
      </c>
      <c r="AJ369">
        <v>70</v>
      </c>
      <c r="AK369">
        <v>58</v>
      </c>
      <c r="AL369">
        <v>54</v>
      </c>
      <c r="AM369">
        <v>45</v>
      </c>
      <c r="AN369">
        <v>30</v>
      </c>
      <c r="AO369">
        <v>27</v>
      </c>
      <c r="AP369">
        <v>36</v>
      </c>
      <c r="AQ369">
        <v>52</v>
      </c>
      <c r="AR369">
        <v>50</v>
      </c>
      <c r="AS369">
        <v>53</v>
      </c>
      <c r="AT369">
        <v>57</v>
      </c>
      <c r="AU369">
        <v>62</v>
      </c>
      <c r="AV369">
        <v>58</v>
      </c>
      <c r="AW369">
        <v>64</v>
      </c>
      <c r="AX369">
        <v>60</v>
      </c>
      <c r="AY369">
        <v>61</v>
      </c>
      <c r="AZ369">
        <v>57</v>
      </c>
      <c r="BA369">
        <v>61</v>
      </c>
      <c r="BB369">
        <v>53</v>
      </c>
      <c r="BC369">
        <v>49</v>
      </c>
    </row>
    <row r="370" spans="1:55" x14ac:dyDescent="0.25">
      <c r="A370" t="s">
        <v>4004</v>
      </c>
      <c r="B370" t="s">
        <v>143</v>
      </c>
      <c r="C370" t="s">
        <v>86</v>
      </c>
      <c r="D370">
        <v>2034</v>
      </c>
      <c r="E370">
        <v>30.2</v>
      </c>
      <c r="F370">
        <v>49</v>
      </c>
      <c r="G370">
        <v>32</v>
      </c>
      <c r="H370">
        <v>26</v>
      </c>
      <c r="I370">
        <v>23</v>
      </c>
      <c r="J370">
        <v>29</v>
      </c>
      <c r="K370">
        <v>27</v>
      </c>
      <c r="L370">
        <v>26</v>
      </c>
      <c r="M370">
        <v>31</v>
      </c>
      <c r="N370">
        <v>27</v>
      </c>
      <c r="O370">
        <v>29</v>
      </c>
      <c r="P370">
        <v>23</v>
      </c>
      <c r="Q370">
        <v>23</v>
      </c>
      <c r="R370">
        <v>28</v>
      </c>
      <c r="S370">
        <v>24</v>
      </c>
      <c r="T370">
        <v>22</v>
      </c>
      <c r="U370">
        <v>22</v>
      </c>
      <c r="V370">
        <v>22</v>
      </c>
      <c r="W370">
        <v>23</v>
      </c>
      <c r="X370">
        <v>22</v>
      </c>
      <c r="Y370">
        <v>20</v>
      </c>
      <c r="Z370">
        <v>19</v>
      </c>
      <c r="AA370">
        <v>20</v>
      </c>
      <c r="AB370">
        <v>16</v>
      </c>
      <c r="AC370">
        <v>17</v>
      </c>
      <c r="AD370">
        <v>17</v>
      </c>
      <c r="AE370">
        <v>15</v>
      </c>
      <c r="AF370">
        <v>21</v>
      </c>
      <c r="AG370">
        <v>22</v>
      </c>
      <c r="AH370">
        <v>24</v>
      </c>
      <c r="AI370">
        <v>24</v>
      </c>
      <c r="AJ370">
        <v>60</v>
      </c>
      <c r="AK370">
        <v>44</v>
      </c>
      <c r="AL370">
        <v>44</v>
      </c>
      <c r="AM370">
        <v>38</v>
      </c>
      <c r="AN370">
        <v>23</v>
      </c>
      <c r="AO370">
        <v>33</v>
      </c>
      <c r="AP370">
        <v>33</v>
      </c>
      <c r="AQ370">
        <v>37</v>
      </c>
      <c r="AR370">
        <v>32</v>
      </c>
      <c r="AS370">
        <v>27</v>
      </c>
      <c r="AT370">
        <v>32</v>
      </c>
      <c r="AU370">
        <v>38</v>
      </c>
      <c r="AV370">
        <v>38</v>
      </c>
      <c r="AW370">
        <v>42</v>
      </c>
      <c r="AX370">
        <v>42</v>
      </c>
      <c r="AY370">
        <v>46</v>
      </c>
      <c r="AZ370">
        <v>43</v>
      </c>
      <c r="BA370">
        <v>47</v>
      </c>
      <c r="BB370">
        <v>46</v>
      </c>
      <c r="BC370">
        <v>42</v>
      </c>
    </row>
    <row r="371" spans="1:55" x14ac:dyDescent="0.25">
      <c r="A371" t="s">
        <v>4005</v>
      </c>
      <c r="B371" t="s">
        <v>144</v>
      </c>
      <c r="C371" t="s">
        <v>86</v>
      </c>
      <c r="D371">
        <v>1273</v>
      </c>
      <c r="E371">
        <v>32.68</v>
      </c>
      <c r="F371">
        <v>53</v>
      </c>
      <c r="G371">
        <v>33</v>
      </c>
      <c r="H371">
        <v>28</v>
      </c>
      <c r="I371">
        <v>23</v>
      </c>
      <c r="J371">
        <v>31</v>
      </c>
      <c r="K371">
        <v>28</v>
      </c>
      <c r="L371">
        <v>27</v>
      </c>
      <c r="M371">
        <v>34</v>
      </c>
      <c r="N371">
        <v>28</v>
      </c>
      <c r="O371">
        <v>32</v>
      </c>
      <c r="P371">
        <v>25</v>
      </c>
      <c r="Q371">
        <v>24</v>
      </c>
      <c r="R371">
        <v>31</v>
      </c>
      <c r="S371">
        <v>25</v>
      </c>
      <c r="T371">
        <v>24</v>
      </c>
      <c r="U371">
        <v>23</v>
      </c>
      <c r="V371">
        <v>23</v>
      </c>
      <c r="W371">
        <v>23</v>
      </c>
      <c r="X371">
        <v>22</v>
      </c>
      <c r="Y371">
        <v>21</v>
      </c>
      <c r="Z371">
        <v>20</v>
      </c>
      <c r="AA371">
        <v>21</v>
      </c>
      <c r="AB371">
        <v>16</v>
      </c>
      <c r="AC371">
        <v>18</v>
      </c>
      <c r="AD371">
        <v>19</v>
      </c>
      <c r="AE371">
        <v>16</v>
      </c>
      <c r="AF371">
        <v>24</v>
      </c>
      <c r="AG371">
        <v>25</v>
      </c>
      <c r="AH371">
        <v>28</v>
      </c>
      <c r="AI371">
        <v>26</v>
      </c>
      <c r="AJ371">
        <v>63</v>
      </c>
      <c r="AK371">
        <v>46</v>
      </c>
      <c r="AL371">
        <v>48</v>
      </c>
      <c r="AM371">
        <v>41</v>
      </c>
      <c r="AN371">
        <v>26</v>
      </c>
      <c r="AO371">
        <v>37</v>
      </c>
      <c r="AP371">
        <v>35</v>
      </c>
      <c r="AQ371">
        <v>41</v>
      </c>
      <c r="AR371">
        <v>36</v>
      </c>
      <c r="AS371">
        <v>30</v>
      </c>
      <c r="AT371">
        <v>35</v>
      </c>
      <c r="AU371">
        <v>42</v>
      </c>
      <c r="AV371">
        <v>42</v>
      </c>
      <c r="AW371">
        <v>45</v>
      </c>
      <c r="AX371">
        <v>48</v>
      </c>
      <c r="AY371">
        <v>52</v>
      </c>
      <c r="AZ371">
        <v>48</v>
      </c>
      <c r="BA371">
        <v>51</v>
      </c>
      <c r="BB371">
        <v>51</v>
      </c>
      <c r="BC371">
        <v>46</v>
      </c>
    </row>
    <row r="372" spans="1:55" x14ac:dyDescent="0.25">
      <c r="A372" t="s">
        <v>4006</v>
      </c>
      <c r="B372" t="s">
        <v>145</v>
      </c>
      <c r="C372" t="s">
        <v>86</v>
      </c>
      <c r="D372">
        <v>761</v>
      </c>
      <c r="E372">
        <v>25.94</v>
      </c>
      <c r="F372">
        <v>42</v>
      </c>
      <c r="G372">
        <v>31</v>
      </c>
      <c r="H372">
        <v>24</v>
      </c>
      <c r="I372">
        <v>22</v>
      </c>
      <c r="J372">
        <v>24</v>
      </c>
      <c r="K372">
        <v>26</v>
      </c>
      <c r="L372">
        <v>24</v>
      </c>
      <c r="M372">
        <v>24</v>
      </c>
      <c r="N372">
        <v>24</v>
      </c>
      <c r="O372">
        <v>25</v>
      </c>
      <c r="P372">
        <v>19</v>
      </c>
      <c r="Q372">
        <v>22</v>
      </c>
      <c r="R372">
        <v>21</v>
      </c>
      <c r="S372">
        <v>22</v>
      </c>
      <c r="T372">
        <v>19</v>
      </c>
      <c r="U372">
        <v>20</v>
      </c>
      <c r="V372">
        <v>20</v>
      </c>
      <c r="W372">
        <v>24</v>
      </c>
      <c r="X372">
        <v>22</v>
      </c>
      <c r="Y372">
        <v>18</v>
      </c>
      <c r="Z372">
        <v>18</v>
      </c>
      <c r="AA372">
        <v>18</v>
      </c>
      <c r="AB372">
        <v>14</v>
      </c>
      <c r="AC372">
        <v>16</v>
      </c>
      <c r="AD372">
        <v>13</v>
      </c>
      <c r="AE372">
        <v>12</v>
      </c>
      <c r="AF372">
        <v>15</v>
      </c>
      <c r="AG372">
        <v>17</v>
      </c>
      <c r="AH372">
        <v>17</v>
      </c>
      <c r="AI372">
        <v>18</v>
      </c>
      <c r="AJ372">
        <v>56</v>
      </c>
      <c r="AK372">
        <v>41</v>
      </c>
      <c r="AL372">
        <v>37</v>
      </c>
      <c r="AM372">
        <v>31</v>
      </c>
      <c r="AN372">
        <v>19</v>
      </c>
      <c r="AO372">
        <v>26</v>
      </c>
      <c r="AP372">
        <v>28</v>
      </c>
      <c r="AQ372">
        <v>32</v>
      </c>
      <c r="AR372">
        <v>25</v>
      </c>
      <c r="AS372">
        <v>24</v>
      </c>
      <c r="AT372">
        <v>27</v>
      </c>
      <c r="AU372">
        <v>32</v>
      </c>
      <c r="AV372">
        <v>32</v>
      </c>
      <c r="AW372">
        <v>36</v>
      </c>
      <c r="AX372">
        <v>34</v>
      </c>
      <c r="AY372">
        <v>37</v>
      </c>
      <c r="AZ372">
        <v>35</v>
      </c>
      <c r="BA372">
        <v>41</v>
      </c>
      <c r="BB372">
        <v>38</v>
      </c>
      <c r="BC372">
        <v>35</v>
      </c>
    </row>
    <row r="373" spans="1:55" x14ac:dyDescent="0.25">
      <c r="A373" t="s">
        <v>4007</v>
      </c>
      <c r="B373" t="s">
        <v>146</v>
      </c>
      <c r="C373" t="s">
        <v>86</v>
      </c>
      <c r="D373">
        <v>83</v>
      </c>
      <c r="E373">
        <v>75.02</v>
      </c>
      <c r="F373">
        <v>92</v>
      </c>
      <c r="G373">
        <v>65</v>
      </c>
      <c r="H373">
        <v>67</v>
      </c>
      <c r="I373">
        <v>78</v>
      </c>
      <c r="J373">
        <v>76</v>
      </c>
      <c r="K373">
        <v>71</v>
      </c>
      <c r="L373">
        <v>72</v>
      </c>
      <c r="M373">
        <v>74</v>
      </c>
      <c r="N373">
        <v>83</v>
      </c>
      <c r="O373">
        <v>80</v>
      </c>
      <c r="P373">
        <v>76</v>
      </c>
      <c r="Q373">
        <v>67</v>
      </c>
      <c r="R373">
        <v>74</v>
      </c>
      <c r="S373">
        <v>70</v>
      </c>
      <c r="T373">
        <v>70</v>
      </c>
      <c r="U373">
        <v>72</v>
      </c>
      <c r="V373">
        <v>76</v>
      </c>
      <c r="W373">
        <v>75</v>
      </c>
      <c r="X373">
        <v>73</v>
      </c>
      <c r="Y373">
        <v>75</v>
      </c>
      <c r="Z373">
        <v>73</v>
      </c>
      <c r="AA373">
        <v>75</v>
      </c>
      <c r="AB373">
        <v>68</v>
      </c>
      <c r="AC373">
        <v>68</v>
      </c>
      <c r="AD373">
        <v>72</v>
      </c>
      <c r="AE373">
        <v>73</v>
      </c>
      <c r="AF373">
        <v>71</v>
      </c>
      <c r="AG373">
        <v>71</v>
      </c>
      <c r="AH373">
        <v>74</v>
      </c>
      <c r="AI373">
        <v>72</v>
      </c>
      <c r="AJ373">
        <v>97</v>
      </c>
      <c r="AK373">
        <v>83</v>
      </c>
      <c r="AL373">
        <v>80</v>
      </c>
      <c r="AM373">
        <v>78</v>
      </c>
      <c r="AN373">
        <v>70</v>
      </c>
      <c r="AO373">
        <v>66</v>
      </c>
      <c r="AP373">
        <v>76</v>
      </c>
      <c r="AQ373">
        <v>78</v>
      </c>
      <c r="AR373">
        <v>76</v>
      </c>
      <c r="AS373">
        <v>70</v>
      </c>
      <c r="AT373">
        <v>70</v>
      </c>
      <c r="AU373">
        <v>73</v>
      </c>
      <c r="AV373">
        <v>82</v>
      </c>
      <c r="AW373">
        <v>78</v>
      </c>
      <c r="AX373">
        <v>79</v>
      </c>
      <c r="AY373">
        <v>77</v>
      </c>
      <c r="AZ373">
        <v>81</v>
      </c>
      <c r="BA373">
        <v>79</v>
      </c>
      <c r="BB373">
        <v>79</v>
      </c>
      <c r="BC373">
        <v>76</v>
      </c>
    </row>
    <row r="374" spans="1:55" x14ac:dyDescent="0.25">
      <c r="A374" t="s">
        <v>4008</v>
      </c>
      <c r="B374" t="s">
        <v>147</v>
      </c>
      <c r="C374" t="s">
        <v>86</v>
      </c>
      <c r="D374">
        <v>108</v>
      </c>
      <c r="E374">
        <v>66.180000000000007</v>
      </c>
      <c r="F374">
        <v>72</v>
      </c>
      <c r="G374">
        <v>51</v>
      </c>
      <c r="H374">
        <v>62</v>
      </c>
      <c r="I374">
        <v>64</v>
      </c>
      <c r="J374">
        <v>69</v>
      </c>
      <c r="K374">
        <v>66</v>
      </c>
      <c r="L374">
        <v>71</v>
      </c>
      <c r="M374">
        <v>61</v>
      </c>
      <c r="N374">
        <v>63</v>
      </c>
      <c r="O374">
        <v>72</v>
      </c>
      <c r="P374">
        <v>60</v>
      </c>
      <c r="Q374">
        <v>66</v>
      </c>
      <c r="R374">
        <v>56</v>
      </c>
      <c r="S374">
        <v>56</v>
      </c>
      <c r="T374">
        <v>76</v>
      </c>
      <c r="U374">
        <v>59</v>
      </c>
      <c r="V374">
        <v>59</v>
      </c>
      <c r="W374">
        <v>75</v>
      </c>
      <c r="X374">
        <v>62</v>
      </c>
      <c r="Y374">
        <v>62</v>
      </c>
      <c r="Z374">
        <v>64</v>
      </c>
      <c r="AA374">
        <v>59</v>
      </c>
      <c r="AB374">
        <v>70</v>
      </c>
      <c r="AC374">
        <v>62</v>
      </c>
      <c r="AD374">
        <v>67</v>
      </c>
      <c r="AE374">
        <v>55</v>
      </c>
      <c r="AF374">
        <v>65</v>
      </c>
      <c r="AG374">
        <v>67</v>
      </c>
      <c r="AH374">
        <v>65</v>
      </c>
      <c r="AI374">
        <v>67</v>
      </c>
      <c r="AJ374">
        <v>79</v>
      </c>
      <c r="AK374">
        <v>80</v>
      </c>
      <c r="AL374">
        <v>80</v>
      </c>
      <c r="AM374">
        <v>69</v>
      </c>
      <c r="AN374">
        <v>65</v>
      </c>
      <c r="AO374">
        <v>63</v>
      </c>
      <c r="AP374">
        <v>62</v>
      </c>
      <c r="AQ374">
        <v>67</v>
      </c>
      <c r="AR374">
        <v>61</v>
      </c>
      <c r="AS374">
        <v>54</v>
      </c>
      <c r="AT374">
        <v>73</v>
      </c>
      <c r="AU374">
        <v>70</v>
      </c>
      <c r="AV374">
        <v>74</v>
      </c>
      <c r="AW374">
        <v>78</v>
      </c>
      <c r="AX374">
        <v>69</v>
      </c>
      <c r="AY374">
        <v>69</v>
      </c>
      <c r="AZ374">
        <v>76</v>
      </c>
      <c r="BA374">
        <v>71</v>
      </c>
      <c r="BB374">
        <v>72</v>
      </c>
      <c r="BC374">
        <v>54</v>
      </c>
    </row>
    <row r="375" spans="1:55" x14ac:dyDescent="0.25">
      <c r="A375" t="s">
        <v>4009</v>
      </c>
      <c r="B375" t="s">
        <v>148</v>
      </c>
      <c r="C375" t="s">
        <v>86</v>
      </c>
      <c r="D375">
        <v>817</v>
      </c>
      <c r="E375">
        <v>56.68</v>
      </c>
      <c r="F375">
        <v>70</v>
      </c>
      <c r="G375">
        <v>55</v>
      </c>
      <c r="H375">
        <v>52</v>
      </c>
      <c r="I375">
        <v>47</v>
      </c>
      <c r="J375">
        <v>58</v>
      </c>
      <c r="K375">
        <v>54</v>
      </c>
      <c r="L375">
        <v>52</v>
      </c>
      <c r="M375">
        <v>58</v>
      </c>
      <c r="N375">
        <v>59</v>
      </c>
      <c r="O375">
        <v>62</v>
      </c>
      <c r="P375">
        <v>58</v>
      </c>
      <c r="Q375">
        <v>54</v>
      </c>
      <c r="R375">
        <v>52</v>
      </c>
      <c r="S375">
        <v>57</v>
      </c>
      <c r="T375">
        <v>59</v>
      </c>
      <c r="U375">
        <v>56</v>
      </c>
      <c r="V375">
        <v>58</v>
      </c>
      <c r="W375">
        <v>56</v>
      </c>
      <c r="X375">
        <v>55</v>
      </c>
      <c r="Y375">
        <v>52</v>
      </c>
      <c r="Z375">
        <v>52</v>
      </c>
      <c r="AA375">
        <v>48</v>
      </c>
      <c r="AB375">
        <v>44</v>
      </c>
      <c r="AC375">
        <v>40</v>
      </c>
      <c r="AD375">
        <v>40</v>
      </c>
      <c r="AE375">
        <v>43</v>
      </c>
      <c r="AF375">
        <v>43</v>
      </c>
      <c r="AG375">
        <v>49</v>
      </c>
      <c r="AH375">
        <v>55</v>
      </c>
      <c r="AI375">
        <v>50</v>
      </c>
      <c r="AJ375">
        <v>74</v>
      </c>
      <c r="AK375">
        <v>70</v>
      </c>
      <c r="AL375">
        <v>68</v>
      </c>
      <c r="AM375">
        <v>58</v>
      </c>
      <c r="AN375">
        <v>47</v>
      </c>
      <c r="AO375">
        <v>45</v>
      </c>
      <c r="AP375">
        <v>52</v>
      </c>
      <c r="AQ375">
        <v>60</v>
      </c>
      <c r="AR375">
        <v>54</v>
      </c>
      <c r="AS375">
        <v>51</v>
      </c>
      <c r="AT375">
        <v>60</v>
      </c>
      <c r="AU375">
        <v>62</v>
      </c>
      <c r="AV375">
        <v>63</v>
      </c>
      <c r="AW375">
        <v>68</v>
      </c>
      <c r="AX375">
        <v>70</v>
      </c>
      <c r="AY375">
        <v>68</v>
      </c>
      <c r="AZ375">
        <v>71</v>
      </c>
      <c r="BA375">
        <v>68</v>
      </c>
      <c r="BB375">
        <v>71</v>
      </c>
      <c r="BC375">
        <v>66</v>
      </c>
    </row>
    <row r="376" spans="1:55" x14ac:dyDescent="0.25">
      <c r="A376" t="s">
        <v>4010</v>
      </c>
      <c r="B376" t="s">
        <v>149</v>
      </c>
      <c r="C376" t="s">
        <v>86</v>
      </c>
      <c r="D376">
        <v>66</v>
      </c>
      <c r="E376">
        <v>54.68</v>
      </c>
      <c r="F376">
        <v>59</v>
      </c>
      <c r="G376">
        <v>57</v>
      </c>
      <c r="H376">
        <v>55</v>
      </c>
      <c r="I376">
        <v>36</v>
      </c>
      <c r="J376">
        <v>54</v>
      </c>
      <c r="K376">
        <v>52</v>
      </c>
      <c r="L376">
        <v>52</v>
      </c>
      <c r="M376">
        <v>62</v>
      </c>
      <c r="N376">
        <v>64</v>
      </c>
      <c r="O376">
        <v>61</v>
      </c>
      <c r="P376">
        <v>58</v>
      </c>
      <c r="Q376">
        <v>58</v>
      </c>
      <c r="R376">
        <v>50</v>
      </c>
      <c r="S376">
        <v>66</v>
      </c>
      <c r="T376">
        <v>58</v>
      </c>
      <c r="U376">
        <v>56</v>
      </c>
      <c r="V376">
        <v>62</v>
      </c>
      <c r="W376">
        <v>45</v>
      </c>
      <c r="X376">
        <v>53</v>
      </c>
      <c r="Y376">
        <v>53</v>
      </c>
      <c r="Z376">
        <v>50</v>
      </c>
      <c r="AA376">
        <v>53</v>
      </c>
      <c r="AB376">
        <v>39</v>
      </c>
      <c r="AC376">
        <v>39</v>
      </c>
      <c r="AD376">
        <v>31</v>
      </c>
      <c r="AE376">
        <v>36</v>
      </c>
      <c r="AF376">
        <v>48</v>
      </c>
      <c r="AG376">
        <v>62</v>
      </c>
      <c r="AH376">
        <v>48</v>
      </c>
      <c r="AI376">
        <v>47</v>
      </c>
      <c r="AJ376">
        <v>73</v>
      </c>
      <c r="AK376">
        <v>65</v>
      </c>
      <c r="AL376">
        <v>59</v>
      </c>
      <c r="AM376">
        <v>55</v>
      </c>
      <c r="AN376">
        <v>52</v>
      </c>
      <c r="AO376">
        <v>54</v>
      </c>
      <c r="AP376">
        <v>48</v>
      </c>
      <c r="AQ376">
        <v>62</v>
      </c>
      <c r="AR376">
        <v>50</v>
      </c>
      <c r="AS376">
        <v>49</v>
      </c>
      <c r="AT376">
        <v>51</v>
      </c>
      <c r="AU376">
        <v>51</v>
      </c>
      <c r="AV376">
        <v>57</v>
      </c>
      <c r="AW376">
        <v>63</v>
      </c>
      <c r="AX376">
        <v>63</v>
      </c>
      <c r="AY376">
        <v>63</v>
      </c>
      <c r="AZ376">
        <v>66</v>
      </c>
      <c r="BA376">
        <v>55</v>
      </c>
      <c r="BB376">
        <v>64</v>
      </c>
      <c r="BC376">
        <v>70</v>
      </c>
    </row>
    <row r="377" spans="1:55" x14ac:dyDescent="0.25">
      <c r="A377" t="s">
        <v>4011</v>
      </c>
      <c r="B377" t="s">
        <v>150</v>
      </c>
      <c r="C377" t="s">
        <v>86</v>
      </c>
      <c r="D377">
        <v>981</v>
      </c>
      <c r="E377">
        <v>42.42</v>
      </c>
      <c r="F377">
        <v>71</v>
      </c>
      <c r="G377">
        <v>46</v>
      </c>
      <c r="H377">
        <v>38</v>
      </c>
      <c r="I377">
        <v>36</v>
      </c>
      <c r="J377">
        <v>39</v>
      </c>
      <c r="K377">
        <v>43</v>
      </c>
      <c r="L377">
        <v>42</v>
      </c>
      <c r="M377">
        <v>47</v>
      </c>
      <c r="N377">
        <v>45</v>
      </c>
      <c r="O377">
        <v>47</v>
      </c>
      <c r="P377">
        <v>41</v>
      </c>
      <c r="Q377">
        <v>40</v>
      </c>
      <c r="R377">
        <v>43</v>
      </c>
      <c r="S377">
        <v>43</v>
      </c>
      <c r="T377">
        <v>41</v>
      </c>
      <c r="U377">
        <v>39</v>
      </c>
      <c r="V377">
        <v>36</v>
      </c>
      <c r="W377">
        <v>38</v>
      </c>
      <c r="X377">
        <v>38</v>
      </c>
      <c r="Y377">
        <v>36</v>
      </c>
      <c r="Z377">
        <v>33</v>
      </c>
      <c r="AA377">
        <v>35</v>
      </c>
      <c r="AB377">
        <v>36</v>
      </c>
      <c r="AC377">
        <v>34</v>
      </c>
      <c r="AD377">
        <v>35</v>
      </c>
      <c r="AE377">
        <v>34</v>
      </c>
      <c r="AF377">
        <v>37</v>
      </c>
      <c r="AG377">
        <v>40</v>
      </c>
      <c r="AH377">
        <v>37</v>
      </c>
      <c r="AI377">
        <v>37</v>
      </c>
      <c r="AJ377">
        <v>68</v>
      </c>
      <c r="AK377">
        <v>53</v>
      </c>
      <c r="AL377">
        <v>51</v>
      </c>
      <c r="AM377">
        <v>44</v>
      </c>
      <c r="AN377">
        <v>33</v>
      </c>
      <c r="AO377">
        <v>33</v>
      </c>
      <c r="AP377">
        <v>39</v>
      </c>
      <c r="AQ377">
        <v>50</v>
      </c>
      <c r="AR377">
        <v>47</v>
      </c>
      <c r="AS377">
        <v>46</v>
      </c>
      <c r="AT377">
        <v>46</v>
      </c>
      <c r="AU377">
        <v>43</v>
      </c>
      <c r="AV377">
        <v>44</v>
      </c>
      <c r="AW377">
        <v>48</v>
      </c>
      <c r="AX377">
        <v>47</v>
      </c>
      <c r="AY377">
        <v>42</v>
      </c>
      <c r="AZ377">
        <v>45</v>
      </c>
      <c r="BA377">
        <v>45</v>
      </c>
      <c r="BB377">
        <v>46</v>
      </c>
      <c r="BC377">
        <v>44</v>
      </c>
    </row>
    <row r="378" spans="1:55" x14ac:dyDescent="0.25">
      <c r="A378" t="s">
        <v>4012</v>
      </c>
      <c r="B378" t="s">
        <v>151</v>
      </c>
      <c r="C378" t="s">
        <v>86</v>
      </c>
      <c r="D378">
        <v>409</v>
      </c>
      <c r="E378">
        <v>37.24</v>
      </c>
      <c r="F378">
        <v>72</v>
      </c>
      <c r="G378">
        <v>45</v>
      </c>
      <c r="H378">
        <v>32</v>
      </c>
      <c r="I378">
        <v>28</v>
      </c>
      <c r="J378">
        <v>33</v>
      </c>
      <c r="K378">
        <v>36</v>
      </c>
      <c r="L378">
        <v>36</v>
      </c>
      <c r="M378">
        <v>38</v>
      </c>
      <c r="N378">
        <v>39</v>
      </c>
      <c r="O378">
        <v>40</v>
      </c>
      <c r="P378">
        <v>35</v>
      </c>
      <c r="Q378">
        <v>33</v>
      </c>
      <c r="R378">
        <v>36</v>
      </c>
      <c r="S378">
        <v>39</v>
      </c>
      <c r="T378">
        <v>34</v>
      </c>
      <c r="U378">
        <v>29</v>
      </c>
      <c r="V378">
        <v>27</v>
      </c>
      <c r="W378">
        <v>29</v>
      </c>
      <c r="X378">
        <v>29</v>
      </c>
      <c r="Y378">
        <v>28</v>
      </c>
      <c r="Z378">
        <v>25</v>
      </c>
      <c r="AA378">
        <v>30</v>
      </c>
      <c r="AB378">
        <v>29</v>
      </c>
      <c r="AC378">
        <v>30</v>
      </c>
      <c r="AD378">
        <v>31</v>
      </c>
      <c r="AE378">
        <v>28</v>
      </c>
      <c r="AF378">
        <v>34</v>
      </c>
      <c r="AG378">
        <v>36</v>
      </c>
      <c r="AH378">
        <v>32</v>
      </c>
      <c r="AI378">
        <v>31</v>
      </c>
      <c r="AJ378">
        <v>66</v>
      </c>
      <c r="AK378">
        <v>47</v>
      </c>
      <c r="AL378">
        <v>47</v>
      </c>
      <c r="AM378">
        <v>38</v>
      </c>
      <c r="AN378">
        <v>28</v>
      </c>
      <c r="AO378">
        <v>27</v>
      </c>
      <c r="AP378">
        <v>34</v>
      </c>
      <c r="AQ378">
        <v>46</v>
      </c>
      <c r="AR378">
        <v>44</v>
      </c>
      <c r="AS378">
        <v>43</v>
      </c>
      <c r="AT378">
        <v>45</v>
      </c>
      <c r="AU378">
        <v>41</v>
      </c>
      <c r="AV378">
        <v>45</v>
      </c>
      <c r="AW378">
        <v>43</v>
      </c>
      <c r="AX378">
        <v>42</v>
      </c>
      <c r="AY378">
        <v>37</v>
      </c>
      <c r="AZ378">
        <v>41</v>
      </c>
      <c r="BA378">
        <v>42</v>
      </c>
      <c r="BB378">
        <v>41</v>
      </c>
      <c r="BC378">
        <v>41</v>
      </c>
    </row>
    <row r="379" spans="1:55" x14ac:dyDescent="0.25">
      <c r="A379" t="s">
        <v>4013</v>
      </c>
      <c r="B379" t="s">
        <v>152</v>
      </c>
      <c r="C379" t="s">
        <v>86</v>
      </c>
      <c r="D379">
        <v>57</v>
      </c>
      <c r="E379">
        <v>56.22</v>
      </c>
      <c r="F379">
        <v>83</v>
      </c>
      <c r="G379">
        <v>56</v>
      </c>
      <c r="H379">
        <v>53</v>
      </c>
      <c r="I379">
        <v>51</v>
      </c>
      <c r="J379">
        <v>54</v>
      </c>
      <c r="K379">
        <v>61</v>
      </c>
      <c r="L379">
        <v>67</v>
      </c>
      <c r="M379">
        <v>70</v>
      </c>
      <c r="N379">
        <v>68</v>
      </c>
      <c r="O379">
        <v>64</v>
      </c>
      <c r="P379">
        <v>60</v>
      </c>
      <c r="Q379">
        <v>58</v>
      </c>
      <c r="R379">
        <v>58</v>
      </c>
      <c r="S379">
        <v>63</v>
      </c>
      <c r="T379">
        <v>57</v>
      </c>
      <c r="U379">
        <v>61</v>
      </c>
      <c r="V379">
        <v>55</v>
      </c>
      <c r="W379">
        <v>56</v>
      </c>
      <c r="X379">
        <v>64</v>
      </c>
      <c r="Y379">
        <v>63</v>
      </c>
      <c r="Z379">
        <v>56</v>
      </c>
      <c r="AA379">
        <v>51</v>
      </c>
      <c r="AB379">
        <v>53</v>
      </c>
      <c r="AC379">
        <v>53</v>
      </c>
      <c r="AD379">
        <v>49</v>
      </c>
      <c r="AE379">
        <v>53</v>
      </c>
      <c r="AF379">
        <v>59</v>
      </c>
      <c r="AG379">
        <v>56</v>
      </c>
      <c r="AH379">
        <v>49</v>
      </c>
      <c r="AI379">
        <v>39</v>
      </c>
      <c r="AJ379">
        <v>78</v>
      </c>
      <c r="AK379">
        <v>68</v>
      </c>
      <c r="AL379">
        <v>67</v>
      </c>
      <c r="AM379">
        <v>56</v>
      </c>
      <c r="AN379">
        <v>44</v>
      </c>
      <c r="AO379">
        <v>43</v>
      </c>
      <c r="AP379">
        <v>49</v>
      </c>
      <c r="AQ379">
        <v>60</v>
      </c>
      <c r="AR379">
        <v>61</v>
      </c>
      <c r="AS379">
        <v>57</v>
      </c>
      <c r="AT379">
        <v>49</v>
      </c>
      <c r="AU379">
        <v>47</v>
      </c>
      <c r="AV379">
        <v>44</v>
      </c>
      <c r="AW379">
        <v>49</v>
      </c>
      <c r="AX379">
        <v>34</v>
      </c>
      <c r="AY379">
        <v>48</v>
      </c>
      <c r="AZ379">
        <v>45</v>
      </c>
      <c r="BA379">
        <v>56</v>
      </c>
      <c r="BB379">
        <v>56</v>
      </c>
      <c r="BC379">
        <v>60</v>
      </c>
    </row>
    <row r="380" spans="1:55" x14ac:dyDescent="0.25">
      <c r="A380" t="s">
        <v>4014</v>
      </c>
      <c r="B380" t="s">
        <v>153</v>
      </c>
      <c r="C380" t="s">
        <v>86</v>
      </c>
      <c r="D380">
        <v>968</v>
      </c>
      <c r="E380">
        <v>35.68</v>
      </c>
      <c r="F380">
        <v>53</v>
      </c>
      <c r="G380">
        <v>38</v>
      </c>
      <c r="H380">
        <v>37</v>
      </c>
      <c r="I380">
        <v>31</v>
      </c>
      <c r="J380">
        <v>39</v>
      </c>
      <c r="K380">
        <v>36</v>
      </c>
      <c r="L380">
        <v>37</v>
      </c>
      <c r="M380">
        <v>39</v>
      </c>
      <c r="N380">
        <v>37</v>
      </c>
      <c r="O380">
        <v>41</v>
      </c>
      <c r="P380">
        <v>36</v>
      </c>
      <c r="Q380">
        <v>31</v>
      </c>
      <c r="R380">
        <v>38</v>
      </c>
      <c r="S380">
        <v>38</v>
      </c>
      <c r="T380">
        <v>36</v>
      </c>
      <c r="U380">
        <v>37</v>
      </c>
      <c r="V380">
        <v>30</v>
      </c>
      <c r="W380">
        <v>31</v>
      </c>
      <c r="X380">
        <v>34</v>
      </c>
      <c r="Y380">
        <v>32</v>
      </c>
      <c r="Z380">
        <v>33</v>
      </c>
      <c r="AA380">
        <v>36</v>
      </c>
      <c r="AB380">
        <v>34</v>
      </c>
      <c r="AC380">
        <v>28</v>
      </c>
      <c r="AD380">
        <v>26</v>
      </c>
      <c r="AE380">
        <v>28</v>
      </c>
      <c r="AF380">
        <v>29</v>
      </c>
      <c r="AG380">
        <v>31</v>
      </c>
      <c r="AH380">
        <v>30</v>
      </c>
      <c r="AI380">
        <v>29</v>
      </c>
      <c r="AJ380">
        <v>49</v>
      </c>
      <c r="AK380">
        <v>41</v>
      </c>
      <c r="AL380">
        <v>43</v>
      </c>
      <c r="AM380">
        <v>35</v>
      </c>
      <c r="AN380">
        <v>27</v>
      </c>
      <c r="AO380">
        <v>26</v>
      </c>
      <c r="AP380">
        <v>27</v>
      </c>
      <c r="AQ380">
        <v>39</v>
      </c>
      <c r="AR380">
        <v>39</v>
      </c>
      <c r="AS380">
        <v>34</v>
      </c>
      <c r="AT380">
        <v>36</v>
      </c>
      <c r="AU380">
        <v>39</v>
      </c>
      <c r="AV380">
        <v>36</v>
      </c>
      <c r="AW380">
        <v>37</v>
      </c>
      <c r="AX380">
        <v>38</v>
      </c>
      <c r="AY380">
        <v>40</v>
      </c>
      <c r="AZ380">
        <v>40</v>
      </c>
      <c r="BA380">
        <v>40</v>
      </c>
      <c r="BB380">
        <v>43</v>
      </c>
      <c r="BC380">
        <v>40</v>
      </c>
    </row>
    <row r="381" spans="1:55" x14ac:dyDescent="0.25">
      <c r="A381" t="s">
        <v>4015</v>
      </c>
      <c r="B381" t="s">
        <v>154</v>
      </c>
      <c r="C381" t="s">
        <v>86</v>
      </c>
      <c r="D381">
        <v>109</v>
      </c>
      <c r="E381">
        <v>45.78</v>
      </c>
      <c r="F381">
        <v>76</v>
      </c>
      <c r="G381">
        <v>47</v>
      </c>
      <c r="H381">
        <v>42</v>
      </c>
      <c r="I381">
        <v>36</v>
      </c>
      <c r="J381">
        <v>44</v>
      </c>
      <c r="K381">
        <v>44</v>
      </c>
      <c r="L381">
        <v>41</v>
      </c>
      <c r="M381">
        <v>51</v>
      </c>
      <c r="N381">
        <v>50</v>
      </c>
      <c r="O381">
        <v>61</v>
      </c>
      <c r="P381">
        <v>43</v>
      </c>
      <c r="Q381">
        <v>44</v>
      </c>
      <c r="R381">
        <v>42</v>
      </c>
      <c r="S381">
        <v>44</v>
      </c>
      <c r="T381">
        <v>46</v>
      </c>
      <c r="U381">
        <v>40</v>
      </c>
      <c r="V381">
        <v>44</v>
      </c>
      <c r="W381">
        <v>49</v>
      </c>
      <c r="X381">
        <v>41</v>
      </c>
      <c r="Y381">
        <v>48</v>
      </c>
      <c r="Z381">
        <v>39</v>
      </c>
      <c r="AA381">
        <v>41</v>
      </c>
      <c r="AB381">
        <v>33</v>
      </c>
      <c r="AC381">
        <v>32</v>
      </c>
      <c r="AD381">
        <v>32</v>
      </c>
      <c r="AE381">
        <v>39</v>
      </c>
      <c r="AF381">
        <v>39</v>
      </c>
      <c r="AG381">
        <v>36</v>
      </c>
      <c r="AH381">
        <v>50</v>
      </c>
      <c r="AI381">
        <v>44</v>
      </c>
      <c r="AJ381">
        <v>58</v>
      </c>
      <c r="AK381">
        <v>58</v>
      </c>
      <c r="AL381">
        <v>61</v>
      </c>
      <c r="AM381">
        <v>54</v>
      </c>
      <c r="AN381">
        <v>46</v>
      </c>
      <c r="AO381">
        <v>34</v>
      </c>
      <c r="AP381">
        <v>26</v>
      </c>
      <c r="AQ381">
        <v>49</v>
      </c>
      <c r="AR381">
        <v>50</v>
      </c>
      <c r="AS381">
        <v>39</v>
      </c>
      <c r="AT381">
        <v>50</v>
      </c>
      <c r="AU381">
        <v>45</v>
      </c>
      <c r="AV381">
        <v>40</v>
      </c>
      <c r="AW381">
        <v>56</v>
      </c>
      <c r="AX381">
        <v>59</v>
      </c>
      <c r="AY381">
        <v>45</v>
      </c>
      <c r="AZ381">
        <v>49</v>
      </c>
      <c r="BA381">
        <v>51</v>
      </c>
      <c r="BB381">
        <v>55</v>
      </c>
      <c r="BC381">
        <v>46</v>
      </c>
    </row>
    <row r="382" spans="1:55" x14ac:dyDescent="0.25">
      <c r="A382" t="s">
        <v>4016</v>
      </c>
      <c r="B382" t="s">
        <v>155</v>
      </c>
      <c r="C382" t="s">
        <v>86</v>
      </c>
      <c r="D382">
        <v>248</v>
      </c>
      <c r="E382">
        <v>62.02</v>
      </c>
      <c r="F382">
        <v>79</v>
      </c>
      <c r="G382">
        <v>60</v>
      </c>
      <c r="H382">
        <v>53</v>
      </c>
      <c r="I382">
        <v>45</v>
      </c>
      <c r="J382">
        <v>60</v>
      </c>
      <c r="K382">
        <v>58</v>
      </c>
      <c r="L382">
        <v>56</v>
      </c>
      <c r="M382">
        <v>61</v>
      </c>
      <c r="N382">
        <v>60</v>
      </c>
      <c r="O382">
        <v>63</v>
      </c>
      <c r="P382">
        <v>62</v>
      </c>
      <c r="Q382">
        <v>59</v>
      </c>
      <c r="R382">
        <v>61</v>
      </c>
      <c r="S382">
        <v>66</v>
      </c>
      <c r="T382">
        <v>62</v>
      </c>
      <c r="U382">
        <v>62</v>
      </c>
      <c r="V382">
        <v>57</v>
      </c>
      <c r="W382">
        <v>61</v>
      </c>
      <c r="X382">
        <v>63</v>
      </c>
      <c r="Y382">
        <v>58</v>
      </c>
      <c r="Z382">
        <v>54</v>
      </c>
      <c r="AA382">
        <v>54</v>
      </c>
      <c r="AB382">
        <v>54</v>
      </c>
      <c r="AC382">
        <v>51</v>
      </c>
      <c r="AD382">
        <v>56</v>
      </c>
      <c r="AE382">
        <v>49</v>
      </c>
      <c r="AF382">
        <v>56</v>
      </c>
      <c r="AG382">
        <v>59</v>
      </c>
      <c r="AH382">
        <v>56</v>
      </c>
      <c r="AI382">
        <v>56</v>
      </c>
      <c r="AJ382">
        <v>85</v>
      </c>
      <c r="AK382">
        <v>76</v>
      </c>
      <c r="AL382">
        <v>73</v>
      </c>
      <c r="AM382">
        <v>68</v>
      </c>
      <c r="AN382">
        <v>61</v>
      </c>
      <c r="AO382">
        <v>59</v>
      </c>
      <c r="AP382">
        <v>60</v>
      </c>
      <c r="AQ382">
        <v>65</v>
      </c>
      <c r="AR382">
        <v>58</v>
      </c>
      <c r="AS382">
        <v>55</v>
      </c>
      <c r="AT382">
        <v>65</v>
      </c>
      <c r="AU382">
        <v>69</v>
      </c>
      <c r="AV382">
        <v>63</v>
      </c>
      <c r="AW382">
        <v>70</v>
      </c>
      <c r="AX382">
        <v>66</v>
      </c>
      <c r="AY382">
        <v>72</v>
      </c>
      <c r="AZ382">
        <v>76</v>
      </c>
      <c r="BA382">
        <v>71</v>
      </c>
      <c r="BB382">
        <v>68</v>
      </c>
      <c r="BC382">
        <v>70</v>
      </c>
    </row>
    <row r="383" spans="1:55" x14ac:dyDescent="0.25">
      <c r="A383" t="s">
        <v>4017</v>
      </c>
      <c r="B383" t="s">
        <v>156</v>
      </c>
      <c r="C383" t="s">
        <v>86</v>
      </c>
      <c r="D383">
        <v>127</v>
      </c>
      <c r="E383">
        <v>50.36</v>
      </c>
      <c r="F383">
        <v>63</v>
      </c>
      <c r="G383">
        <v>53</v>
      </c>
      <c r="H383">
        <v>39</v>
      </c>
      <c r="I383">
        <v>37</v>
      </c>
      <c r="J383">
        <v>46</v>
      </c>
      <c r="K383">
        <v>51</v>
      </c>
      <c r="L383">
        <v>41</v>
      </c>
      <c r="M383">
        <v>49</v>
      </c>
      <c r="N383">
        <v>58</v>
      </c>
      <c r="O383">
        <v>39</v>
      </c>
      <c r="P383">
        <v>52</v>
      </c>
      <c r="Q383">
        <v>46</v>
      </c>
      <c r="R383">
        <v>46</v>
      </c>
      <c r="S383">
        <v>53</v>
      </c>
      <c r="T383">
        <v>55</v>
      </c>
      <c r="U383">
        <v>45</v>
      </c>
      <c r="V383">
        <v>54</v>
      </c>
      <c r="W383">
        <v>52</v>
      </c>
      <c r="X383">
        <v>50</v>
      </c>
      <c r="Y383">
        <v>48</v>
      </c>
      <c r="Z383">
        <v>51</v>
      </c>
      <c r="AA383">
        <v>42</v>
      </c>
      <c r="AB383">
        <v>44</v>
      </c>
      <c r="AC383">
        <v>43</v>
      </c>
      <c r="AD383">
        <v>42</v>
      </c>
      <c r="AE383">
        <v>37</v>
      </c>
      <c r="AF383">
        <v>41</v>
      </c>
      <c r="AG383">
        <v>43</v>
      </c>
      <c r="AH383">
        <v>36</v>
      </c>
      <c r="AI383">
        <v>45</v>
      </c>
      <c r="AJ383">
        <v>75</v>
      </c>
      <c r="AK383">
        <v>66</v>
      </c>
      <c r="AL383">
        <v>65</v>
      </c>
      <c r="AM383">
        <v>51</v>
      </c>
      <c r="AN383">
        <v>42</v>
      </c>
      <c r="AO383">
        <v>41</v>
      </c>
      <c r="AP383">
        <v>43</v>
      </c>
      <c r="AQ383">
        <v>57</v>
      </c>
      <c r="AR383">
        <v>46</v>
      </c>
      <c r="AS383">
        <v>44</v>
      </c>
      <c r="AT383">
        <v>54</v>
      </c>
      <c r="AU383">
        <v>58</v>
      </c>
      <c r="AV383">
        <v>64</v>
      </c>
      <c r="AW383">
        <v>60</v>
      </c>
      <c r="AX383">
        <v>58</v>
      </c>
      <c r="AY383">
        <v>61</v>
      </c>
      <c r="AZ383">
        <v>62</v>
      </c>
      <c r="BA383">
        <v>57</v>
      </c>
      <c r="BB383">
        <v>61</v>
      </c>
      <c r="BC383">
        <v>52</v>
      </c>
    </row>
    <row r="384" spans="1:55" x14ac:dyDescent="0.25">
      <c r="A384" t="s">
        <v>4018</v>
      </c>
      <c r="B384" t="s">
        <v>157</v>
      </c>
      <c r="C384" t="s">
        <v>86</v>
      </c>
      <c r="D384">
        <v>112</v>
      </c>
      <c r="E384">
        <v>37.159999999999997</v>
      </c>
      <c r="F384">
        <v>64</v>
      </c>
      <c r="G384">
        <v>24</v>
      </c>
      <c r="H384">
        <v>23</v>
      </c>
      <c r="I384">
        <v>20</v>
      </c>
      <c r="J384">
        <v>33</v>
      </c>
      <c r="K384">
        <v>28</v>
      </c>
      <c r="L384">
        <v>35</v>
      </c>
      <c r="M384">
        <v>38</v>
      </c>
      <c r="N384">
        <v>42</v>
      </c>
      <c r="O384">
        <v>41</v>
      </c>
      <c r="P384">
        <v>35</v>
      </c>
      <c r="Q384">
        <v>27</v>
      </c>
      <c r="R384">
        <v>41</v>
      </c>
      <c r="S384">
        <v>34</v>
      </c>
      <c r="T384">
        <v>40</v>
      </c>
      <c r="U384">
        <v>34</v>
      </c>
      <c r="V384">
        <v>33</v>
      </c>
      <c r="W384">
        <v>34</v>
      </c>
      <c r="X384">
        <v>34</v>
      </c>
      <c r="Y384">
        <v>24</v>
      </c>
      <c r="Z384">
        <v>20</v>
      </c>
      <c r="AA384">
        <v>21</v>
      </c>
      <c r="AB384">
        <v>19</v>
      </c>
      <c r="AC384">
        <v>18</v>
      </c>
      <c r="AD384">
        <v>16</v>
      </c>
      <c r="AE384">
        <v>20</v>
      </c>
      <c r="AF384">
        <v>27</v>
      </c>
      <c r="AG384">
        <v>39</v>
      </c>
      <c r="AH384">
        <v>43</v>
      </c>
      <c r="AI384">
        <v>39</v>
      </c>
      <c r="AJ384">
        <v>67</v>
      </c>
      <c r="AK384">
        <v>60</v>
      </c>
      <c r="AL384">
        <v>48</v>
      </c>
      <c r="AM384">
        <v>46</v>
      </c>
      <c r="AN384">
        <v>20</v>
      </c>
      <c r="AO384">
        <v>24</v>
      </c>
      <c r="AP384">
        <v>35</v>
      </c>
      <c r="AQ384">
        <v>33</v>
      </c>
      <c r="AR384">
        <v>32</v>
      </c>
      <c r="AS384">
        <v>30</v>
      </c>
      <c r="AT384">
        <v>48</v>
      </c>
      <c r="AU384">
        <v>46</v>
      </c>
      <c r="AV384">
        <v>50</v>
      </c>
      <c r="AW384">
        <v>54</v>
      </c>
      <c r="AX384">
        <v>55</v>
      </c>
      <c r="AY384">
        <v>53</v>
      </c>
      <c r="AZ384">
        <v>49</v>
      </c>
      <c r="BA384">
        <v>52</v>
      </c>
      <c r="BB384">
        <v>63</v>
      </c>
      <c r="BC384">
        <v>47</v>
      </c>
    </row>
    <row r="385" spans="1:55" x14ac:dyDescent="0.25">
      <c r="A385" t="s">
        <v>4019</v>
      </c>
      <c r="B385" t="s">
        <v>158</v>
      </c>
      <c r="C385" t="s">
        <v>86</v>
      </c>
      <c r="D385">
        <v>308</v>
      </c>
      <c r="E385">
        <v>47.46</v>
      </c>
      <c r="F385">
        <v>62</v>
      </c>
      <c r="G385">
        <v>52</v>
      </c>
      <c r="H385">
        <v>42</v>
      </c>
      <c r="I385">
        <v>40</v>
      </c>
      <c r="J385">
        <v>41</v>
      </c>
      <c r="K385">
        <v>48</v>
      </c>
      <c r="L385">
        <v>42</v>
      </c>
      <c r="M385">
        <v>44</v>
      </c>
      <c r="N385">
        <v>50</v>
      </c>
      <c r="O385">
        <v>38</v>
      </c>
      <c r="P385">
        <v>46</v>
      </c>
      <c r="Q385">
        <v>45</v>
      </c>
      <c r="R385">
        <v>44</v>
      </c>
      <c r="S385">
        <v>40</v>
      </c>
      <c r="T385">
        <v>45</v>
      </c>
      <c r="U385">
        <v>41</v>
      </c>
      <c r="V385">
        <v>45</v>
      </c>
      <c r="W385">
        <v>42</v>
      </c>
      <c r="X385">
        <v>43</v>
      </c>
      <c r="Y385">
        <v>39</v>
      </c>
      <c r="Z385">
        <v>42</v>
      </c>
      <c r="AA385">
        <v>44</v>
      </c>
      <c r="AB385">
        <v>36</v>
      </c>
      <c r="AC385">
        <v>35</v>
      </c>
      <c r="AD385">
        <v>35</v>
      </c>
      <c r="AE385">
        <v>37</v>
      </c>
      <c r="AF385">
        <v>43</v>
      </c>
      <c r="AG385">
        <v>43</v>
      </c>
      <c r="AH385">
        <v>48</v>
      </c>
      <c r="AI385">
        <v>51</v>
      </c>
      <c r="AJ385">
        <v>74</v>
      </c>
      <c r="AK385">
        <v>62</v>
      </c>
      <c r="AL385">
        <v>68</v>
      </c>
      <c r="AM385">
        <v>61</v>
      </c>
      <c r="AN385">
        <v>52</v>
      </c>
      <c r="AO385">
        <v>58</v>
      </c>
      <c r="AP385">
        <v>44</v>
      </c>
      <c r="AQ385">
        <v>58</v>
      </c>
      <c r="AR385">
        <v>47</v>
      </c>
      <c r="AS385">
        <v>49</v>
      </c>
      <c r="AT385">
        <v>50</v>
      </c>
      <c r="AU385">
        <v>44</v>
      </c>
      <c r="AV385">
        <v>47</v>
      </c>
      <c r="AW385">
        <v>45</v>
      </c>
      <c r="AX385">
        <v>55</v>
      </c>
      <c r="AY385">
        <v>49</v>
      </c>
      <c r="AZ385">
        <v>48</v>
      </c>
      <c r="BA385">
        <v>54</v>
      </c>
      <c r="BB385">
        <v>52</v>
      </c>
      <c r="BC385">
        <v>53</v>
      </c>
    </row>
    <row r="386" spans="1:55" x14ac:dyDescent="0.25">
      <c r="A386" t="s">
        <v>4020</v>
      </c>
      <c r="B386" t="s">
        <v>159</v>
      </c>
      <c r="C386" t="s">
        <v>86</v>
      </c>
      <c r="D386">
        <v>231</v>
      </c>
      <c r="E386">
        <v>31.68</v>
      </c>
      <c r="F386">
        <v>52</v>
      </c>
      <c r="G386">
        <v>41</v>
      </c>
      <c r="H386">
        <v>38</v>
      </c>
      <c r="I386">
        <v>32</v>
      </c>
      <c r="J386">
        <v>42</v>
      </c>
      <c r="K386">
        <v>39</v>
      </c>
      <c r="L386">
        <v>35</v>
      </c>
      <c r="M386">
        <v>41</v>
      </c>
      <c r="N386">
        <v>36</v>
      </c>
      <c r="O386">
        <v>36</v>
      </c>
      <c r="P386">
        <v>32</v>
      </c>
      <c r="Q386">
        <v>34</v>
      </c>
      <c r="R386">
        <v>27</v>
      </c>
      <c r="S386">
        <v>34</v>
      </c>
      <c r="T386">
        <v>35</v>
      </c>
      <c r="U386">
        <v>29</v>
      </c>
      <c r="V386">
        <v>35</v>
      </c>
      <c r="W386">
        <v>29</v>
      </c>
      <c r="X386">
        <v>31</v>
      </c>
      <c r="Y386">
        <v>31</v>
      </c>
      <c r="Z386">
        <v>29</v>
      </c>
      <c r="AA386">
        <v>29</v>
      </c>
      <c r="AB386">
        <v>34</v>
      </c>
      <c r="AC386">
        <v>23</v>
      </c>
      <c r="AD386">
        <v>26</v>
      </c>
      <c r="AE386">
        <v>27</v>
      </c>
      <c r="AF386">
        <v>25</v>
      </c>
      <c r="AG386">
        <v>26</v>
      </c>
      <c r="AH386">
        <v>28</v>
      </c>
      <c r="AI386">
        <v>31</v>
      </c>
      <c r="AJ386">
        <v>60</v>
      </c>
      <c r="AK386">
        <v>41</v>
      </c>
      <c r="AL386">
        <v>36</v>
      </c>
      <c r="AM386">
        <v>32</v>
      </c>
      <c r="AN386">
        <v>24</v>
      </c>
      <c r="AO386">
        <v>17</v>
      </c>
      <c r="AP386">
        <v>25</v>
      </c>
      <c r="AQ386">
        <v>29</v>
      </c>
      <c r="AR386">
        <v>24</v>
      </c>
      <c r="AS386">
        <v>16</v>
      </c>
      <c r="AT386">
        <v>24</v>
      </c>
      <c r="AU386">
        <v>26</v>
      </c>
      <c r="AV386">
        <v>23</v>
      </c>
      <c r="AW386">
        <v>29</v>
      </c>
      <c r="AX386">
        <v>30</v>
      </c>
      <c r="AY386">
        <v>32</v>
      </c>
      <c r="AZ386">
        <v>33</v>
      </c>
      <c r="BA386">
        <v>33</v>
      </c>
      <c r="BB386">
        <v>34</v>
      </c>
      <c r="BC386">
        <v>29</v>
      </c>
    </row>
    <row r="387" spans="1:55" x14ac:dyDescent="0.25">
      <c r="A387" t="s">
        <v>4021</v>
      </c>
      <c r="B387" t="s">
        <v>160</v>
      </c>
      <c r="C387" t="s">
        <v>86</v>
      </c>
      <c r="D387">
        <v>723</v>
      </c>
      <c r="E387">
        <v>51.96</v>
      </c>
      <c r="F387">
        <v>71</v>
      </c>
      <c r="G387">
        <v>49</v>
      </c>
      <c r="H387">
        <v>45</v>
      </c>
      <c r="I387">
        <v>39</v>
      </c>
      <c r="J387">
        <v>52</v>
      </c>
      <c r="K387">
        <v>52</v>
      </c>
      <c r="L387">
        <v>52</v>
      </c>
      <c r="M387">
        <v>55</v>
      </c>
      <c r="N387">
        <v>53</v>
      </c>
      <c r="O387">
        <v>53</v>
      </c>
      <c r="P387">
        <v>53</v>
      </c>
      <c r="Q387">
        <v>52</v>
      </c>
      <c r="R387">
        <v>50</v>
      </c>
      <c r="S387">
        <v>56</v>
      </c>
      <c r="T387">
        <v>54</v>
      </c>
      <c r="U387">
        <v>52</v>
      </c>
      <c r="V387">
        <v>48</v>
      </c>
      <c r="W387">
        <v>50</v>
      </c>
      <c r="X387">
        <v>53</v>
      </c>
      <c r="Y387">
        <v>51</v>
      </c>
      <c r="Z387">
        <v>48</v>
      </c>
      <c r="AA387">
        <v>45</v>
      </c>
      <c r="AB387">
        <v>44</v>
      </c>
      <c r="AC387">
        <v>37</v>
      </c>
      <c r="AD387">
        <v>42</v>
      </c>
      <c r="AE387">
        <v>40</v>
      </c>
      <c r="AF387">
        <v>41</v>
      </c>
      <c r="AG387">
        <v>47</v>
      </c>
      <c r="AH387">
        <v>52</v>
      </c>
      <c r="AI387">
        <v>47</v>
      </c>
      <c r="AJ387">
        <v>71</v>
      </c>
      <c r="AK387">
        <v>61</v>
      </c>
      <c r="AL387">
        <v>61</v>
      </c>
      <c r="AM387">
        <v>54</v>
      </c>
      <c r="AN387">
        <v>44</v>
      </c>
      <c r="AO387">
        <v>42</v>
      </c>
      <c r="AP387">
        <v>47</v>
      </c>
      <c r="AQ387">
        <v>53</v>
      </c>
      <c r="AR387">
        <v>50</v>
      </c>
      <c r="AS387">
        <v>48</v>
      </c>
      <c r="AT387">
        <v>52</v>
      </c>
      <c r="AU387">
        <v>53</v>
      </c>
      <c r="AV387">
        <v>55</v>
      </c>
      <c r="AW387">
        <v>58</v>
      </c>
      <c r="AX387">
        <v>63</v>
      </c>
      <c r="AY387">
        <v>59</v>
      </c>
      <c r="AZ387">
        <v>63</v>
      </c>
      <c r="BA387">
        <v>62</v>
      </c>
      <c r="BB387">
        <v>60</v>
      </c>
      <c r="BC387">
        <v>59</v>
      </c>
    </row>
    <row r="388" spans="1:55" x14ac:dyDescent="0.25">
      <c r="A388" t="s">
        <v>4022</v>
      </c>
      <c r="B388" t="s">
        <v>244</v>
      </c>
      <c r="C388" t="s">
        <v>86</v>
      </c>
      <c r="D388">
        <v>838</v>
      </c>
      <c r="E388">
        <v>52.36</v>
      </c>
      <c r="F388">
        <v>69</v>
      </c>
      <c r="G388">
        <v>55</v>
      </c>
      <c r="H388">
        <v>51</v>
      </c>
      <c r="I388">
        <v>44</v>
      </c>
      <c r="J388">
        <v>52</v>
      </c>
      <c r="K388">
        <v>52</v>
      </c>
      <c r="L388">
        <v>52</v>
      </c>
      <c r="M388">
        <v>59</v>
      </c>
      <c r="N388">
        <v>58</v>
      </c>
      <c r="O388">
        <v>57</v>
      </c>
      <c r="P388">
        <v>56</v>
      </c>
      <c r="Q388">
        <v>53</v>
      </c>
      <c r="R388">
        <v>50</v>
      </c>
      <c r="S388">
        <v>55</v>
      </c>
      <c r="T388">
        <v>56</v>
      </c>
      <c r="U388">
        <v>52</v>
      </c>
      <c r="V388">
        <v>53</v>
      </c>
      <c r="W388">
        <v>53</v>
      </c>
      <c r="X388">
        <v>51</v>
      </c>
      <c r="Y388">
        <v>49</v>
      </c>
      <c r="Z388">
        <v>47</v>
      </c>
      <c r="AA388">
        <v>44</v>
      </c>
      <c r="AB388">
        <v>45</v>
      </c>
      <c r="AC388">
        <v>39</v>
      </c>
      <c r="AD388">
        <v>41</v>
      </c>
      <c r="AE388">
        <v>35</v>
      </c>
      <c r="AF388">
        <v>43</v>
      </c>
      <c r="AG388">
        <v>46</v>
      </c>
      <c r="AH388">
        <v>51</v>
      </c>
      <c r="AI388">
        <v>48</v>
      </c>
      <c r="AJ388">
        <v>71</v>
      </c>
      <c r="AK388">
        <v>64</v>
      </c>
      <c r="AL388">
        <v>60</v>
      </c>
      <c r="AM388">
        <v>54</v>
      </c>
      <c r="AN388">
        <v>40</v>
      </c>
      <c r="AO388">
        <v>38</v>
      </c>
      <c r="AP388">
        <v>40</v>
      </c>
      <c r="AQ388">
        <v>56</v>
      </c>
      <c r="AR388">
        <v>50</v>
      </c>
      <c r="AS388">
        <v>46</v>
      </c>
      <c r="AT388">
        <v>54</v>
      </c>
      <c r="AU388">
        <v>56</v>
      </c>
      <c r="AV388">
        <v>57</v>
      </c>
      <c r="AW388">
        <v>58</v>
      </c>
      <c r="AX388">
        <v>58</v>
      </c>
      <c r="AY388">
        <v>58</v>
      </c>
      <c r="AZ388">
        <v>60</v>
      </c>
      <c r="BA388">
        <v>62</v>
      </c>
      <c r="BB388">
        <v>60</v>
      </c>
      <c r="BC388">
        <v>60</v>
      </c>
    </row>
    <row r="389" spans="1:55" x14ac:dyDescent="0.25">
      <c r="A389" t="s">
        <v>4023</v>
      </c>
      <c r="B389" t="s">
        <v>245</v>
      </c>
      <c r="C389" t="s">
        <v>86</v>
      </c>
      <c r="D389">
        <v>180</v>
      </c>
      <c r="E389">
        <v>50.44</v>
      </c>
      <c r="F389">
        <v>68</v>
      </c>
      <c r="G389">
        <v>51</v>
      </c>
      <c r="H389">
        <v>52</v>
      </c>
      <c r="I389">
        <v>35</v>
      </c>
      <c r="J389">
        <v>48</v>
      </c>
      <c r="K389">
        <v>46</v>
      </c>
      <c r="L389">
        <v>49</v>
      </c>
      <c r="M389">
        <v>52</v>
      </c>
      <c r="N389">
        <v>47</v>
      </c>
      <c r="O389">
        <v>48</v>
      </c>
      <c r="P389">
        <v>50</v>
      </c>
      <c r="Q389">
        <v>56</v>
      </c>
      <c r="R389">
        <v>49</v>
      </c>
      <c r="S389">
        <v>47</v>
      </c>
      <c r="T389">
        <v>50</v>
      </c>
      <c r="U389">
        <v>44</v>
      </c>
      <c r="V389">
        <v>47</v>
      </c>
      <c r="W389">
        <v>45</v>
      </c>
      <c r="X389">
        <v>49</v>
      </c>
      <c r="Y389">
        <v>51</v>
      </c>
      <c r="Z389">
        <v>47</v>
      </c>
      <c r="AA389">
        <v>46</v>
      </c>
      <c r="AB389">
        <v>44</v>
      </c>
      <c r="AC389">
        <v>43</v>
      </c>
      <c r="AD389">
        <v>41</v>
      </c>
      <c r="AE389">
        <v>37</v>
      </c>
      <c r="AF389">
        <v>39</v>
      </c>
      <c r="AG389">
        <v>49</v>
      </c>
      <c r="AH389">
        <v>48</v>
      </c>
      <c r="AI389">
        <v>46</v>
      </c>
      <c r="AJ389">
        <v>61</v>
      </c>
      <c r="AK389">
        <v>62</v>
      </c>
      <c r="AL389">
        <v>56</v>
      </c>
      <c r="AM389">
        <v>51</v>
      </c>
      <c r="AN389">
        <v>42</v>
      </c>
      <c r="AO389">
        <v>48</v>
      </c>
      <c r="AP389">
        <v>42</v>
      </c>
      <c r="AQ389">
        <v>55</v>
      </c>
      <c r="AR389">
        <v>51</v>
      </c>
      <c r="AS389">
        <v>50</v>
      </c>
      <c r="AT389">
        <v>57</v>
      </c>
      <c r="AU389">
        <v>57</v>
      </c>
      <c r="AV389">
        <v>57</v>
      </c>
      <c r="AW389">
        <v>59</v>
      </c>
      <c r="AX389">
        <v>50</v>
      </c>
      <c r="AY389">
        <v>56</v>
      </c>
      <c r="AZ389">
        <v>62</v>
      </c>
      <c r="BA389">
        <v>61</v>
      </c>
      <c r="BB389">
        <v>62</v>
      </c>
      <c r="BC389">
        <v>59</v>
      </c>
    </row>
    <row r="390" spans="1:55" x14ac:dyDescent="0.25">
      <c r="A390" t="s">
        <v>4024</v>
      </c>
      <c r="B390" t="s">
        <v>246</v>
      </c>
      <c r="C390" t="s">
        <v>86</v>
      </c>
      <c r="D390">
        <v>314</v>
      </c>
      <c r="E390">
        <v>47.62</v>
      </c>
      <c r="F390">
        <v>67</v>
      </c>
      <c r="G390">
        <v>45</v>
      </c>
      <c r="H390">
        <v>44</v>
      </c>
      <c r="I390">
        <v>40</v>
      </c>
      <c r="J390">
        <v>47</v>
      </c>
      <c r="K390">
        <v>50</v>
      </c>
      <c r="L390">
        <v>44</v>
      </c>
      <c r="M390">
        <v>53</v>
      </c>
      <c r="N390">
        <v>52</v>
      </c>
      <c r="O390">
        <v>53</v>
      </c>
      <c r="P390">
        <v>53</v>
      </c>
      <c r="Q390">
        <v>48</v>
      </c>
      <c r="R390">
        <v>45</v>
      </c>
      <c r="S390">
        <v>50</v>
      </c>
      <c r="T390">
        <v>48</v>
      </c>
      <c r="U390">
        <v>45</v>
      </c>
      <c r="V390">
        <v>44</v>
      </c>
      <c r="W390">
        <v>43</v>
      </c>
      <c r="X390">
        <v>42</v>
      </c>
      <c r="Y390">
        <v>45</v>
      </c>
      <c r="Z390">
        <v>41</v>
      </c>
      <c r="AA390">
        <v>38</v>
      </c>
      <c r="AB390">
        <v>40</v>
      </c>
      <c r="AC390">
        <v>37</v>
      </c>
      <c r="AD390">
        <v>38</v>
      </c>
      <c r="AE390">
        <v>34</v>
      </c>
      <c r="AF390">
        <v>38</v>
      </c>
      <c r="AG390">
        <v>39</v>
      </c>
      <c r="AH390">
        <v>47</v>
      </c>
      <c r="AI390">
        <v>44</v>
      </c>
      <c r="AJ390">
        <v>62</v>
      </c>
      <c r="AK390">
        <v>60</v>
      </c>
      <c r="AL390">
        <v>55</v>
      </c>
      <c r="AM390">
        <v>54</v>
      </c>
      <c r="AN390">
        <v>38</v>
      </c>
      <c r="AO390">
        <v>40</v>
      </c>
      <c r="AP390">
        <v>41</v>
      </c>
      <c r="AQ390">
        <v>50</v>
      </c>
      <c r="AR390">
        <v>45</v>
      </c>
      <c r="AS390">
        <v>46</v>
      </c>
      <c r="AT390">
        <v>50</v>
      </c>
      <c r="AU390">
        <v>51</v>
      </c>
      <c r="AV390">
        <v>51</v>
      </c>
      <c r="AW390">
        <v>53</v>
      </c>
      <c r="AX390">
        <v>53</v>
      </c>
      <c r="AY390">
        <v>55</v>
      </c>
      <c r="AZ390">
        <v>58</v>
      </c>
      <c r="BA390">
        <v>56</v>
      </c>
      <c r="BB390">
        <v>56</v>
      </c>
      <c r="BC390">
        <v>53</v>
      </c>
    </row>
    <row r="391" spans="1:55" x14ac:dyDescent="0.25">
      <c r="A391" t="s">
        <v>4025</v>
      </c>
      <c r="B391" t="s">
        <v>164</v>
      </c>
      <c r="C391" t="s">
        <v>86</v>
      </c>
      <c r="D391">
        <v>61</v>
      </c>
      <c r="E391">
        <v>33.78</v>
      </c>
      <c r="F391">
        <v>52</v>
      </c>
      <c r="G391">
        <v>31</v>
      </c>
      <c r="H391">
        <v>19</v>
      </c>
      <c r="I391">
        <v>26</v>
      </c>
      <c r="J391">
        <v>34</v>
      </c>
      <c r="K391">
        <v>29</v>
      </c>
      <c r="L391">
        <v>16</v>
      </c>
      <c r="M391">
        <v>37</v>
      </c>
      <c r="N391">
        <v>40</v>
      </c>
      <c r="O391">
        <v>35</v>
      </c>
      <c r="P391">
        <v>32</v>
      </c>
      <c r="Q391">
        <v>38</v>
      </c>
      <c r="R391">
        <v>19</v>
      </c>
      <c r="S391">
        <v>28</v>
      </c>
      <c r="T391">
        <v>30</v>
      </c>
      <c r="U391">
        <v>21</v>
      </c>
      <c r="V391">
        <v>36</v>
      </c>
      <c r="W391">
        <v>25</v>
      </c>
      <c r="X391">
        <v>29</v>
      </c>
      <c r="Y391">
        <v>25</v>
      </c>
      <c r="Z391">
        <v>23</v>
      </c>
      <c r="AA391">
        <v>30</v>
      </c>
      <c r="AB391">
        <v>14</v>
      </c>
      <c r="AC391">
        <v>18</v>
      </c>
      <c r="AD391">
        <v>31</v>
      </c>
      <c r="AE391">
        <v>28</v>
      </c>
      <c r="AF391">
        <v>27</v>
      </c>
      <c r="AG391">
        <v>26</v>
      </c>
      <c r="AH391">
        <v>25</v>
      </c>
      <c r="AI391">
        <v>28</v>
      </c>
      <c r="AJ391">
        <v>51</v>
      </c>
      <c r="AK391">
        <v>54</v>
      </c>
      <c r="AL391">
        <v>55</v>
      </c>
      <c r="AM391">
        <v>38</v>
      </c>
      <c r="AN391">
        <v>33</v>
      </c>
      <c r="AO391">
        <v>32</v>
      </c>
      <c r="AP391">
        <v>40</v>
      </c>
      <c r="AQ391">
        <v>47</v>
      </c>
      <c r="AR391">
        <v>36</v>
      </c>
      <c r="AS391">
        <v>29</v>
      </c>
      <c r="AT391">
        <v>29</v>
      </c>
      <c r="AU391">
        <v>34</v>
      </c>
      <c r="AV391">
        <v>41</v>
      </c>
      <c r="AW391">
        <v>39</v>
      </c>
      <c r="AX391">
        <v>47</v>
      </c>
      <c r="AY391">
        <v>37</v>
      </c>
      <c r="AZ391">
        <v>55</v>
      </c>
      <c r="BA391">
        <v>49</v>
      </c>
      <c r="BB391">
        <v>51</v>
      </c>
      <c r="BC391">
        <v>40</v>
      </c>
    </row>
    <row r="392" spans="1:55" x14ac:dyDescent="0.25">
      <c r="A392" t="s">
        <v>4026</v>
      </c>
      <c r="B392" t="s">
        <v>165</v>
      </c>
      <c r="C392" t="s">
        <v>86</v>
      </c>
      <c r="D392">
        <v>269</v>
      </c>
      <c r="E392">
        <v>33.28</v>
      </c>
      <c r="F392">
        <v>50</v>
      </c>
      <c r="G392">
        <v>39</v>
      </c>
      <c r="H392">
        <v>41</v>
      </c>
      <c r="I392">
        <v>30</v>
      </c>
      <c r="J392">
        <v>41</v>
      </c>
      <c r="K392">
        <v>38</v>
      </c>
      <c r="L392">
        <v>22</v>
      </c>
      <c r="M392">
        <v>32</v>
      </c>
      <c r="N392">
        <v>36</v>
      </c>
      <c r="O392">
        <v>36</v>
      </c>
      <c r="P392">
        <v>39</v>
      </c>
      <c r="Q392">
        <v>32</v>
      </c>
      <c r="R392">
        <v>31</v>
      </c>
      <c r="S392">
        <v>39</v>
      </c>
      <c r="T392">
        <v>34</v>
      </c>
      <c r="U392">
        <v>30</v>
      </c>
      <c r="V392">
        <v>35</v>
      </c>
      <c r="W392">
        <v>36</v>
      </c>
      <c r="X392">
        <v>32</v>
      </c>
      <c r="Y392">
        <v>33</v>
      </c>
      <c r="Z392">
        <v>30</v>
      </c>
      <c r="AA392">
        <v>28</v>
      </c>
      <c r="AB392">
        <v>28</v>
      </c>
      <c r="AC392">
        <v>18</v>
      </c>
      <c r="AD392">
        <v>15</v>
      </c>
      <c r="AE392">
        <v>15</v>
      </c>
      <c r="AF392">
        <v>17</v>
      </c>
      <c r="AG392">
        <v>26</v>
      </c>
      <c r="AH392">
        <v>26</v>
      </c>
      <c r="AI392">
        <v>24</v>
      </c>
      <c r="AJ392">
        <v>45</v>
      </c>
      <c r="AK392">
        <v>37</v>
      </c>
      <c r="AL392">
        <v>41</v>
      </c>
      <c r="AM392">
        <v>34</v>
      </c>
      <c r="AN392">
        <v>19</v>
      </c>
      <c r="AO392">
        <v>21</v>
      </c>
      <c r="AP392">
        <v>25</v>
      </c>
      <c r="AQ392">
        <v>45</v>
      </c>
      <c r="AR392">
        <v>37</v>
      </c>
      <c r="AS392">
        <v>36</v>
      </c>
      <c r="AT392">
        <v>41</v>
      </c>
      <c r="AU392">
        <v>40</v>
      </c>
      <c r="AV392">
        <v>40</v>
      </c>
      <c r="AW392">
        <v>35</v>
      </c>
      <c r="AX392">
        <v>43</v>
      </c>
      <c r="AY392">
        <v>42</v>
      </c>
      <c r="AZ392">
        <v>37</v>
      </c>
      <c r="BA392">
        <v>38</v>
      </c>
      <c r="BB392">
        <v>43</v>
      </c>
      <c r="BC392">
        <v>32</v>
      </c>
    </row>
    <row r="393" spans="1:55" x14ac:dyDescent="0.25">
      <c r="A393" t="s">
        <v>4027</v>
      </c>
      <c r="B393" t="s">
        <v>166</v>
      </c>
      <c r="C393" t="s">
        <v>86</v>
      </c>
      <c r="D393">
        <v>135</v>
      </c>
      <c r="E393">
        <v>48</v>
      </c>
      <c r="F393">
        <v>70</v>
      </c>
      <c r="G393">
        <v>51</v>
      </c>
      <c r="H393">
        <v>59</v>
      </c>
      <c r="I393">
        <v>44</v>
      </c>
      <c r="J393">
        <v>52</v>
      </c>
      <c r="K393">
        <v>47</v>
      </c>
      <c r="L393">
        <v>52</v>
      </c>
      <c r="M393">
        <v>53</v>
      </c>
      <c r="N393">
        <v>54</v>
      </c>
      <c r="O393">
        <v>53</v>
      </c>
      <c r="P393">
        <v>51</v>
      </c>
      <c r="Q393">
        <v>53</v>
      </c>
      <c r="R393">
        <v>40</v>
      </c>
      <c r="S393">
        <v>42</v>
      </c>
      <c r="T393">
        <v>58</v>
      </c>
      <c r="U393">
        <v>42</v>
      </c>
      <c r="V393">
        <v>46</v>
      </c>
      <c r="W393">
        <v>53</v>
      </c>
      <c r="X393">
        <v>47</v>
      </c>
      <c r="Y393">
        <v>45</v>
      </c>
      <c r="Z393">
        <v>41</v>
      </c>
      <c r="AA393">
        <v>41</v>
      </c>
      <c r="AB393">
        <v>40</v>
      </c>
      <c r="AC393">
        <v>43</v>
      </c>
      <c r="AD393">
        <v>40</v>
      </c>
      <c r="AE393">
        <v>44</v>
      </c>
      <c r="AF393">
        <v>39</v>
      </c>
      <c r="AG393">
        <v>38</v>
      </c>
      <c r="AH393">
        <v>48</v>
      </c>
      <c r="AI393">
        <v>49</v>
      </c>
      <c r="AJ393">
        <v>67</v>
      </c>
      <c r="AK393">
        <v>52</v>
      </c>
      <c r="AL393">
        <v>57</v>
      </c>
      <c r="AM393">
        <v>50</v>
      </c>
      <c r="AN393">
        <v>46</v>
      </c>
      <c r="AO393">
        <v>44</v>
      </c>
      <c r="AP393">
        <v>40</v>
      </c>
      <c r="AQ393">
        <v>46</v>
      </c>
      <c r="AR393">
        <v>38</v>
      </c>
      <c r="AS393">
        <v>37</v>
      </c>
      <c r="AT393">
        <v>48</v>
      </c>
      <c r="AU393">
        <v>40</v>
      </c>
      <c r="AV393">
        <v>43</v>
      </c>
      <c r="AW393">
        <v>45</v>
      </c>
      <c r="AX393">
        <v>52</v>
      </c>
      <c r="AY393">
        <v>50</v>
      </c>
      <c r="AZ393">
        <v>53</v>
      </c>
      <c r="BA393">
        <v>54</v>
      </c>
      <c r="BB393">
        <v>54</v>
      </c>
      <c r="BC393">
        <v>49</v>
      </c>
    </row>
    <row r="394" spans="1:55" x14ac:dyDescent="0.25">
      <c r="A394" t="s">
        <v>4028</v>
      </c>
      <c r="B394" t="s">
        <v>167</v>
      </c>
      <c r="C394" t="s">
        <v>86</v>
      </c>
      <c r="D394">
        <v>285</v>
      </c>
      <c r="E394">
        <v>18.88</v>
      </c>
      <c r="F394">
        <v>30</v>
      </c>
      <c r="G394">
        <v>23</v>
      </c>
      <c r="H394">
        <v>22</v>
      </c>
      <c r="I394">
        <v>16</v>
      </c>
      <c r="J394">
        <v>25</v>
      </c>
      <c r="K394">
        <v>21</v>
      </c>
      <c r="L394">
        <v>22</v>
      </c>
      <c r="M394">
        <v>22</v>
      </c>
      <c r="N394">
        <v>25</v>
      </c>
      <c r="O394">
        <v>23</v>
      </c>
      <c r="P394">
        <v>19</v>
      </c>
      <c r="Q394">
        <v>23</v>
      </c>
      <c r="R394">
        <v>20</v>
      </c>
      <c r="S394">
        <v>21</v>
      </c>
      <c r="T394">
        <v>18</v>
      </c>
      <c r="U394">
        <v>21</v>
      </c>
      <c r="V394">
        <v>18</v>
      </c>
      <c r="W394">
        <v>21</v>
      </c>
      <c r="X394">
        <v>20</v>
      </c>
      <c r="Y394">
        <v>15</v>
      </c>
      <c r="Z394">
        <v>14</v>
      </c>
      <c r="AA394">
        <v>17</v>
      </c>
      <c r="AB394">
        <v>16</v>
      </c>
      <c r="AC394">
        <v>16</v>
      </c>
      <c r="AD394">
        <v>13</v>
      </c>
      <c r="AE394">
        <v>12</v>
      </c>
      <c r="AF394">
        <v>15</v>
      </c>
      <c r="AG394">
        <v>10</v>
      </c>
      <c r="AH394">
        <v>13</v>
      </c>
      <c r="AI394">
        <v>11</v>
      </c>
      <c r="AJ394">
        <v>29</v>
      </c>
      <c r="AK394">
        <v>21</v>
      </c>
      <c r="AL394">
        <v>29</v>
      </c>
      <c r="AM394">
        <v>27</v>
      </c>
      <c r="AN394">
        <v>20</v>
      </c>
      <c r="AO394">
        <v>20</v>
      </c>
      <c r="AP394">
        <v>18</v>
      </c>
      <c r="AQ394">
        <v>19</v>
      </c>
      <c r="AR394">
        <v>15</v>
      </c>
      <c r="AS394">
        <v>15</v>
      </c>
      <c r="AT394">
        <v>15</v>
      </c>
      <c r="AU394">
        <v>15</v>
      </c>
      <c r="AV394">
        <v>13</v>
      </c>
      <c r="AW394">
        <v>17</v>
      </c>
      <c r="AX394">
        <v>19</v>
      </c>
      <c r="AY394">
        <v>19</v>
      </c>
      <c r="AZ394">
        <v>16</v>
      </c>
      <c r="BA394">
        <v>19</v>
      </c>
      <c r="BB394">
        <v>15</v>
      </c>
      <c r="BC394">
        <v>21</v>
      </c>
    </row>
    <row r="395" spans="1:55" x14ac:dyDescent="0.25">
      <c r="A395" t="s">
        <v>4029</v>
      </c>
      <c r="B395" t="s">
        <v>247</v>
      </c>
      <c r="C395" t="s">
        <v>86</v>
      </c>
      <c r="D395">
        <v>240</v>
      </c>
      <c r="E395">
        <v>46.62</v>
      </c>
      <c r="F395">
        <v>60</v>
      </c>
      <c r="G395">
        <v>44</v>
      </c>
      <c r="H395">
        <v>44</v>
      </c>
      <c r="I395">
        <v>31</v>
      </c>
      <c r="J395">
        <v>47</v>
      </c>
      <c r="K395">
        <v>42</v>
      </c>
      <c r="L395">
        <v>39</v>
      </c>
      <c r="M395">
        <v>51</v>
      </c>
      <c r="N395">
        <v>51</v>
      </c>
      <c r="O395">
        <v>38</v>
      </c>
      <c r="P395">
        <v>45</v>
      </c>
      <c r="Q395">
        <v>48</v>
      </c>
      <c r="R395">
        <v>41</v>
      </c>
      <c r="S395">
        <v>48</v>
      </c>
      <c r="T395">
        <v>41</v>
      </c>
      <c r="U395">
        <v>40</v>
      </c>
      <c r="V395">
        <v>42</v>
      </c>
      <c r="W395">
        <v>47</v>
      </c>
      <c r="X395">
        <v>43</v>
      </c>
      <c r="Y395">
        <v>41</v>
      </c>
      <c r="Z395">
        <v>49</v>
      </c>
      <c r="AA395">
        <v>41</v>
      </c>
      <c r="AB395">
        <v>45</v>
      </c>
      <c r="AC395">
        <v>32</v>
      </c>
      <c r="AD395">
        <v>43</v>
      </c>
      <c r="AE395">
        <v>40</v>
      </c>
      <c r="AF395">
        <v>36</v>
      </c>
      <c r="AG395">
        <v>36</v>
      </c>
      <c r="AH395">
        <v>43</v>
      </c>
      <c r="AI395">
        <v>37</v>
      </c>
      <c r="AJ395">
        <v>66</v>
      </c>
      <c r="AK395">
        <v>65</v>
      </c>
      <c r="AL395">
        <v>60</v>
      </c>
      <c r="AM395">
        <v>49</v>
      </c>
      <c r="AN395">
        <v>42</v>
      </c>
      <c r="AO395">
        <v>43</v>
      </c>
      <c r="AP395">
        <v>42</v>
      </c>
      <c r="AQ395">
        <v>52</v>
      </c>
      <c r="AR395">
        <v>47</v>
      </c>
      <c r="AS395">
        <v>56</v>
      </c>
      <c r="AT395">
        <v>49</v>
      </c>
      <c r="AU395">
        <v>51</v>
      </c>
      <c r="AV395">
        <v>43</v>
      </c>
      <c r="AW395">
        <v>48</v>
      </c>
      <c r="AX395">
        <v>51</v>
      </c>
      <c r="AY395">
        <v>46</v>
      </c>
      <c r="AZ395">
        <v>61</v>
      </c>
      <c r="BA395">
        <v>57</v>
      </c>
      <c r="BB395">
        <v>60</v>
      </c>
      <c r="BC395">
        <v>58</v>
      </c>
    </row>
    <row r="396" spans="1:55" x14ac:dyDescent="0.25">
      <c r="A396" t="s">
        <v>4030</v>
      </c>
      <c r="B396" t="s">
        <v>169</v>
      </c>
      <c r="C396" t="s">
        <v>86</v>
      </c>
      <c r="D396">
        <v>146</v>
      </c>
      <c r="E396">
        <v>40.840000000000003</v>
      </c>
      <c r="F396">
        <v>49</v>
      </c>
      <c r="G396">
        <v>45</v>
      </c>
      <c r="H396">
        <v>32</v>
      </c>
      <c r="I396">
        <v>25</v>
      </c>
      <c r="J396">
        <v>39</v>
      </c>
      <c r="K396">
        <v>32</v>
      </c>
      <c r="L396">
        <v>34</v>
      </c>
      <c r="M396">
        <v>42</v>
      </c>
      <c r="N396">
        <v>35</v>
      </c>
      <c r="O396">
        <v>37</v>
      </c>
      <c r="P396">
        <v>45</v>
      </c>
      <c r="Q396">
        <v>38</v>
      </c>
      <c r="R396">
        <v>31</v>
      </c>
      <c r="S396">
        <v>41</v>
      </c>
      <c r="T396">
        <v>40</v>
      </c>
      <c r="U396">
        <v>38</v>
      </c>
      <c r="V396">
        <v>37</v>
      </c>
      <c r="W396">
        <v>41</v>
      </c>
      <c r="X396">
        <v>39</v>
      </c>
      <c r="Y396">
        <v>40</v>
      </c>
      <c r="Z396">
        <v>38</v>
      </c>
      <c r="AA396">
        <v>37</v>
      </c>
      <c r="AB396">
        <v>36</v>
      </c>
      <c r="AC396">
        <v>29</v>
      </c>
      <c r="AD396">
        <v>34</v>
      </c>
      <c r="AE396">
        <v>31</v>
      </c>
      <c r="AF396">
        <v>35</v>
      </c>
      <c r="AG396">
        <v>37</v>
      </c>
      <c r="AH396">
        <v>44</v>
      </c>
      <c r="AI396">
        <v>43</v>
      </c>
      <c r="AJ396">
        <v>65</v>
      </c>
      <c r="AK396">
        <v>60</v>
      </c>
      <c r="AL396">
        <v>56</v>
      </c>
      <c r="AM396">
        <v>51</v>
      </c>
      <c r="AN396">
        <v>37</v>
      </c>
      <c r="AO396">
        <v>38</v>
      </c>
      <c r="AP396">
        <v>38</v>
      </c>
      <c r="AQ396">
        <v>46</v>
      </c>
      <c r="AR396">
        <v>46</v>
      </c>
      <c r="AS396">
        <v>44</v>
      </c>
      <c r="AT396">
        <v>37</v>
      </c>
      <c r="AU396">
        <v>33</v>
      </c>
      <c r="AV396">
        <v>41</v>
      </c>
      <c r="AW396">
        <v>43</v>
      </c>
      <c r="AX396">
        <v>48</v>
      </c>
      <c r="AY396">
        <v>42</v>
      </c>
      <c r="AZ396">
        <v>45</v>
      </c>
      <c r="BA396">
        <v>49</v>
      </c>
      <c r="BB396">
        <v>45</v>
      </c>
      <c r="BC396">
        <v>54</v>
      </c>
    </row>
    <row r="397" spans="1:55" x14ac:dyDescent="0.25">
      <c r="A397" t="s">
        <v>4031</v>
      </c>
      <c r="B397" t="s">
        <v>170</v>
      </c>
      <c r="C397" t="s">
        <v>86</v>
      </c>
      <c r="D397">
        <v>1097</v>
      </c>
      <c r="E397">
        <v>59.56</v>
      </c>
      <c r="F397">
        <v>72</v>
      </c>
      <c r="G397">
        <v>56</v>
      </c>
      <c r="H397">
        <v>56</v>
      </c>
      <c r="I397">
        <v>53</v>
      </c>
      <c r="J397">
        <v>62</v>
      </c>
      <c r="K397">
        <v>57</v>
      </c>
      <c r="L397">
        <v>57</v>
      </c>
      <c r="M397">
        <v>61</v>
      </c>
      <c r="N397">
        <v>63</v>
      </c>
      <c r="O397">
        <v>65</v>
      </c>
      <c r="P397">
        <v>61</v>
      </c>
      <c r="Q397">
        <v>58</v>
      </c>
      <c r="R397">
        <v>55</v>
      </c>
      <c r="S397">
        <v>59</v>
      </c>
      <c r="T397">
        <v>62</v>
      </c>
      <c r="U397">
        <v>58</v>
      </c>
      <c r="V397">
        <v>61</v>
      </c>
      <c r="W397">
        <v>60</v>
      </c>
      <c r="X397">
        <v>58</v>
      </c>
      <c r="Y397">
        <v>57</v>
      </c>
      <c r="Z397">
        <v>55</v>
      </c>
      <c r="AA397">
        <v>54</v>
      </c>
      <c r="AB397">
        <v>49</v>
      </c>
      <c r="AC397">
        <v>47</v>
      </c>
      <c r="AD397">
        <v>46</v>
      </c>
      <c r="AE397">
        <v>47</v>
      </c>
      <c r="AF397">
        <v>48</v>
      </c>
      <c r="AG397">
        <v>53</v>
      </c>
      <c r="AH397">
        <v>57</v>
      </c>
      <c r="AI397">
        <v>54</v>
      </c>
      <c r="AJ397">
        <v>76</v>
      </c>
      <c r="AK397">
        <v>71</v>
      </c>
      <c r="AL397">
        <v>69</v>
      </c>
      <c r="AM397">
        <v>61</v>
      </c>
      <c r="AN397">
        <v>51</v>
      </c>
      <c r="AO397">
        <v>49</v>
      </c>
      <c r="AP397">
        <v>55</v>
      </c>
      <c r="AQ397">
        <v>62</v>
      </c>
      <c r="AR397">
        <v>56</v>
      </c>
      <c r="AS397">
        <v>53</v>
      </c>
      <c r="AT397">
        <v>61</v>
      </c>
      <c r="AU397">
        <v>63</v>
      </c>
      <c r="AV397">
        <v>65</v>
      </c>
      <c r="AW397">
        <v>70</v>
      </c>
      <c r="AX397">
        <v>70</v>
      </c>
      <c r="AY397">
        <v>68</v>
      </c>
      <c r="AZ397">
        <v>72</v>
      </c>
      <c r="BA397">
        <v>68</v>
      </c>
      <c r="BB397">
        <v>71</v>
      </c>
      <c r="BC397">
        <v>66</v>
      </c>
    </row>
    <row r="398" spans="1:55" x14ac:dyDescent="0.25">
      <c r="A398" t="s">
        <v>4032</v>
      </c>
      <c r="B398" t="s">
        <v>45</v>
      </c>
      <c r="C398" t="s">
        <v>91</v>
      </c>
    </row>
    <row r="399" spans="1:55" x14ac:dyDescent="0.25">
      <c r="A399" t="s">
        <v>4033</v>
      </c>
      <c r="B399" t="s">
        <v>110</v>
      </c>
      <c r="C399" t="s">
        <v>91</v>
      </c>
      <c r="D399">
        <v>5680</v>
      </c>
      <c r="E399">
        <v>9.1</v>
      </c>
      <c r="F399">
        <v>15</v>
      </c>
      <c r="G399">
        <v>15</v>
      </c>
      <c r="H399">
        <v>17</v>
      </c>
      <c r="I399">
        <v>13</v>
      </c>
      <c r="J399">
        <v>16</v>
      </c>
      <c r="K399">
        <v>14</v>
      </c>
      <c r="L399">
        <v>11</v>
      </c>
      <c r="M399">
        <v>13</v>
      </c>
      <c r="N399">
        <v>9</v>
      </c>
      <c r="O399">
        <v>9</v>
      </c>
      <c r="P399">
        <v>9</v>
      </c>
      <c r="Q399">
        <v>10</v>
      </c>
      <c r="R399">
        <v>12</v>
      </c>
      <c r="S399">
        <v>9</v>
      </c>
      <c r="T399">
        <v>14</v>
      </c>
      <c r="U399">
        <v>21</v>
      </c>
      <c r="V399">
        <v>17</v>
      </c>
      <c r="W399">
        <v>16</v>
      </c>
      <c r="X399">
        <v>13</v>
      </c>
      <c r="Y399">
        <v>12</v>
      </c>
      <c r="Z399">
        <v>14</v>
      </c>
      <c r="AA399">
        <v>12</v>
      </c>
      <c r="AB399">
        <v>15</v>
      </c>
      <c r="AC399">
        <v>11</v>
      </c>
      <c r="AD399">
        <v>11</v>
      </c>
      <c r="AE399">
        <v>11</v>
      </c>
      <c r="AF399">
        <v>9</v>
      </c>
      <c r="AG399">
        <v>7</v>
      </c>
      <c r="AH399">
        <v>7</v>
      </c>
      <c r="AI399">
        <v>5</v>
      </c>
      <c r="AJ399">
        <v>4</v>
      </c>
      <c r="AK399">
        <v>6</v>
      </c>
      <c r="AL399">
        <v>6</v>
      </c>
      <c r="AM399">
        <v>5</v>
      </c>
      <c r="AN399">
        <v>4</v>
      </c>
      <c r="AO399">
        <v>4</v>
      </c>
      <c r="AP399">
        <v>5</v>
      </c>
      <c r="AQ399">
        <v>8</v>
      </c>
      <c r="AR399">
        <v>5</v>
      </c>
      <c r="AS399">
        <v>4</v>
      </c>
      <c r="AT399">
        <v>3</v>
      </c>
      <c r="AU399">
        <v>2</v>
      </c>
      <c r="AV399">
        <v>2</v>
      </c>
      <c r="AW399">
        <v>2</v>
      </c>
      <c r="AX399">
        <v>3</v>
      </c>
      <c r="AY399">
        <v>5</v>
      </c>
      <c r="AZ399">
        <v>6</v>
      </c>
      <c r="BA399">
        <v>5</v>
      </c>
      <c r="BB399">
        <v>5</v>
      </c>
      <c r="BC399">
        <v>4</v>
      </c>
    </row>
    <row r="400" spans="1:55" x14ac:dyDescent="0.25">
      <c r="A400" t="s">
        <v>4034</v>
      </c>
      <c r="B400" t="s">
        <v>111</v>
      </c>
      <c r="C400" t="s">
        <v>91</v>
      </c>
      <c r="D400">
        <v>64</v>
      </c>
      <c r="E400">
        <v>4.16</v>
      </c>
      <c r="F400">
        <v>5</v>
      </c>
      <c r="G400">
        <v>4</v>
      </c>
      <c r="H400">
        <v>13</v>
      </c>
      <c r="I400">
        <v>2</v>
      </c>
      <c r="J400">
        <v>5</v>
      </c>
      <c r="K400">
        <v>5</v>
      </c>
      <c r="L400">
        <v>5</v>
      </c>
      <c r="M400">
        <v>5</v>
      </c>
      <c r="N400">
        <v>5</v>
      </c>
      <c r="O400">
        <v>5</v>
      </c>
      <c r="P400">
        <v>2</v>
      </c>
      <c r="Q400">
        <v>4</v>
      </c>
      <c r="R400">
        <v>4</v>
      </c>
      <c r="S400">
        <v>0</v>
      </c>
      <c r="T400">
        <v>5</v>
      </c>
      <c r="U400">
        <v>10</v>
      </c>
      <c r="V400">
        <v>6</v>
      </c>
      <c r="W400">
        <v>7</v>
      </c>
      <c r="X400">
        <v>4</v>
      </c>
      <c r="Y400">
        <v>5</v>
      </c>
      <c r="Z400">
        <v>6</v>
      </c>
      <c r="AA400">
        <v>5</v>
      </c>
      <c r="AB400">
        <v>5</v>
      </c>
      <c r="AC400">
        <v>6</v>
      </c>
      <c r="AD400">
        <v>8</v>
      </c>
      <c r="AE400">
        <v>5</v>
      </c>
      <c r="AF400">
        <v>3</v>
      </c>
      <c r="AG400">
        <v>3</v>
      </c>
      <c r="AH400">
        <v>5</v>
      </c>
      <c r="AI400">
        <v>3</v>
      </c>
      <c r="AJ400">
        <v>4</v>
      </c>
      <c r="AK400">
        <v>2</v>
      </c>
      <c r="AL400">
        <v>4</v>
      </c>
      <c r="AM400">
        <v>5</v>
      </c>
      <c r="AN400">
        <v>2</v>
      </c>
      <c r="AO400">
        <v>1</v>
      </c>
      <c r="AP400">
        <v>2</v>
      </c>
      <c r="AQ400">
        <v>3</v>
      </c>
      <c r="AR400">
        <v>4</v>
      </c>
      <c r="AS400">
        <v>3</v>
      </c>
      <c r="AT400">
        <v>3</v>
      </c>
      <c r="AU400">
        <v>4</v>
      </c>
      <c r="AV400">
        <v>3</v>
      </c>
      <c r="AW400">
        <v>2</v>
      </c>
      <c r="AX400">
        <v>5</v>
      </c>
      <c r="AY400">
        <v>2</v>
      </c>
      <c r="AZ400">
        <v>4</v>
      </c>
      <c r="BA400">
        <v>3</v>
      </c>
      <c r="BB400">
        <v>2</v>
      </c>
      <c r="BC400">
        <v>0</v>
      </c>
    </row>
    <row r="401" spans="1:55" x14ac:dyDescent="0.25">
      <c r="A401" t="s">
        <v>4035</v>
      </c>
      <c r="B401" t="s">
        <v>112</v>
      </c>
      <c r="C401" t="s">
        <v>91</v>
      </c>
      <c r="D401">
        <v>221</v>
      </c>
      <c r="E401">
        <v>8.2799999999999994</v>
      </c>
      <c r="F401">
        <v>14</v>
      </c>
      <c r="G401">
        <v>15</v>
      </c>
      <c r="H401">
        <v>13</v>
      </c>
      <c r="I401">
        <v>8</v>
      </c>
      <c r="J401">
        <v>13</v>
      </c>
      <c r="K401">
        <v>15</v>
      </c>
      <c r="L401">
        <v>11</v>
      </c>
      <c r="M401">
        <v>12</v>
      </c>
      <c r="N401">
        <v>5</v>
      </c>
      <c r="O401">
        <v>9</v>
      </c>
      <c r="P401">
        <v>7</v>
      </c>
      <c r="Q401">
        <v>8</v>
      </c>
      <c r="R401">
        <v>9</v>
      </c>
      <c r="S401">
        <v>7</v>
      </c>
      <c r="T401">
        <v>15</v>
      </c>
      <c r="U401">
        <v>17</v>
      </c>
      <c r="V401">
        <v>15</v>
      </c>
      <c r="W401">
        <v>14</v>
      </c>
      <c r="X401">
        <v>11</v>
      </c>
      <c r="Y401">
        <v>10</v>
      </c>
      <c r="Z401">
        <v>13</v>
      </c>
      <c r="AA401">
        <v>11</v>
      </c>
      <c r="AB401">
        <v>12</v>
      </c>
      <c r="AC401">
        <v>10</v>
      </c>
      <c r="AD401">
        <v>8</v>
      </c>
      <c r="AE401">
        <v>12</v>
      </c>
      <c r="AF401">
        <v>10</v>
      </c>
      <c r="AG401">
        <v>7</v>
      </c>
      <c r="AH401">
        <v>7</v>
      </c>
      <c r="AI401">
        <v>4</v>
      </c>
      <c r="AJ401">
        <v>8</v>
      </c>
      <c r="AK401">
        <v>7</v>
      </c>
      <c r="AL401">
        <v>7</v>
      </c>
      <c r="AM401">
        <v>6</v>
      </c>
      <c r="AN401">
        <v>4</v>
      </c>
      <c r="AO401">
        <v>5</v>
      </c>
      <c r="AP401">
        <v>4</v>
      </c>
      <c r="AQ401">
        <v>9</v>
      </c>
      <c r="AR401">
        <v>5</v>
      </c>
      <c r="AS401">
        <v>4</v>
      </c>
      <c r="AT401">
        <v>2</v>
      </c>
      <c r="AU401">
        <v>2</v>
      </c>
      <c r="AV401">
        <v>3</v>
      </c>
      <c r="AW401">
        <v>0</v>
      </c>
      <c r="AX401">
        <v>4</v>
      </c>
      <c r="AY401">
        <v>1</v>
      </c>
      <c r="AZ401">
        <v>8</v>
      </c>
      <c r="BA401">
        <v>4</v>
      </c>
      <c r="BB401">
        <v>5</v>
      </c>
      <c r="BC401">
        <v>4</v>
      </c>
    </row>
    <row r="402" spans="1:55" x14ac:dyDescent="0.25">
      <c r="A402" t="s">
        <v>4036</v>
      </c>
      <c r="B402" t="s">
        <v>113</v>
      </c>
      <c r="C402" t="s">
        <v>91</v>
      </c>
      <c r="D402">
        <v>106</v>
      </c>
      <c r="E402">
        <v>2.84</v>
      </c>
      <c r="F402">
        <v>2</v>
      </c>
      <c r="G402">
        <v>5</v>
      </c>
      <c r="H402">
        <v>7</v>
      </c>
      <c r="I402">
        <v>2</v>
      </c>
      <c r="J402">
        <v>4</v>
      </c>
      <c r="K402">
        <v>6</v>
      </c>
      <c r="L402">
        <v>3</v>
      </c>
      <c r="M402">
        <v>7</v>
      </c>
      <c r="N402">
        <v>1</v>
      </c>
      <c r="O402">
        <v>3</v>
      </c>
      <c r="P402">
        <v>1</v>
      </c>
      <c r="Q402">
        <v>5</v>
      </c>
      <c r="R402">
        <v>4</v>
      </c>
      <c r="S402">
        <v>4</v>
      </c>
      <c r="T402">
        <v>5</v>
      </c>
      <c r="U402">
        <v>11</v>
      </c>
      <c r="V402">
        <v>9</v>
      </c>
      <c r="W402">
        <v>6</v>
      </c>
      <c r="X402">
        <v>6</v>
      </c>
      <c r="Y402">
        <v>2</v>
      </c>
      <c r="Z402">
        <v>4</v>
      </c>
      <c r="AA402">
        <v>3</v>
      </c>
      <c r="AB402">
        <v>2</v>
      </c>
      <c r="AC402">
        <v>3</v>
      </c>
      <c r="AD402">
        <v>4</v>
      </c>
      <c r="AE402">
        <v>1</v>
      </c>
      <c r="AF402">
        <v>3</v>
      </c>
      <c r="AG402">
        <v>3</v>
      </c>
      <c r="AH402">
        <v>2</v>
      </c>
      <c r="AI402">
        <v>3</v>
      </c>
      <c r="AJ402">
        <v>0</v>
      </c>
      <c r="AK402">
        <v>2</v>
      </c>
      <c r="AL402">
        <v>1</v>
      </c>
      <c r="AM402">
        <v>0</v>
      </c>
      <c r="AN402">
        <v>1</v>
      </c>
      <c r="AO402">
        <v>0</v>
      </c>
      <c r="AP402">
        <v>2</v>
      </c>
      <c r="AQ402">
        <v>2</v>
      </c>
      <c r="AR402">
        <v>1</v>
      </c>
      <c r="AS402">
        <v>1</v>
      </c>
      <c r="AT402">
        <v>0</v>
      </c>
      <c r="AU402">
        <v>0</v>
      </c>
      <c r="AV402">
        <v>0</v>
      </c>
      <c r="AW402">
        <v>1</v>
      </c>
      <c r="AX402">
        <v>1</v>
      </c>
      <c r="AY402">
        <v>2</v>
      </c>
      <c r="AZ402">
        <v>1</v>
      </c>
      <c r="BA402">
        <v>2</v>
      </c>
      <c r="BB402">
        <v>2</v>
      </c>
      <c r="BC402">
        <v>2</v>
      </c>
    </row>
    <row r="403" spans="1:55" x14ac:dyDescent="0.25">
      <c r="A403" t="s">
        <v>4037</v>
      </c>
      <c r="B403" t="s">
        <v>114</v>
      </c>
      <c r="C403" t="s">
        <v>91</v>
      </c>
      <c r="D403">
        <v>222</v>
      </c>
      <c r="E403">
        <v>14.84</v>
      </c>
      <c r="F403">
        <v>19</v>
      </c>
      <c r="G403">
        <v>27</v>
      </c>
      <c r="H403">
        <v>23</v>
      </c>
      <c r="I403">
        <v>15</v>
      </c>
      <c r="J403">
        <v>27</v>
      </c>
      <c r="K403">
        <v>26</v>
      </c>
      <c r="L403">
        <v>19</v>
      </c>
      <c r="M403">
        <v>21</v>
      </c>
      <c r="N403">
        <v>15</v>
      </c>
      <c r="O403">
        <v>16</v>
      </c>
      <c r="P403">
        <v>14</v>
      </c>
      <c r="Q403">
        <v>13</v>
      </c>
      <c r="R403">
        <v>14</v>
      </c>
      <c r="S403">
        <v>15</v>
      </c>
      <c r="T403">
        <v>28</v>
      </c>
      <c r="U403">
        <v>38</v>
      </c>
      <c r="V403">
        <v>30</v>
      </c>
      <c r="W403">
        <v>31</v>
      </c>
      <c r="X403">
        <v>23</v>
      </c>
      <c r="Y403">
        <v>23</v>
      </c>
      <c r="Z403">
        <v>27</v>
      </c>
      <c r="AA403">
        <v>22</v>
      </c>
      <c r="AB403">
        <v>22</v>
      </c>
      <c r="AC403">
        <v>15</v>
      </c>
      <c r="AD403">
        <v>14</v>
      </c>
      <c r="AE403">
        <v>17</v>
      </c>
      <c r="AF403">
        <v>16</v>
      </c>
      <c r="AG403">
        <v>12</v>
      </c>
      <c r="AH403">
        <v>12</v>
      </c>
      <c r="AI403">
        <v>10</v>
      </c>
      <c r="AJ403">
        <v>3</v>
      </c>
      <c r="AK403">
        <v>8</v>
      </c>
      <c r="AL403">
        <v>6</v>
      </c>
      <c r="AM403">
        <v>5</v>
      </c>
      <c r="AN403">
        <v>9</v>
      </c>
      <c r="AO403">
        <v>10</v>
      </c>
      <c r="AP403">
        <v>14</v>
      </c>
      <c r="AQ403">
        <v>18</v>
      </c>
      <c r="AR403">
        <v>9</v>
      </c>
      <c r="AS403">
        <v>5</v>
      </c>
      <c r="AT403">
        <v>8</v>
      </c>
      <c r="AU403">
        <v>4</v>
      </c>
      <c r="AV403">
        <v>3</v>
      </c>
      <c r="AW403">
        <v>3</v>
      </c>
      <c r="AX403">
        <v>4</v>
      </c>
      <c r="AY403">
        <v>8</v>
      </c>
      <c r="AZ403">
        <v>5</v>
      </c>
      <c r="BA403">
        <v>6</v>
      </c>
      <c r="BB403">
        <v>5</v>
      </c>
      <c r="BC403">
        <v>5</v>
      </c>
    </row>
    <row r="404" spans="1:55" x14ac:dyDescent="0.25">
      <c r="A404" t="s">
        <v>4038</v>
      </c>
      <c r="B404" t="s">
        <v>115</v>
      </c>
      <c r="C404" t="s">
        <v>91</v>
      </c>
      <c r="D404">
        <v>139</v>
      </c>
      <c r="E404">
        <v>11.78</v>
      </c>
      <c r="F404">
        <v>18</v>
      </c>
      <c r="G404">
        <v>23</v>
      </c>
      <c r="H404">
        <v>17</v>
      </c>
      <c r="I404">
        <v>12</v>
      </c>
      <c r="J404">
        <v>20</v>
      </c>
      <c r="K404">
        <v>21</v>
      </c>
      <c r="L404">
        <v>16</v>
      </c>
      <c r="M404">
        <v>15</v>
      </c>
      <c r="N404">
        <v>11</v>
      </c>
      <c r="O404">
        <v>9</v>
      </c>
      <c r="P404">
        <v>11</v>
      </c>
      <c r="Q404">
        <v>11</v>
      </c>
      <c r="R404">
        <v>11</v>
      </c>
      <c r="S404">
        <v>10</v>
      </c>
      <c r="T404">
        <v>21</v>
      </c>
      <c r="U404">
        <v>35</v>
      </c>
      <c r="V404">
        <v>25</v>
      </c>
      <c r="W404">
        <v>25</v>
      </c>
      <c r="X404">
        <v>16</v>
      </c>
      <c r="Y404">
        <v>17</v>
      </c>
      <c r="Z404">
        <v>22</v>
      </c>
      <c r="AA404">
        <v>19</v>
      </c>
      <c r="AB404">
        <v>17</v>
      </c>
      <c r="AC404">
        <v>14</v>
      </c>
      <c r="AD404">
        <v>12</v>
      </c>
      <c r="AE404">
        <v>15</v>
      </c>
      <c r="AF404">
        <v>12</v>
      </c>
      <c r="AG404">
        <v>10</v>
      </c>
      <c r="AH404">
        <v>9</v>
      </c>
      <c r="AI404">
        <v>7</v>
      </c>
      <c r="AJ404">
        <v>2</v>
      </c>
      <c r="AK404">
        <v>7</v>
      </c>
      <c r="AL404">
        <v>4</v>
      </c>
      <c r="AM404">
        <v>5</v>
      </c>
      <c r="AN404">
        <v>7</v>
      </c>
      <c r="AO404">
        <v>9</v>
      </c>
      <c r="AP404">
        <v>10</v>
      </c>
      <c r="AQ404">
        <v>14</v>
      </c>
      <c r="AR404">
        <v>7</v>
      </c>
      <c r="AS404">
        <v>4</v>
      </c>
      <c r="AT404">
        <v>5</v>
      </c>
      <c r="AU404">
        <v>5</v>
      </c>
      <c r="AV404">
        <v>2</v>
      </c>
      <c r="AW404">
        <v>4</v>
      </c>
      <c r="AX404">
        <v>2</v>
      </c>
      <c r="AY404">
        <v>5</v>
      </c>
      <c r="AZ404">
        <v>3</v>
      </c>
      <c r="BA404">
        <v>6</v>
      </c>
      <c r="BB404">
        <v>5</v>
      </c>
      <c r="BC404">
        <v>2</v>
      </c>
    </row>
    <row r="405" spans="1:55" x14ac:dyDescent="0.25">
      <c r="A405" t="s">
        <v>4039</v>
      </c>
      <c r="B405" t="s">
        <v>116</v>
      </c>
      <c r="C405" t="s">
        <v>91</v>
      </c>
      <c r="D405">
        <v>151</v>
      </c>
      <c r="E405">
        <v>5.12</v>
      </c>
      <c r="F405">
        <v>14</v>
      </c>
      <c r="G405">
        <v>11</v>
      </c>
      <c r="H405">
        <v>9</v>
      </c>
      <c r="I405">
        <v>6</v>
      </c>
      <c r="J405">
        <v>9</v>
      </c>
      <c r="K405">
        <v>9</v>
      </c>
      <c r="L405">
        <v>8</v>
      </c>
      <c r="M405">
        <v>9</v>
      </c>
      <c r="N405">
        <v>5</v>
      </c>
      <c r="O405">
        <v>6</v>
      </c>
      <c r="P405">
        <v>4</v>
      </c>
      <c r="Q405">
        <v>4</v>
      </c>
      <c r="R405">
        <v>4</v>
      </c>
      <c r="S405">
        <v>2</v>
      </c>
      <c r="T405">
        <v>9</v>
      </c>
      <c r="U405">
        <v>11</v>
      </c>
      <c r="V405">
        <v>9</v>
      </c>
      <c r="W405">
        <v>7</v>
      </c>
      <c r="X405">
        <v>3</v>
      </c>
      <c r="Y405">
        <v>8</v>
      </c>
      <c r="Z405">
        <v>7</v>
      </c>
      <c r="AA405">
        <v>7</v>
      </c>
      <c r="AB405">
        <v>10</v>
      </c>
      <c r="AC405">
        <v>6</v>
      </c>
      <c r="AD405">
        <v>6</v>
      </c>
      <c r="AE405">
        <v>7</v>
      </c>
      <c r="AF405">
        <v>5</v>
      </c>
      <c r="AG405">
        <v>5</v>
      </c>
      <c r="AH405">
        <v>5</v>
      </c>
      <c r="AI405">
        <v>4</v>
      </c>
      <c r="AJ405">
        <v>2</v>
      </c>
      <c r="AK405">
        <v>2</v>
      </c>
      <c r="AL405">
        <v>3</v>
      </c>
      <c r="AM405">
        <v>5</v>
      </c>
      <c r="AN405">
        <v>2</v>
      </c>
      <c r="AO405">
        <v>2</v>
      </c>
      <c r="AP405">
        <v>2</v>
      </c>
      <c r="AQ405">
        <v>5</v>
      </c>
      <c r="AR405">
        <v>2</v>
      </c>
      <c r="AS405">
        <v>1</v>
      </c>
      <c r="AT405">
        <v>1</v>
      </c>
      <c r="AU405">
        <v>1</v>
      </c>
      <c r="AV405">
        <v>1</v>
      </c>
      <c r="AW405">
        <v>1</v>
      </c>
      <c r="AX405">
        <v>1</v>
      </c>
      <c r="AY405">
        <v>2</v>
      </c>
      <c r="AZ405">
        <v>2</v>
      </c>
      <c r="BA405">
        <v>4</v>
      </c>
      <c r="BB405">
        <v>4</v>
      </c>
      <c r="BC405">
        <v>4</v>
      </c>
    </row>
    <row r="406" spans="1:55" x14ac:dyDescent="0.25">
      <c r="A406" t="s">
        <v>4040</v>
      </c>
      <c r="B406" t="s">
        <v>117</v>
      </c>
      <c r="C406" t="s">
        <v>91</v>
      </c>
      <c r="D406">
        <v>135</v>
      </c>
      <c r="E406">
        <v>8.94</v>
      </c>
      <c r="F406">
        <v>17</v>
      </c>
      <c r="G406">
        <v>18</v>
      </c>
      <c r="H406">
        <v>21</v>
      </c>
      <c r="I406">
        <v>14</v>
      </c>
      <c r="J406">
        <v>15</v>
      </c>
      <c r="K406">
        <v>14</v>
      </c>
      <c r="L406">
        <v>12</v>
      </c>
      <c r="M406">
        <v>11</v>
      </c>
      <c r="N406">
        <v>11</v>
      </c>
      <c r="O406">
        <v>10</v>
      </c>
      <c r="P406">
        <v>9</v>
      </c>
      <c r="Q406">
        <v>7</v>
      </c>
      <c r="R406">
        <v>8</v>
      </c>
      <c r="S406">
        <v>9</v>
      </c>
      <c r="T406">
        <v>14</v>
      </c>
      <c r="U406">
        <v>17</v>
      </c>
      <c r="V406">
        <v>13</v>
      </c>
      <c r="W406">
        <v>16</v>
      </c>
      <c r="X406">
        <v>13</v>
      </c>
      <c r="Y406">
        <v>14</v>
      </c>
      <c r="Z406">
        <v>20</v>
      </c>
      <c r="AA406">
        <v>15</v>
      </c>
      <c r="AB406">
        <v>20</v>
      </c>
      <c r="AC406">
        <v>12</v>
      </c>
      <c r="AD406">
        <v>13</v>
      </c>
      <c r="AE406">
        <v>11</v>
      </c>
      <c r="AF406">
        <v>9</v>
      </c>
      <c r="AG406">
        <v>6</v>
      </c>
      <c r="AH406">
        <v>8</v>
      </c>
      <c r="AI406">
        <v>6</v>
      </c>
      <c r="AJ406">
        <v>1</v>
      </c>
      <c r="AK406">
        <v>6</v>
      </c>
      <c r="AL406">
        <v>6</v>
      </c>
      <c r="AM406">
        <v>3</v>
      </c>
      <c r="AN406">
        <v>1</v>
      </c>
      <c r="AO406">
        <v>2</v>
      </c>
      <c r="AP406">
        <v>2</v>
      </c>
      <c r="AQ406">
        <v>7</v>
      </c>
      <c r="AR406">
        <v>2</v>
      </c>
      <c r="AS406">
        <v>2</v>
      </c>
      <c r="AT406">
        <v>2</v>
      </c>
      <c r="AU406">
        <v>2</v>
      </c>
      <c r="AV406">
        <v>1</v>
      </c>
      <c r="AW406">
        <v>3</v>
      </c>
      <c r="AX406">
        <v>4</v>
      </c>
      <c r="AY406">
        <v>3</v>
      </c>
      <c r="AZ406">
        <v>4</v>
      </c>
      <c r="BA406">
        <v>3</v>
      </c>
      <c r="BB406">
        <v>6</v>
      </c>
      <c r="BC406">
        <v>4</v>
      </c>
    </row>
    <row r="407" spans="1:55" x14ac:dyDescent="0.25">
      <c r="A407" t="s">
        <v>4041</v>
      </c>
      <c r="B407" t="s">
        <v>118</v>
      </c>
      <c r="C407" t="s">
        <v>91</v>
      </c>
      <c r="D407">
        <v>141</v>
      </c>
      <c r="E407">
        <v>1.86</v>
      </c>
      <c r="F407">
        <v>4</v>
      </c>
      <c r="G407">
        <v>4</v>
      </c>
      <c r="H407">
        <v>4</v>
      </c>
      <c r="I407">
        <v>3</v>
      </c>
      <c r="J407">
        <v>4</v>
      </c>
      <c r="K407">
        <v>2</v>
      </c>
      <c r="L407">
        <v>1</v>
      </c>
      <c r="M407">
        <v>2</v>
      </c>
      <c r="N407">
        <v>1</v>
      </c>
      <c r="O407">
        <v>2</v>
      </c>
      <c r="P407">
        <v>2</v>
      </c>
      <c r="Q407">
        <v>2</v>
      </c>
      <c r="R407">
        <v>3</v>
      </c>
      <c r="S407">
        <v>1</v>
      </c>
      <c r="T407">
        <v>2</v>
      </c>
      <c r="U407">
        <v>4</v>
      </c>
      <c r="V407">
        <v>3</v>
      </c>
      <c r="W407">
        <v>3</v>
      </c>
      <c r="X407">
        <v>1</v>
      </c>
      <c r="Y407">
        <v>3</v>
      </c>
      <c r="Z407">
        <v>2</v>
      </c>
      <c r="AA407">
        <v>3</v>
      </c>
      <c r="AB407">
        <v>2</v>
      </c>
      <c r="AC407">
        <v>2</v>
      </c>
      <c r="AD407">
        <v>4</v>
      </c>
      <c r="AE407">
        <v>2</v>
      </c>
      <c r="AF407">
        <v>2</v>
      </c>
      <c r="AG407">
        <v>2</v>
      </c>
      <c r="AH407">
        <v>1</v>
      </c>
      <c r="AI407">
        <v>1</v>
      </c>
      <c r="AJ407">
        <v>1</v>
      </c>
      <c r="AK407">
        <v>1</v>
      </c>
      <c r="AL407">
        <v>0</v>
      </c>
      <c r="AM407">
        <v>1</v>
      </c>
      <c r="AN407">
        <v>1</v>
      </c>
      <c r="AO407">
        <v>1</v>
      </c>
      <c r="AP407">
        <v>1</v>
      </c>
      <c r="AQ407">
        <v>3</v>
      </c>
      <c r="AR407">
        <v>1</v>
      </c>
      <c r="AS407">
        <v>1</v>
      </c>
      <c r="AT407">
        <v>1</v>
      </c>
      <c r="AU407">
        <v>1</v>
      </c>
      <c r="AV407">
        <v>0</v>
      </c>
      <c r="AW407">
        <v>1</v>
      </c>
      <c r="AX407">
        <v>0</v>
      </c>
      <c r="AY407">
        <v>2</v>
      </c>
      <c r="AZ407">
        <v>1</v>
      </c>
      <c r="BA407">
        <v>1</v>
      </c>
      <c r="BB407">
        <v>1</v>
      </c>
      <c r="BC407">
        <v>2</v>
      </c>
    </row>
    <row r="408" spans="1:55" x14ac:dyDescent="0.25">
      <c r="A408" t="s">
        <v>4042</v>
      </c>
      <c r="B408" t="s">
        <v>119</v>
      </c>
      <c r="C408" t="s">
        <v>91</v>
      </c>
      <c r="D408">
        <v>231</v>
      </c>
      <c r="E408">
        <v>13.72</v>
      </c>
      <c r="F408">
        <v>24</v>
      </c>
      <c r="G408">
        <v>21</v>
      </c>
      <c r="H408">
        <v>22</v>
      </c>
      <c r="I408">
        <v>20</v>
      </c>
      <c r="J408">
        <v>19</v>
      </c>
      <c r="K408">
        <v>19</v>
      </c>
      <c r="L408">
        <v>16</v>
      </c>
      <c r="M408">
        <v>19</v>
      </c>
      <c r="N408">
        <v>17</v>
      </c>
      <c r="O408">
        <v>17</v>
      </c>
      <c r="P408">
        <v>14</v>
      </c>
      <c r="Q408">
        <v>16</v>
      </c>
      <c r="R408">
        <v>19</v>
      </c>
      <c r="S408">
        <v>14</v>
      </c>
      <c r="T408">
        <v>21</v>
      </c>
      <c r="U408">
        <v>32</v>
      </c>
      <c r="V408">
        <v>24</v>
      </c>
      <c r="W408">
        <v>26</v>
      </c>
      <c r="X408">
        <v>20</v>
      </c>
      <c r="Y408">
        <v>16</v>
      </c>
      <c r="Z408">
        <v>20</v>
      </c>
      <c r="AA408">
        <v>20</v>
      </c>
      <c r="AB408">
        <v>22</v>
      </c>
      <c r="AC408">
        <v>18</v>
      </c>
      <c r="AD408">
        <v>19</v>
      </c>
      <c r="AE408">
        <v>19</v>
      </c>
      <c r="AF408">
        <v>13</v>
      </c>
      <c r="AG408">
        <v>12</v>
      </c>
      <c r="AH408">
        <v>7</v>
      </c>
      <c r="AI408">
        <v>5</v>
      </c>
      <c r="AJ408">
        <v>6</v>
      </c>
      <c r="AK408">
        <v>10</v>
      </c>
      <c r="AL408">
        <v>10</v>
      </c>
      <c r="AM408">
        <v>8</v>
      </c>
      <c r="AN408">
        <v>4</v>
      </c>
      <c r="AO408">
        <v>6</v>
      </c>
      <c r="AP408">
        <v>5</v>
      </c>
      <c r="AQ408">
        <v>11</v>
      </c>
      <c r="AR408">
        <v>6</v>
      </c>
      <c r="AS408">
        <v>4</v>
      </c>
      <c r="AT408">
        <v>3</v>
      </c>
      <c r="AU408">
        <v>3</v>
      </c>
      <c r="AV408">
        <v>5</v>
      </c>
      <c r="AW408">
        <v>3</v>
      </c>
      <c r="AX408">
        <v>5</v>
      </c>
      <c r="AY408">
        <v>10</v>
      </c>
      <c r="AZ408">
        <v>13</v>
      </c>
      <c r="BA408">
        <v>10</v>
      </c>
      <c r="BB408">
        <v>6</v>
      </c>
      <c r="BC408">
        <v>7</v>
      </c>
    </row>
    <row r="409" spans="1:55" x14ac:dyDescent="0.25">
      <c r="A409" t="s">
        <v>4043</v>
      </c>
      <c r="B409" t="s">
        <v>120</v>
      </c>
      <c r="C409" t="s">
        <v>91</v>
      </c>
      <c r="D409">
        <v>61</v>
      </c>
      <c r="E409">
        <v>14.58</v>
      </c>
      <c r="F409">
        <v>21</v>
      </c>
      <c r="G409">
        <v>14</v>
      </c>
      <c r="H409">
        <v>19</v>
      </c>
      <c r="I409">
        <v>16</v>
      </c>
      <c r="J409">
        <v>18</v>
      </c>
      <c r="K409">
        <v>15</v>
      </c>
      <c r="L409">
        <v>12</v>
      </c>
      <c r="M409">
        <v>16</v>
      </c>
      <c r="N409">
        <v>11</v>
      </c>
      <c r="O409">
        <v>15</v>
      </c>
      <c r="P409">
        <v>11</v>
      </c>
      <c r="Q409">
        <v>11</v>
      </c>
      <c r="R409">
        <v>14</v>
      </c>
      <c r="S409">
        <v>14</v>
      </c>
      <c r="T409">
        <v>16</v>
      </c>
      <c r="U409">
        <v>19</v>
      </c>
      <c r="V409">
        <v>19</v>
      </c>
      <c r="W409">
        <v>21</v>
      </c>
      <c r="X409">
        <v>13</v>
      </c>
      <c r="Y409">
        <v>22</v>
      </c>
      <c r="Z409">
        <v>25</v>
      </c>
      <c r="AA409">
        <v>18</v>
      </c>
      <c r="AB409">
        <v>27</v>
      </c>
      <c r="AC409">
        <v>21</v>
      </c>
      <c r="AD409">
        <v>15</v>
      </c>
      <c r="AE409">
        <v>21</v>
      </c>
      <c r="AF409">
        <v>10</v>
      </c>
      <c r="AG409">
        <v>17</v>
      </c>
      <c r="AH409">
        <v>18</v>
      </c>
      <c r="AI409">
        <v>18</v>
      </c>
      <c r="AJ409">
        <v>4</v>
      </c>
      <c r="AK409">
        <v>19</v>
      </c>
      <c r="AL409">
        <v>9</v>
      </c>
      <c r="AM409">
        <v>8</v>
      </c>
      <c r="AN409">
        <v>9</v>
      </c>
      <c r="AO409">
        <v>13</v>
      </c>
      <c r="AP409">
        <v>15</v>
      </c>
      <c r="AQ409">
        <v>14</v>
      </c>
      <c r="AR409">
        <v>9</v>
      </c>
      <c r="AS409">
        <v>13</v>
      </c>
      <c r="AT409">
        <v>8</v>
      </c>
      <c r="AU409">
        <v>12</v>
      </c>
      <c r="AV409">
        <v>5</v>
      </c>
      <c r="AW409">
        <v>5</v>
      </c>
      <c r="AX409">
        <v>13</v>
      </c>
      <c r="AY409">
        <v>17</v>
      </c>
      <c r="AZ409">
        <v>13</v>
      </c>
      <c r="BA409">
        <v>14</v>
      </c>
      <c r="BB409">
        <v>14</v>
      </c>
      <c r="BC409">
        <v>8</v>
      </c>
    </row>
    <row r="410" spans="1:55" x14ac:dyDescent="0.25">
      <c r="A410" t="s">
        <v>4044</v>
      </c>
      <c r="B410" t="s">
        <v>121</v>
      </c>
      <c r="C410" t="s">
        <v>91</v>
      </c>
      <c r="D410">
        <v>429</v>
      </c>
      <c r="E410">
        <v>6.56</v>
      </c>
      <c r="F410">
        <v>12</v>
      </c>
      <c r="G410">
        <v>11</v>
      </c>
      <c r="H410">
        <v>13</v>
      </c>
      <c r="I410">
        <v>8</v>
      </c>
      <c r="J410">
        <v>10</v>
      </c>
      <c r="K410">
        <v>9</v>
      </c>
      <c r="L410">
        <v>6</v>
      </c>
      <c r="M410">
        <v>9</v>
      </c>
      <c r="N410">
        <v>6</v>
      </c>
      <c r="O410">
        <v>6</v>
      </c>
      <c r="P410">
        <v>5</v>
      </c>
      <c r="Q410">
        <v>7</v>
      </c>
      <c r="R410">
        <v>9</v>
      </c>
      <c r="S410">
        <v>7</v>
      </c>
      <c r="T410">
        <v>12</v>
      </c>
      <c r="U410">
        <v>21</v>
      </c>
      <c r="V410">
        <v>16</v>
      </c>
      <c r="W410">
        <v>9</v>
      </c>
      <c r="X410">
        <v>12</v>
      </c>
      <c r="Y410">
        <v>9</v>
      </c>
      <c r="Z410">
        <v>11</v>
      </c>
      <c r="AA410">
        <v>8</v>
      </c>
      <c r="AB410">
        <v>9</v>
      </c>
      <c r="AC410">
        <v>8</v>
      </c>
      <c r="AD410">
        <v>9</v>
      </c>
      <c r="AE410">
        <v>9</v>
      </c>
      <c r="AF410">
        <v>5</v>
      </c>
      <c r="AG410">
        <v>4</v>
      </c>
      <c r="AH410">
        <v>5</v>
      </c>
      <c r="AI410">
        <v>4</v>
      </c>
      <c r="AJ410">
        <v>2</v>
      </c>
      <c r="AK410">
        <v>5</v>
      </c>
      <c r="AL410">
        <v>4</v>
      </c>
      <c r="AM410">
        <v>2</v>
      </c>
      <c r="AN410">
        <v>2</v>
      </c>
      <c r="AO410">
        <v>2</v>
      </c>
      <c r="AP410">
        <v>4</v>
      </c>
      <c r="AQ410">
        <v>6</v>
      </c>
      <c r="AR410">
        <v>3</v>
      </c>
      <c r="AS410">
        <v>2</v>
      </c>
      <c r="AT410">
        <v>2</v>
      </c>
      <c r="AU410">
        <v>2</v>
      </c>
      <c r="AV410">
        <v>2</v>
      </c>
      <c r="AW410">
        <v>2</v>
      </c>
      <c r="AX410">
        <v>2</v>
      </c>
      <c r="AY410">
        <v>3</v>
      </c>
      <c r="AZ410">
        <v>3</v>
      </c>
      <c r="BA410">
        <v>3</v>
      </c>
      <c r="BB410">
        <v>5</v>
      </c>
      <c r="BC410">
        <v>3</v>
      </c>
    </row>
    <row r="411" spans="1:55" x14ac:dyDescent="0.25">
      <c r="A411" t="s">
        <v>4045</v>
      </c>
      <c r="B411" t="s">
        <v>122</v>
      </c>
      <c r="C411" t="s">
        <v>91</v>
      </c>
      <c r="D411">
        <v>249</v>
      </c>
      <c r="E411">
        <v>6.42</v>
      </c>
      <c r="F411">
        <v>10</v>
      </c>
      <c r="G411">
        <v>8</v>
      </c>
      <c r="H411">
        <v>12</v>
      </c>
      <c r="I411">
        <v>8</v>
      </c>
      <c r="J411">
        <v>9</v>
      </c>
      <c r="K411">
        <v>9</v>
      </c>
      <c r="L411">
        <v>7</v>
      </c>
      <c r="M411">
        <v>10</v>
      </c>
      <c r="N411">
        <v>5</v>
      </c>
      <c r="O411">
        <v>8</v>
      </c>
      <c r="P411">
        <v>7</v>
      </c>
      <c r="Q411">
        <v>7</v>
      </c>
      <c r="R411">
        <v>9</v>
      </c>
      <c r="S411">
        <v>7</v>
      </c>
      <c r="T411">
        <v>10</v>
      </c>
      <c r="U411">
        <v>15</v>
      </c>
      <c r="V411">
        <v>13</v>
      </c>
      <c r="W411">
        <v>14</v>
      </c>
      <c r="X411">
        <v>10</v>
      </c>
      <c r="Y411">
        <v>12</v>
      </c>
      <c r="Z411">
        <v>9</v>
      </c>
      <c r="AA411">
        <v>9</v>
      </c>
      <c r="AB411">
        <v>9</v>
      </c>
      <c r="AC411">
        <v>9</v>
      </c>
      <c r="AD411">
        <v>8</v>
      </c>
      <c r="AE411">
        <v>8</v>
      </c>
      <c r="AF411">
        <v>8</v>
      </c>
      <c r="AG411">
        <v>5</v>
      </c>
      <c r="AH411">
        <v>6</v>
      </c>
      <c r="AI411">
        <v>4</v>
      </c>
      <c r="AJ411">
        <v>6</v>
      </c>
      <c r="AK411">
        <v>4</v>
      </c>
      <c r="AL411">
        <v>3</v>
      </c>
      <c r="AM411">
        <v>1</v>
      </c>
      <c r="AN411">
        <v>3</v>
      </c>
      <c r="AO411">
        <v>3</v>
      </c>
      <c r="AP411">
        <v>5</v>
      </c>
      <c r="AQ411">
        <v>4</v>
      </c>
      <c r="AR411">
        <v>3</v>
      </c>
      <c r="AS411">
        <v>2</v>
      </c>
      <c r="AT411">
        <v>2</v>
      </c>
      <c r="AU411">
        <v>3</v>
      </c>
      <c r="AV411">
        <v>1</v>
      </c>
      <c r="AW411">
        <v>1</v>
      </c>
      <c r="AX411">
        <v>1</v>
      </c>
      <c r="AY411">
        <v>3</v>
      </c>
      <c r="AZ411">
        <v>4</v>
      </c>
      <c r="BA411">
        <v>2</v>
      </c>
      <c r="BB411">
        <v>3</v>
      </c>
      <c r="BC411">
        <v>2</v>
      </c>
    </row>
    <row r="412" spans="1:55" x14ac:dyDescent="0.25">
      <c r="A412" t="s">
        <v>4046</v>
      </c>
      <c r="B412" t="s">
        <v>123</v>
      </c>
      <c r="C412" t="s">
        <v>91</v>
      </c>
      <c r="D412">
        <v>210</v>
      </c>
      <c r="E412">
        <v>7.02</v>
      </c>
      <c r="F412">
        <v>14</v>
      </c>
      <c r="G412">
        <v>14</v>
      </c>
      <c r="H412">
        <v>17</v>
      </c>
      <c r="I412">
        <v>9</v>
      </c>
      <c r="J412">
        <v>13</v>
      </c>
      <c r="K412">
        <v>11</v>
      </c>
      <c r="L412">
        <v>10</v>
      </c>
      <c r="M412">
        <v>10</v>
      </c>
      <c r="N412">
        <v>5</v>
      </c>
      <c r="O412">
        <v>7</v>
      </c>
      <c r="P412">
        <v>6</v>
      </c>
      <c r="Q412">
        <v>7</v>
      </c>
      <c r="R412">
        <v>11</v>
      </c>
      <c r="S412">
        <v>10</v>
      </c>
      <c r="T412">
        <v>7</v>
      </c>
      <c r="U412">
        <v>19</v>
      </c>
      <c r="V412">
        <v>13</v>
      </c>
      <c r="W412">
        <v>11</v>
      </c>
      <c r="X412">
        <v>12</v>
      </c>
      <c r="Y412">
        <v>9</v>
      </c>
      <c r="Z412">
        <v>10</v>
      </c>
      <c r="AA412">
        <v>9</v>
      </c>
      <c r="AB412">
        <v>12</v>
      </c>
      <c r="AC412">
        <v>8</v>
      </c>
      <c r="AD412">
        <v>12</v>
      </c>
      <c r="AE412">
        <v>8</v>
      </c>
      <c r="AF412">
        <v>8</v>
      </c>
      <c r="AG412">
        <v>5</v>
      </c>
      <c r="AH412">
        <v>4</v>
      </c>
      <c r="AI412">
        <v>4</v>
      </c>
      <c r="AJ412">
        <v>3</v>
      </c>
      <c r="AK412">
        <v>2</v>
      </c>
      <c r="AL412">
        <v>3</v>
      </c>
      <c r="AM412">
        <v>3</v>
      </c>
      <c r="AN412">
        <v>3</v>
      </c>
      <c r="AO412">
        <v>3</v>
      </c>
      <c r="AP412">
        <v>4</v>
      </c>
      <c r="AQ412">
        <v>6</v>
      </c>
      <c r="AR412">
        <v>3</v>
      </c>
      <c r="AS412">
        <v>2</v>
      </c>
      <c r="AT412">
        <v>2</v>
      </c>
      <c r="AU412">
        <v>2</v>
      </c>
      <c r="AV412">
        <v>2</v>
      </c>
      <c r="AW412">
        <v>0</v>
      </c>
      <c r="AX412">
        <v>1</v>
      </c>
      <c r="AY412">
        <v>3</v>
      </c>
      <c r="AZ412">
        <v>2</v>
      </c>
      <c r="BA412">
        <v>2</v>
      </c>
      <c r="BB412">
        <v>7</v>
      </c>
      <c r="BC412">
        <v>3</v>
      </c>
    </row>
    <row r="413" spans="1:55" x14ac:dyDescent="0.25">
      <c r="A413" t="s">
        <v>4047</v>
      </c>
      <c r="B413" t="s">
        <v>124</v>
      </c>
      <c r="C413" t="s">
        <v>91</v>
      </c>
      <c r="D413">
        <v>970</v>
      </c>
      <c r="E413">
        <v>6.4</v>
      </c>
      <c r="F413">
        <v>9</v>
      </c>
      <c r="G413">
        <v>12</v>
      </c>
      <c r="H413">
        <v>14</v>
      </c>
      <c r="I413">
        <v>11</v>
      </c>
      <c r="J413">
        <v>13</v>
      </c>
      <c r="K413">
        <v>11</v>
      </c>
      <c r="L413">
        <v>9</v>
      </c>
      <c r="M413">
        <v>9</v>
      </c>
      <c r="N413">
        <v>5</v>
      </c>
      <c r="O413">
        <v>6</v>
      </c>
      <c r="P413">
        <v>5</v>
      </c>
      <c r="Q413">
        <v>8</v>
      </c>
      <c r="R413">
        <v>8</v>
      </c>
      <c r="S413">
        <v>7</v>
      </c>
      <c r="T413">
        <v>12</v>
      </c>
      <c r="U413">
        <v>16</v>
      </c>
      <c r="V413">
        <v>13</v>
      </c>
      <c r="W413">
        <v>11</v>
      </c>
      <c r="X413">
        <v>9</v>
      </c>
      <c r="Y413">
        <v>8</v>
      </c>
      <c r="Z413">
        <v>10</v>
      </c>
      <c r="AA413">
        <v>8</v>
      </c>
      <c r="AB413">
        <v>10</v>
      </c>
      <c r="AC413">
        <v>7</v>
      </c>
      <c r="AD413">
        <v>7</v>
      </c>
      <c r="AE413">
        <v>7</v>
      </c>
      <c r="AF413">
        <v>6</v>
      </c>
      <c r="AG413">
        <v>5</v>
      </c>
      <c r="AH413">
        <v>4</v>
      </c>
      <c r="AI413">
        <v>3</v>
      </c>
      <c r="AJ413">
        <v>5</v>
      </c>
      <c r="AK413">
        <v>3</v>
      </c>
      <c r="AL413">
        <v>3</v>
      </c>
      <c r="AM413">
        <v>3</v>
      </c>
      <c r="AN413">
        <v>3</v>
      </c>
      <c r="AO413">
        <v>3</v>
      </c>
      <c r="AP413">
        <v>3</v>
      </c>
      <c r="AQ413">
        <v>6</v>
      </c>
      <c r="AR413">
        <v>3</v>
      </c>
      <c r="AS413">
        <v>2</v>
      </c>
      <c r="AT413">
        <v>2</v>
      </c>
      <c r="AU413">
        <v>1</v>
      </c>
      <c r="AV413">
        <v>2</v>
      </c>
      <c r="AW413">
        <v>1</v>
      </c>
      <c r="AX413">
        <v>2</v>
      </c>
      <c r="AY413">
        <v>3</v>
      </c>
      <c r="AZ413">
        <v>3</v>
      </c>
      <c r="BA413">
        <v>3</v>
      </c>
      <c r="BB413">
        <v>3</v>
      </c>
      <c r="BC413">
        <v>3</v>
      </c>
    </row>
    <row r="414" spans="1:55" x14ac:dyDescent="0.25">
      <c r="A414" t="s">
        <v>4048</v>
      </c>
      <c r="B414" t="s">
        <v>125</v>
      </c>
      <c r="C414" t="s">
        <v>91</v>
      </c>
      <c r="D414">
        <v>665</v>
      </c>
      <c r="E414">
        <v>14.12</v>
      </c>
      <c r="F414">
        <v>22</v>
      </c>
      <c r="G414">
        <v>22</v>
      </c>
      <c r="H414">
        <v>26</v>
      </c>
      <c r="I414">
        <v>21</v>
      </c>
      <c r="J414">
        <v>24</v>
      </c>
      <c r="K414">
        <v>22</v>
      </c>
      <c r="L414">
        <v>17</v>
      </c>
      <c r="M414">
        <v>19</v>
      </c>
      <c r="N414">
        <v>13</v>
      </c>
      <c r="O414">
        <v>16</v>
      </c>
      <c r="P414">
        <v>15</v>
      </c>
      <c r="Q414">
        <v>14</v>
      </c>
      <c r="R414">
        <v>18</v>
      </c>
      <c r="S414">
        <v>14</v>
      </c>
      <c r="T414">
        <v>21</v>
      </c>
      <c r="U414">
        <v>34</v>
      </c>
      <c r="V414">
        <v>26</v>
      </c>
      <c r="W414">
        <v>25</v>
      </c>
      <c r="X414">
        <v>20</v>
      </c>
      <c r="Y414">
        <v>17</v>
      </c>
      <c r="Z414">
        <v>21</v>
      </c>
      <c r="AA414">
        <v>18</v>
      </c>
      <c r="AB414">
        <v>22</v>
      </c>
      <c r="AC414">
        <v>16</v>
      </c>
      <c r="AD414">
        <v>16</v>
      </c>
      <c r="AE414">
        <v>16</v>
      </c>
      <c r="AF414">
        <v>13</v>
      </c>
      <c r="AG414">
        <v>9</v>
      </c>
      <c r="AH414">
        <v>11</v>
      </c>
      <c r="AI414">
        <v>8</v>
      </c>
      <c r="AJ414">
        <v>5</v>
      </c>
      <c r="AK414">
        <v>10</v>
      </c>
      <c r="AL414">
        <v>10</v>
      </c>
      <c r="AM414">
        <v>7</v>
      </c>
      <c r="AN414">
        <v>5</v>
      </c>
      <c r="AO414">
        <v>6</v>
      </c>
      <c r="AP414">
        <v>7</v>
      </c>
      <c r="AQ414">
        <v>17</v>
      </c>
      <c r="AR414">
        <v>9</v>
      </c>
      <c r="AS414">
        <v>8</v>
      </c>
      <c r="AT414">
        <v>5</v>
      </c>
      <c r="AU414">
        <v>6</v>
      </c>
      <c r="AV414">
        <v>4</v>
      </c>
      <c r="AW414">
        <v>3</v>
      </c>
      <c r="AX414">
        <v>6</v>
      </c>
      <c r="AY414">
        <v>8</v>
      </c>
      <c r="AZ414">
        <v>10</v>
      </c>
      <c r="BA414">
        <v>8</v>
      </c>
      <c r="BB414">
        <v>9</v>
      </c>
      <c r="BC414">
        <v>7</v>
      </c>
    </row>
    <row r="415" spans="1:55" x14ac:dyDescent="0.25">
      <c r="A415" t="s">
        <v>4049</v>
      </c>
      <c r="B415" t="s">
        <v>71</v>
      </c>
      <c r="C415" t="s">
        <v>91</v>
      </c>
      <c r="D415">
        <v>412</v>
      </c>
      <c r="E415">
        <v>14.92</v>
      </c>
      <c r="F415">
        <v>25</v>
      </c>
      <c r="G415">
        <v>24</v>
      </c>
      <c r="H415">
        <v>28</v>
      </c>
      <c r="I415">
        <v>22</v>
      </c>
      <c r="J415">
        <v>26</v>
      </c>
      <c r="K415">
        <v>23</v>
      </c>
      <c r="L415">
        <v>17</v>
      </c>
      <c r="M415">
        <v>19</v>
      </c>
      <c r="N415">
        <v>14</v>
      </c>
      <c r="O415">
        <v>17</v>
      </c>
      <c r="P415">
        <v>15</v>
      </c>
      <c r="Q415">
        <v>14</v>
      </c>
      <c r="R415">
        <v>19</v>
      </c>
      <c r="S415">
        <v>14</v>
      </c>
      <c r="T415">
        <v>22</v>
      </c>
      <c r="U415">
        <v>35</v>
      </c>
      <c r="V415">
        <v>28</v>
      </c>
      <c r="W415">
        <v>25</v>
      </c>
      <c r="X415">
        <v>21</v>
      </c>
      <c r="Y415">
        <v>17</v>
      </c>
      <c r="Z415">
        <v>21</v>
      </c>
      <c r="AA415">
        <v>19</v>
      </c>
      <c r="AB415">
        <v>23</v>
      </c>
      <c r="AC415">
        <v>18</v>
      </c>
      <c r="AD415">
        <v>19</v>
      </c>
      <c r="AE415">
        <v>18</v>
      </c>
      <c r="AF415">
        <v>13</v>
      </c>
      <c r="AG415">
        <v>9</v>
      </c>
      <c r="AH415">
        <v>11</v>
      </c>
      <c r="AI415">
        <v>8</v>
      </c>
      <c r="AJ415">
        <v>5</v>
      </c>
      <c r="AK415">
        <v>11</v>
      </c>
      <c r="AL415">
        <v>11</v>
      </c>
      <c r="AM415">
        <v>8</v>
      </c>
      <c r="AN415">
        <v>6</v>
      </c>
      <c r="AO415">
        <v>6</v>
      </c>
      <c r="AP415">
        <v>7</v>
      </c>
      <c r="AQ415">
        <v>18</v>
      </c>
      <c r="AR415">
        <v>10</v>
      </c>
      <c r="AS415">
        <v>7</v>
      </c>
      <c r="AT415">
        <v>5</v>
      </c>
      <c r="AU415">
        <v>6</v>
      </c>
      <c r="AV415">
        <v>4</v>
      </c>
      <c r="AW415">
        <v>4</v>
      </c>
      <c r="AX415">
        <v>5</v>
      </c>
      <c r="AY415">
        <v>9</v>
      </c>
      <c r="AZ415">
        <v>12</v>
      </c>
      <c r="BA415">
        <v>9</v>
      </c>
      <c r="BB415">
        <v>10</v>
      </c>
      <c r="BC415">
        <v>9</v>
      </c>
    </row>
    <row r="416" spans="1:55" x14ac:dyDescent="0.25">
      <c r="A416" t="s">
        <v>4050</v>
      </c>
      <c r="B416" t="s">
        <v>127</v>
      </c>
      <c r="C416" t="s">
        <v>91</v>
      </c>
      <c r="D416">
        <v>253</v>
      </c>
      <c r="E416">
        <v>13.04</v>
      </c>
      <c r="F416">
        <v>18</v>
      </c>
      <c r="G416">
        <v>20</v>
      </c>
      <c r="H416">
        <v>24</v>
      </c>
      <c r="I416">
        <v>19</v>
      </c>
      <c r="J416">
        <v>22</v>
      </c>
      <c r="K416">
        <v>20</v>
      </c>
      <c r="L416">
        <v>15</v>
      </c>
      <c r="M416">
        <v>19</v>
      </c>
      <c r="N416">
        <v>11</v>
      </c>
      <c r="O416">
        <v>14</v>
      </c>
      <c r="P416">
        <v>16</v>
      </c>
      <c r="Q416">
        <v>13</v>
      </c>
      <c r="R416">
        <v>16</v>
      </c>
      <c r="S416">
        <v>15</v>
      </c>
      <c r="T416">
        <v>20</v>
      </c>
      <c r="U416">
        <v>31</v>
      </c>
      <c r="V416">
        <v>24</v>
      </c>
      <c r="W416">
        <v>25</v>
      </c>
      <c r="X416">
        <v>19</v>
      </c>
      <c r="Y416">
        <v>18</v>
      </c>
      <c r="Z416">
        <v>20</v>
      </c>
      <c r="AA416">
        <v>15</v>
      </c>
      <c r="AB416">
        <v>21</v>
      </c>
      <c r="AC416">
        <v>13</v>
      </c>
      <c r="AD416">
        <v>13</v>
      </c>
      <c r="AE416">
        <v>12</v>
      </c>
      <c r="AF416">
        <v>12</v>
      </c>
      <c r="AG416">
        <v>10</v>
      </c>
      <c r="AH416">
        <v>10</v>
      </c>
      <c r="AI416">
        <v>8</v>
      </c>
      <c r="AJ416">
        <v>4</v>
      </c>
      <c r="AK416">
        <v>10</v>
      </c>
      <c r="AL416">
        <v>8</v>
      </c>
      <c r="AM416">
        <v>7</v>
      </c>
      <c r="AN416">
        <v>4</v>
      </c>
      <c r="AO416">
        <v>6</v>
      </c>
      <c r="AP416">
        <v>8</v>
      </c>
      <c r="AQ416">
        <v>16</v>
      </c>
      <c r="AR416">
        <v>9</v>
      </c>
      <c r="AS416">
        <v>9</v>
      </c>
      <c r="AT416">
        <v>6</v>
      </c>
      <c r="AU416">
        <v>5</v>
      </c>
      <c r="AV416">
        <v>5</v>
      </c>
      <c r="AW416">
        <v>3</v>
      </c>
      <c r="AX416">
        <v>7</v>
      </c>
      <c r="AY416">
        <v>7</v>
      </c>
      <c r="AZ416">
        <v>7</v>
      </c>
      <c r="BA416">
        <v>7</v>
      </c>
      <c r="BB416">
        <v>7</v>
      </c>
      <c r="BC416">
        <v>4</v>
      </c>
    </row>
    <row r="417" spans="1:55" x14ac:dyDescent="0.25">
      <c r="A417" t="s">
        <v>4051</v>
      </c>
      <c r="B417" t="s">
        <v>128</v>
      </c>
      <c r="C417" t="s">
        <v>91</v>
      </c>
      <c r="D417">
        <v>917</v>
      </c>
      <c r="E417">
        <v>10.54</v>
      </c>
      <c r="F417">
        <v>20</v>
      </c>
      <c r="G417">
        <v>17</v>
      </c>
      <c r="H417">
        <v>20</v>
      </c>
      <c r="I417">
        <v>18</v>
      </c>
      <c r="J417">
        <v>21</v>
      </c>
      <c r="K417">
        <v>15</v>
      </c>
      <c r="L417">
        <v>13</v>
      </c>
      <c r="M417">
        <v>14</v>
      </c>
      <c r="N417">
        <v>11</v>
      </c>
      <c r="O417">
        <v>10</v>
      </c>
      <c r="P417">
        <v>12</v>
      </c>
      <c r="Q417">
        <v>13</v>
      </c>
      <c r="R417">
        <v>16</v>
      </c>
      <c r="S417">
        <v>9</v>
      </c>
      <c r="T417">
        <v>16</v>
      </c>
      <c r="U417">
        <v>23</v>
      </c>
      <c r="V417">
        <v>20</v>
      </c>
      <c r="W417">
        <v>16</v>
      </c>
      <c r="X417">
        <v>14</v>
      </c>
      <c r="Y417">
        <v>14</v>
      </c>
      <c r="Z417">
        <v>14</v>
      </c>
      <c r="AA417">
        <v>13</v>
      </c>
      <c r="AB417">
        <v>18</v>
      </c>
      <c r="AC417">
        <v>12</v>
      </c>
      <c r="AD417">
        <v>13</v>
      </c>
      <c r="AE417">
        <v>13</v>
      </c>
      <c r="AF417">
        <v>10</v>
      </c>
      <c r="AG417">
        <v>8</v>
      </c>
      <c r="AH417">
        <v>7</v>
      </c>
      <c r="AI417">
        <v>5</v>
      </c>
      <c r="AJ417">
        <v>4</v>
      </c>
      <c r="AK417">
        <v>7</v>
      </c>
      <c r="AL417">
        <v>7</v>
      </c>
      <c r="AM417">
        <v>6</v>
      </c>
      <c r="AN417">
        <v>4</v>
      </c>
      <c r="AO417">
        <v>4</v>
      </c>
      <c r="AP417">
        <v>5</v>
      </c>
      <c r="AQ417">
        <v>7</v>
      </c>
      <c r="AR417">
        <v>5</v>
      </c>
      <c r="AS417">
        <v>3</v>
      </c>
      <c r="AT417">
        <v>3</v>
      </c>
      <c r="AU417">
        <v>2</v>
      </c>
      <c r="AV417">
        <v>2</v>
      </c>
      <c r="AW417">
        <v>4</v>
      </c>
      <c r="AX417">
        <v>2</v>
      </c>
      <c r="AY417">
        <v>7</v>
      </c>
      <c r="AZ417">
        <v>9</v>
      </c>
      <c r="BA417">
        <v>8</v>
      </c>
      <c r="BB417">
        <v>7</v>
      </c>
      <c r="BC417">
        <v>6</v>
      </c>
    </row>
    <row r="418" spans="1:55" x14ac:dyDescent="0.25">
      <c r="A418" t="s">
        <v>4052</v>
      </c>
      <c r="B418" t="s">
        <v>72</v>
      </c>
      <c r="C418" t="s">
        <v>91</v>
      </c>
      <c r="D418">
        <v>122</v>
      </c>
      <c r="E418">
        <v>13.16</v>
      </c>
      <c r="F418">
        <v>12</v>
      </c>
      <c r="G418">
        <v>23</v>
      </c>
      <c r="H418">
        <v>20</v>
      </c>
      <c r="I418">
        <v>17</v>
      </c>
      <c r="J418">
        <v>17</v>
      </c>
      <c r="K418">
        <v>17</v>
      </c>
      <c r="L418">
        <v>14</v>
      </c>
      <c r="M418">
        <v>15</v>
      </c>
      <c r="N418">
        <v>13</v>
      </c>
      <c r="O418">
        <v>11</v>
      </c>
      <c r="P418">
        <v>12</v>
      </c>
      <c r="Q418">
        <v>14</v>
      </c>
      <c r="R418">
        <v>19</v>
      </c>
      <c r="S418">
        <v>13</v>
      </c>
      <c r="T418">
        <v>15</v>
      </c>
      <c r="U418">
        <v>29</v>
      </c>
      <c r="V418">
        <v>26</v>
      </c>
      <c r="W418">
        <v>23</v>
      </c>
      <c r="X418">
        <v>16</v>
      </c>
      <c r="Y418">
        <v>14</v>
      </c>
      <c r="Z418">
        <v>17</v>
      </c>
      <c r="AA418">
        <v>18</v>
      </c>
      <c r="AB418">
        <v>26</v>
      </c>
      <c r="AC418">
        <v>19</v>
      </c>
      <c r="AD418">
        <v>19</v>
      </c>
      <c r="AE418">
        <v>20</v>
      </c>
      <c r="AF418">
        <v>15</v>
      </c>
      <c r="AG418">
        <v>13</v>
      </c>
      <c r="AH418">
        <v>12</v>
      </c>
      <c r="AI418">
        <v>13</v>
      </c>
      <c r="AJ418">
        <v>15</v>
      </c>
      <c r="AK418">
        <v>10</v>
      </c>
      <c r="AL418">
        <v>7</v>
      </c>
      <c r="AM418">
        <v>10</v>
      </c>
      <c r="AN418">
        <v>4</v>
      </c>
      <c r="AO418">
        <v>4</v>
      </c>
      <c r="AP418">
        <v>10</v>
      </c>
      <c r="AQ418">
        <v>14</v>
      </c>
      <c r="AR418">
        <v>9</v>
      </c>
      <c r="AS418">
        <v>6</v>
      </c>
      <c r="AT418">
        <v>8</v>
      </c>
      <c r="AU418">
        <v>3</v>
      </c>
      <c r="AV418">
        <v>5</v>
      </c>
      <c r="AW418">
        <v>6</v>
      </c>
      <c r="AX418">
        <v>7</v>
      </c>
      <c r="AY418">
        <v>7</v>
      </c>
      <c r="AZ418">
        <v>6</v>
      </c>
      <c r="BA418">
        <v>5</v>
      </c>
      <c r="BB418">
        <v>4</v>
      </c>
      <c r="BC418">
        <v>6</v>
      </c>
    </row>
    <row r="419" spans="1:55" x14ac:dyDescent="0.25">
      <c r="A419" t="s">
        <v>4053</v>
      </c>
      <c r="B419" t="s">
        <v>240</v>
      </c>
      <c r="C419" t="s">
        <v>91</v>
      </c>
      <c r="D419">
        <v>46</v>
      </c>
      <c r="E419">
        <v>15.64</v>
      </c>
      <c r="F419">
        <v>26</v>
      </c>
      <c r="G419">
        <v>16</v>
      </c>
      <c r="H419">
        <v>10</v>
      </c>
      <c r="I419">
        <v>16</v>
      </c>
      <c r="J419">
        <v>19</v>
      </c>
      <c r="K419">
        <v>16</v>
      </c>
      <c r="L419">
        <v>15</v>
      </c>
      <c r="M419">
        <v>16</v>
      </c>
      <c r="N419">
        <v>14</v>
      </c>
      <c r="O419">
        <v>12</v>
      </c>
      <c r="P419">
        <v>10</v>
      </c>
      <c r="Q419">
        <v>12</v>
      </c>
      <c r="R419">
        <v>12</v>
      </c>
      <c r="S419">
        <v>12</v>
      </c>
      <c r="T419">
        <v>16</v>
      </c>
      <c r="U419">
        <v>26</v>
      </c>
      <c r="V419">
        <v>27</v>
      </c>
      <c r="W419">
        <v>24</v>
      </c>
      <c r="X419">
        <v>26</v>
      </c>
      <c r="Y419">
        <v>28</v>
      </c>
      <c r="Z419">
        <v>22</v>
      </c>
      <c r="AA419">
        <v>16</v>
      </c>
      <c r="AB419">
        <v>22</v>
      </c>
      <c r="AC419">
        <v>19</v>
      </c>
      <c r="AD419">
        <v>27</v>
      </c>
      <c r="AE419">
        <v>32</v>
      </c>
      <c r="AF419">
        <v>19</v>
      </c>
      <c r="AG419">
        <v>14</v>
      </c>
      <c r="AH419">
        <v>19</v>
      </c>
      <c r="AI419">
        <v>25</v>
      </c>
      <c r="AJ419">
        <v>2</v>
      </c>
      <c r="AK419">
        <v>9</v>
      </c>
      <c r="AL419">
        <v>11</v>
      </c>
      <c r="AM419">
        <v>17</v>
      </c>
      <c r="AN419">
        <v>6</v>
      </c>
      <c r="AO419">
        <v>7</v>
      </c>
      <c r="AP419">
        <v>8</v>
      </c>
      <c r="AQ419">
        <v>8</v>
      </c>
      <c r="AR419">
        <v>18</v>
      </c>
      <c r="AS419">
        <v>16</v>
      </c>
      <c r="AT419">
        <v>13</v>
      </c>
      <c r="AU419">
        <v>7</v>
      </c>
      <c r="AV419">
        <v>8</v>
      </c>
      <c r="AW419">
        <v>10</v>
      </c>
      <c r="AX419">
        <v>6</v>
      </c>
      <c r="AY419">
        <v>12</v>
      </c>
      <c r="AZ419">
        <v>25</v>
      </c>
      <c r="BA419">
        <v>17</v>
      </c>
      <c r="BB419">
        <v>8</v>
      </c>
      <c r="BC419">
        <v>6</v>
      </c>
    </row>
    <row r="420" spans="1:55" x14ac:dyDescent="0.25">
      <c r="A420" t="s">
        <v>4054</v>
      </c>
      <c r="B420" t="s">
        <v>129</v>
      </c>
      <c r="C420" t="s">
        <v>91</v>
      </c>
      <c r="D420">
        <v>97</v>
      </c>
      <c r="E420">
        <v>8.58</v>
      </c>
      <c r="F420">
        <v>8</v>
      </c>
      <c r="G420">
        <v>15</v>
      </c>
      <c r="H420">
        <v>14</v>
      </c>
      <c r="I420">
        <v>6</v>
      </c>
      <c r="J420">
        <v>11</v>
      </c>
      <c r="K420">
        <v>10</v>
      </c>
      <c r="L420">
        <v>11</v>
      </c>
      <c r="M420">
        <v>13</v>
      </c>
      <c r="N420">
        <v>12</v>
      </c>
      <c r="O420">
        <v>5</v>
      </c>
      <c r="P420">
        <v>7</v>
      </c>
      <c r="Q420">
        <v>5</v>
      </c>
      <c r="R420">
        <v>13</v>
      </c>
      <c r="S420">
        <v>10</v>
      </c>
      <c r="T420">
        <v>9</v>
      </c>
      <c r="U420">
        <v>22</v>
      </c>
      <c r="V420">
        <v>18</v>
      </c>
      <c r="W420">
        <v>13</v>
      </c>
      <c r="X420">
        <v>12</v>
      </c>
      <c r="Y420">
        <v>15</v>
      </c>
      <c r="Z420">
        <v>18</v>
      </c>
      <c r="AA420">
        <v>12</v>
      </c>
      <c r="AB420">
        <v>12</v>
      </c>
      <c r="AC420">
        <v>12</v>
      </c>
      <c r="AD420">
        <v>8</v>
      </c>
      <c r="AE420">
        <v>11</v>
      </c>
      <c r="AF420">
        <v>10</v>
      </c>
      <c r="AG420">
        <v>9</v>
      </c>
      <c r="AH420">
        <v>10</v>
      </c>
      <c r="AI420">
        <v>4</v>
      </c>
      <c r="AJ420">
        <v>8</v>
      </c>
      <c r="AK420">
        <v>5</v>
      </c>
      <c r="AL420">
        <v>3</v>
      </c>
      <c r="AM420">
        <v>6</v>
      </c>
      <c r="AN420">
        <v>4</v>
      </c>
      <c r="AO420">
        <v>5</v>
      </c>
      <c r="AP420">
        <v>4</v>
      </c>
      <c r="AQ420">
        <v>6</v>
      </c>
      <c r="AR420">
        <v>5</v>
      </c>
      <c r="AS420">
        <v>6</v>
      </c>
      <c r="AT420">
        <v>4</v>
      </c>
      <c r="AU420">
        <v>1</v>
      </c>
      <c r="AV420">
        <v>4</v>
      </c>
      <c r="AW420">
        <v>2</v>
      </c>
      <c r="AX420">
        <v>2</v>
      </c>
      <c r="AY420">
        <v>6</v>
      </c>
      <c r="AZ420">
        <v>7</v>
      </c>
      <c r="BA420">
        <v>6</v>
      </c>
      <c r="BB420">
        <v>5</v>
      </c>
      <c r="BC420">
        <v>5</v>
      </c>
    </row>
    <row r="421" spans="1:55" x14ac:dyDescent="0.25">
      <c r="A421" t="s">
        <v>4055</v>
      </c>
      <c r="B421" t="s">
        <v>241</v>
      </c>
      <c r="C421" t="s">
        <v>91</v>
      </c>
      <c r="D421">
        <v>166</v>
      </c>
      <c r="E421">
        <v>18.2</v>
      </c>
      <c r="F421">
        <v>31</v>
      </c>
      <c r="G421">
        <v>34</v>
      </c>
      <c r="H421">
        <v>31</v>
      </c>
      <c r="I421">
        <v>27</v>
      </c>
      <c r="J421">
        <v>27</v>
      </c>
      <c r="K421">
        <v>30</v>
      </c>
      <c r="L421">
        <v>21</v>
      </c>
      <c r="M421">
        <v>24</v>
      </c>
      <c r="N421">
        <v>19</v>
      </c>
      <c r="O421">
        <v>18</v>
      </c>
      <c r="P421">
        <v>19</v>
      </c>
      <c r="Q421">
        <v>19</v>
      </c>
      <c r="R421">
        <v>25</v>
      </c>
      <c r="S421">
        <v>20</v>
      </c>
      <c r="T421">
        <v>27</v>
      </c>
      <c r="U421">
        <v>38</v>
      </c>
      <c r="V421">
        <v>32</v>
      </c>
      <c r="W421">
        <v>31</v>
      </c>
      <c r="X421">
        <v>29</v>
      </c>
      <c r="Y421">
        <v>28</v>
      </c>
      <c r="Z421">
        <v>27</v>
      </c>
      <c r="AA421">
        <v>28</v>
      </c>
      <c r="AB421">
        <v>28</v>
      </c>
      <c r="AC421">
        <v>22</v>
      </c>
      <c r="AD421">
        <v>20</v>
      </c>
      <c r="AE421">
        <v>16</v>
      </c>
      <c r="AF421">
        <v>20</v>
      </c>
      <c r="AG421">
        <v>18</v>
      </c>
      <c r="AH421">
        <v>15</v>
      </c>
      <c r="AI421">
        <v>9</v>
      </c>
      <c r="AJ421">
        <v>4</v>
      </c>
      <c r="AK421">
        <v>10</v>
      </c>
      <c r="AL421">
        <v>9</v>
      </c>
      <c r="AM421">
        <v>7</v>
      </c>
      <c r="AN421">
        <v>10</v>
      </c>
      <c r="AO421">
        <v>9</v>
      </c>
      <c r="AP421">
        <v>9</v>
      </c>
      <c r="AQ421">
        <v>20</v>
      </c>
      <c r="AR421">
        <v>12</v>
      </c>
      <c r="AS421">
        <v>11</v>
      </c>
      <c r="AT421">
        <v>10</v>
      </c>
      <c r="AU421">
        <v>4</v>
      </c>
      <c r="AV421">
        <v>5</v>
      </c>
      <c r="AW421">
        <v>6</v>
      </c>
      <c r="AX421">
        <v>9</v>
      </c>
      <c r="AY421">
        <v>8</v>
      </c>
      <c r="AZ421">
        <v>11</v>
      </c>
      <c r="BA421">
        <v>8</v>
      </c>
      <c r="BB421">
        <v>8</v>
      </c>
      <c r="BC421">
        <v>7</v>
      </c>
    </row>
    <row r="422" spans="1:55" x14ac:dyDescent="0.25">
      <c r="A422" t="s">
        <v>4056</v>
      </c>
      <c r="B422" t="s">
        <v>242</v>
      </c>
      <c r="C422" t="s">
        <v>91</v>
      </c>
      <c r="D422">
        <v>99</v>
      </c>
      <c r="E422">
        <v>4.8600000000000003</v>
      </c>
      <c r="F422">
        <v>10</v>
      </c>
      <c r="G422">
        <v>8</v>
      </c>
      <c r="H422">
        <v>13</v>
      </c>
      <c r="I422">
        <v>15</v>
      </c>
      <c r="J422">
        <v>14</v>
      </c>
      <c r="K422">
        <v>9</v>
      </c>
      <c r="L422">
        <v>9</v>
      </c>
      <c r="M422">
        <v>8</v>
      </c>
      <c r="N422">
        <v>5</v>
      </c>
      <c r="O422">
        <v>2</v>
      </c>
      <c r="P422">
        <v>5</v>
      </c>
      <c r="Q422">
        <v>5</v>
      </c>
      <c r="R422">
        <v>6</v>
      </c>
      <c r="S422">
        <v>7</v>
      </c>
      <c r="T422">
        <v>9</v>
      </c>
      <c r="U422">
        <v>14</v>
      </c>
      <c r="V422">
        <v>8</v>
      </c>
      <c r="W422">
        <v>8</v>
      </c>
      <c r="X422">
        <v>2</v>
      </c>
      <c r="Y422">
        <v>7</v>
      </c>
      <c r="Z422">
        <v>7</v>
      </c>
      <c r="AA422">
        <v>5</v>
      </c>
      <c r="AB422">
        <v>0</v>
      </c>
      <c r="AC422">
        <v>1</v>
      </c>
      <c r="AD422">
        <v>4</v>
      </c>
      <c r="AE422">
        <v>1</v>
      </c>
      <c r="AF422">
        <v>4</v>
      </c>
      <c r="AG422">
        <v>4</v>
      </c>
      <c r="AH422">
        <v>3</v>
      </c>
      <c r="AI422">
        <v>3</v>
      </c>
      <c r="AJ422">
        <v>0</v>
      </c>
      <c r="AK422">
        <v>2</v>
      </c>
      <c r="AL422">
        <v>5</v>
      </c>
      <c r="AM422">
        <v>5</v>
      </c>
      <c r="AN422">
        <v>1</v>
      </c>
      <c r="AO422">
        <v>2</v>
      </c>
      <c r="AP422">
        <v>6</v>
      </c>
      <c r="AQ422">
        <v>9</v>
      </c>
      <c r="AR422">
        <v>1</v>
      </c>
      <c r="AS422">
        <v>1</v>
      </c>
      <c r="AT422">
        <v>0</v>
      </c>
      <c r="AU422">
        <v>2</v>
      </c>
      <c r="AV422">
        <v>1</v>
      </c>
      <c r="AW422">
        <v>0</v>
      </c>
      <c r="AX422">
        <v>1</v>
      </c>
      <c r="AY422">
        <v>3</v>
      </c>
      <c r="AZ422">
        <v>2</v>
      </c>
      <c r="BA422">
        <v>1</v>
      </c>
      <c r="BB422">
        <v>2</v>
      </c>
      <c r="BC422">
        <v>3</v>
      </c>
    </row>
    <row r="423" spans="1:55" x14ac:dyDescent="0.25">
      <c r="A423" t="s">
        <v>4057</v>
      </c>
      <c r="B423" t="s">
        <v>132</v>
      </c>
      <c r="C423" t="s">
        <v>91</v>
      </c>
      <c r="D423">
        <v>139</v>
      </c>
      <c r="E423">
        <v>1.48</v>
      </c>
      <c r="F423">
        <v>1</v>
      </c>
      <c r="G423">
        <v>4</v>
      </c>
      <c r="H423">
        <v>4</v>
      </c>
      <c r="I423">
        <v>2</v>
      </c>
      <c r="J423">
        <v>4</v>
      </c>
      <c r="K423">
        <v>1</v>
      </c>
      <c r="L423">
        <v>3</v>
      </c>
      <c r="M423">
        <v>3</v>
      </c>
      <c r="N423">
        <v>1</v>
      </c>
      <c r="O423">
        <v>1</v>
      </c>
      <c r="P423">
        <v>1</v>
      </c>
      <c r="Q423">
        <v>2</v>
      </c>
      <c r="R423">
        <v>2</v>
      </c>
      <c r="S423">
        <v>1</v>
      </c>
      <c r="T423">
        <v>3</v>
      </c>
      <c r="U423">
        <v>4</v>
      </c>
      <c r="V423">
        <v>3</v>
      </c>
      <c r="W423">
        <v>2</v>
      </c>
      <c r="X423">
        <v>1</v>
      </c>
      <c r="Y423">
        <v>2</v>
      </c>
      <c r="Z423">
        <v>2</v>
      </c>
      <c r="AA423">
        <v>2</v>
      </c>
      <c r="AB423">
        <v>1</v>
      </c>
      <c r="AC423">
        <v>1</v>
      </c>
      <c r="AD423">
        <v>1</v>
      </c>
      <c r="AE423">
        <v>2</v>
      </c>
      <c r="AF423">
        <v>2</v>
      </c>
      <c r="AG423">
        <v>0</v>
      </c>
      <c r="AH423">
        <v>1</v>
      </c>
      <c r="AI423">
        <v>0</v>
      </c>
      <c r="AJ423">
        <v>0</v>
      </c>
      <c r="AK423">
        <v>0</v>
      </c>
      <c r="AL423">
        <v>1</v>
      </c>
      <c r="AM423">
        <v>0</v>
      </c>
      <c r="AN423">
        <v>1</v>
      </c>
      <c r="AO423">
        <v>0</v>
      </c>
      <c r="AP423">
        <v>1</v>
      </c>
      <c r="AQ423">
        <v>3</v>
      </c>
      <c r="AR423">
        <v>2</v>
      </c>
      <c r="AS423">
        <v>1</v>
      </c>
      <c r="AT423">
        <v>1</v>
      </c>
      <c r="AU423">
        <v>1</v>
      </c>
      <c r="AV423">
        <v>0</v>
      </c>
      <c r="AW423">
        <v>0</v>
      </c>
      <c r="AX423">
        <v>1</v>
      </c>
      <c r="AY423">
        <v>1</v>
      </c>
      <c r="AZ423">
        <v>1</v>
      </c>
      <c r="BA423">
        <v>1</v>
      </c>
      <c r="BB423">
        <v>2</v>
      </c>
      <c r="BC423">
        <v>0</v>
      </c>
    </row>
    <row r="424" spans="1:55" x14ac:dyDescent="0.25">
      <c r="A424" t="s">
        <v>4058</v>
      </c>
      <c r="B424" t="s">
        <v>243</v>
      </c>
      <c r="C424" t="s">
        <v>91</v>
      </c>
      <c r="D424">
        <v>207</v>
      </c>
      <c r="E424">
        <v>2.08</v>
      </c>
      <c r="F424">
        <v>6</v>
      </c>
      <c r="G424">
        <v>3</v>
      </c>
      <c r="H424">
        <v>6</v>
      </c>
      <c r="I424">
        <v>3</v>
      </c>
      <c r="J424">
        <v>4</v>
      </c>
      <c r="K424">
        <v>4</v>
      </c>
      <c r="L424">
        <v>4</v>
      </c>
      <c r="M424">
        <v>4</v>
      </c>
      <c r="N424">
        <v>3</v>
      </c>
      <c r="O424">
        <v>3</v>
      </c>
      <c r="P424">
        <v>3</v>
      </c>
      <c r="Q424">
        <v>2</v>
      </c>
      <c r="R424">
        <v>4</v>
      </c>
      <c r="S424">
        <v>3</v>
      </c>
      <c r="T424">
        <v>3</v>
      </c>
      <c r="U424">
        <v>5</v>
      </c>
      <c r="V424">
        <v>4</v>
      </c>
      <c r="W424">
        <v>4</v>
      </c>
      <c r="X424">
        <v>4</v>
      </c>
      <c r="Y424">
        <v>4</v>
      </c>
      <c r="Z424">
        <v>4</v>
      </c>
      <c r="AA424">
        <v>2</v>
      </c>
      <c r="AB424">
        <v>2</v>
      </c>
      <c r="AC424">
        <v>2</v>
      </c>
      <c r="AD424">
        <v>2</v>
      </c>
      <c r="AE424">
        <v>1</v>
      </c>
      <c r="AF424">
        <v>3</v>
      </c>
      <c r="AG424">
        <v>1</v>
      </c>
      <c r="AH424">
        <v>0</v>
      </c>
      <c r="AI424">
        <v>0</v>
      </c>
      <c r="AJ424">
        <v>1</v>
      </c>
      <c r="AK424">
        <v>1</v>
      </c>
      <c r="AL424">
        <v>1</v>
      </c>
      <c r="AM424">
        <v>1</v>
      </c>
      <c r="AN424">
        <v>0</v>
      </c>
      <c r="AO424">
        <v>1</v>
      </c>
      <c r="AP424">
        <v>2</v>
      </c>
      <c r="AQ424">
        <v>0</v>
      </c>
      <c r="AR424">
        <v>0</v>
      </c>
      <c r="AS424">
        <v>0</v>
      </c>
      <c r="AT424">
        <v>0</v>
      </c>
      <c r="AU424">
        <v>1</v>
      </c>
      <c r="AV424">
        <v>0</v>
      </c>
      <c r="AW424">
        <v>0</v>
      </c>
      <c r="AX424">
        <v>0</v>
      </c>
      <c r="AY424">
        <v>1</v>
      </c>
      <c r="AZ424">
        <v>2</v>
      </c>
      <c r="BA424">
        <v>0</v>
      </c>
      <c r="BB424">
        <v>0</v>
      </c>
      <c r="BC424">
        <v>0</v>
      </c>
    </row>
    <row r="425" spans="1:55" x14ac:dyDescent="0.25">
      <c r="A425" t="s">
        <v>4059</v>
      </c>
      <c r="B425" t="s">
        <v>37</v>
      </c>
      <c r="C425" t="s">
        <v>91</v>
      </c>
    </row>
    <row r="426" spans="1:55" x14ac:dyDescent="0.25">
      <c r="A426" t="s">
        <v>4060</v>
      </c>
      <c r="B426" t="s">
        <v>134</v>
      </c>
      <c r="C426" t="s">
        <v>91</v>
      </c>
    </row>
    <row r="427" spans="1:55" x14ac:dyDescent="0.25">
      <c r="A427" t="s">
        <v>4061</v>
      </c>
      <c r="B427" t="s">
        <v>135</v>
      </c>
      <c r="C427" t="s">
        <v>91</v>
      </c>
    </row>
    <row r="428" spans="1:55" x14ac:dyDescent="0.25">
      <c r="A428" t="s">
        <v>4062</v>
      </c>
      <c r="B428" t="s">
        <v>136</v>
      </c>
      <c r="C428" t="s">
        <v>91</v>
      </c>
    </row>
    <row r="429" spans="1:55" x14ac:dyDescent="0.25">
      <c r="A429" t="s">
        <v>4063</v>
      </c>
      <c r="B429" t="s">
        <v>38</v>
      </c>
      <c r="C429" t="s">
        <v>91</v>
      </c>
    </row>
    <row r="430" spans="1:55" x14ac:dyDescent="0.25">
      <c r="A430" t="s">
        <v>4064</v>
      </c>
      <c r="B430" t="s">
        <v>137</v>
      </c>
      <c r="C430" t="s">
        <v>91</v>
      </c>
    </row>
    <row r="431" spans="1:55" x14ac:dyDescent="0.25">
      <c r="A431" t="s">
        <v>4065</v>
      </c>
      <c r="B431" t="s">
        <v>138</v>
      </c>
      <c r="C431" t="s">
        <v>91</v>
      </c>
    </row>
    <row r="432" spans="1:55" x14ac:dyDescent="0.25">
      <c r="A432" t="s">
        <v>4066</v>
      </c>
      <c r="B432" t="s">
        <v>139</v>
      </c>
      <c r="C432" t="s">
        <v>91</v>
      </c>
    </row>
    <row r="433" spans="1:3" x14ac:dyDescent="0.25">
      <c r="A433" t="s">
        <v>4067</v>
      </c>
      <c r="B433" t="s">
        <v>140</v>
      </c>
      <c r="C433" t="s">
        <v>91</v>
      </c>
    </row>
    <row r="434" spans="1:3" x14ac:dyDescent="0.25">
      <c r="A434" t="s">
        <v>4068</v>
      </c>
      <c r="B434" t="s">
        <v>141</v>
      </c>
      <c r="C434" t="s">
        <v>91</v>
      </c>
    </row>
    <row r="435" spans="1:3" x14ac:dyDescent="0.25">
      <c r="A435" t="s">
        <v>4069</v>
      </c>
      <c r="B435" t="s">
        <v>142</v>
      </c>
      <c r="C435" t="s">
        <v>91</v>
      </c>
    </row>
    <row r="436" spans="1:3" x14ac:dyDescent="0.25">
      <c r="A436" t="s">
        <v>4070</v>
      </c>
      <c r="B436" t="s">
        <v>143</v>
      </c>
      <c r="C436" t="s">
        <v>91</v>
      </c>
    </row>
    <row r="437" spans="1:3" x14ac:dyDescent="0.25">
      <c r="A437" t="s">
        <v>4071</v>
      </c>
      <c r="B437" t="s">
        <v>144</v>
      </c>
      <c r="C437" t="s">
        <v>91</v>
      </c>
    </row>
    <row r="438" spans="1:3" x14ac:dyDescent="0.25">
      <c r="A438" t="s">
        <v>4072</v>
      </c>
      <c r="B438" t="s">
        <v>145</v>
      </c>
      <c r="C438" t="s">
        <v>91</v>
      </c>
    </row>
    <row r="439" spans="1:3" x14ac:dyDescent="0.25">
      <c r="A439" t="s">
        <v>4073</v>
      </c>
      <c r="B439" t="s">
        <v>146</v>
      </c>
      <c r="C439" t="s">
        <v>91</v>
      </c>
    </row>
    <row r="440" spans="1:3" x14ac:dyDescent="0.25">
      <c r="A440" t="s">
        <v>4074</v>
      </c>
      <c r="B440" t="s">
        <v>147</v>
      </c>
      <c r="C440" t="s">
        <v>91</v>
      </c>
    </row>
    <row r="441" spans="1:3" x14ac:dyDescent="0.25">
      <c r="A441" t="s">
        <v>4075</v>
      </c>
      <c r="B441" t="s">
        <v>148</v>
      </c>
      <c r="C441" t="s">
        <v>91</v>
      </c>
    </row>
    <row r="442" spans="1:3" x14ac:dyDescent="0.25">
      <c r="A442" t="s">
        <v>4076</v>
      </c>
      <c r="B442" t="s">
        <v>149</v>
      </c>
      <c r="C442" t="s">
        <v>91</v>
      </c>
    </row>
    <row r="443" spans="1:3" x14ac:dyDescent="0.25">
      <c r="A443" t="s">
        <v>4077</v>
      </c>
      <c r="B443" t="s">
        <v>150</v>
      </c>
      <c r="C443" t="s">
        <v>91</v>
      </c>
    </row>
    <row r="444" spans="1:3" x14ac:dyDescent="0.25">
      <c r="A444" t="s">
        <v>4078</v>
      </c>
      <c r="B444" t="s">
        <v>151</v>
      </c>
      <c r="C444" t="s">
        <v>91</v>
      </c>
    </row>
    <row r="445" spans="1:3" x14ac:dyDescent="0.25">
      <c r="A445" t="s">
        <v>4079</v>
      </c>
      <c r="B445" t="s">
        <v>152</v>
      </c>
      <c r="C445" t="s">
        <v>91</v>
      </c>
    </row>
    <row r="446" spans="1:3" x14ac:dyDescent="0.25">
      <c r="A446" t="s">
        <v>4080</v>
      </c>
      <c r="B446" t="s">
        <v>153</v>
      </c>
      <c r="C446" t="s">
        <v>91</v>
      </c>
    </row>
    <row r="447" spans="1:3" x14ac:dyDescent="0.25">
      <c r="A447" t="s">
        <v>4081</v>
      </c>
      <c r="B447" t="s">
        <v>154</v>
      </c>
      <c r="C447" t="s">
        <v>91</v>
      </c>
    </row>
    <row r="448" spans="1:3" x14ac:dyDescent="0.25">
      <c r="A448" t="s">
        <v>4082</v>
      </c>
      <c r="B448" t="s">
        <v>155</v>
      </c>
      <c r="C448" t="s">
        <v>91</v>
      </c>
    </row>
    <row r="449" spans="1:55" x14ac:dyDescent="0.25">
      <c r="A449" t="s">
        <v>4083</v>
      </c>
      <c r="B449" t="s">
        <v>156</v>
      </c>
      <c r="C449" t="s">
        <v>91</v>
      </c>
    </row>
    <row r="450" spans="1:55" x14ac:dyDescent="0.25">
      <c r="A450" t="s">
        <v>4084</v>
      </c>
      <c r="B450" t="s">
        <v>157</v>
      </c>
      <c r="C450" t="s">
        <v>91</v>
      </c>
    </row>
    <row r="451" spans="1:55" x14ac:dyDescent="0.25">
      <c r="A451" t="s">
        <v>4085</v>
      </c>
      <c r="B451" t="s">
        <v>158</v>
      </c>
      <c r="C451" t="s">
        <v>91</v>
      </c>
    </row>
    <row r="452" spans="1:55" x14ac:dyDescent="0.25">
      <c r="A452" t="s">
        <v>4086</v>
      </c>
      <c r="B452" t="s">
        <v>159</v>
      </c>
      <c r="C452" t="s">
        <v>91</v>
      </c>
    </row>
    <row r="453" spans="1:55" x14ac:dyDescent="0.25">
      <c r="A453" t="s">
        <v>4087</v>
      </c>
      <c r="B453" t="s">
        <v>160</v>
      </c>
      <c r="C453" t="s">
        <v>91</v>
      </c>
    </row>
    <row r="454" spans="1:55" x14ac:dyDescent="0.25">
      <c r="A454" t="s">
        <v>4088</v>
      </c>
      <c r="B454" t="s">
        <v>244</v>
      </c>
      <c r="C454" t="s">
        <v>91</v>
      </c>
    </row>
    <row r="455" spans="1:55" x14ac:dyDescent="0.25">
      <c r="A455" t="s">
        <v>4089</v>
      </c>
      <c r="B455" t="s">
        <v>245</v>
      </c>
      <c r="C455" t="s">
        <v>91</v>
      </c>
    </row>
    <row r="456" spans="1:55" x14ac:dyDescent="0.25">
      <c r="A456" t="s">
        <v>4090</v>
      </c>
      <c r="B456" t="s">
        <v>246</v>
      </c>
      <c r="C456" t="s">
        <v>91</v>
      </c>
    </row>
    <row r="457" spans="1:55" x14ac:dyDescent="0.25">
      <c r="A457" t="s">
        <v>4091</v>
      </c>
      <c r="B457" t="s">
        <v>164</v>
      </c>
      <c r="C457" t="s">
        <v>91</v>
      </c>
    </row>
    <row r="458" spans="1:55" x14ac:dyDescent="0.25">
      <c r="A458" t="s">
        <v>4092</v>
      </c>
      <c r="B458" t="s">
        <v>165</v>
      </c>
      <c r="C458" t="s">
        <v>91</v>
      </c>
    </row>
    <row r="459" spans="1:55" x14ac:dyDescent="0.25">
      <c r="A459" t="s">
        <v>4093</v>
      </c>
      <c r="B459" t="s">
        <v>166</v>
      </c>
      <c r="C459" t="s">
        <v>91</v>
      </c>
    </row>
    <row r="460" spans="1:55" x14ac:dyDescent="0.25">
      <c r="A460" t="s">
        <v>4094</v>
      </c>
      <c r="B460" t="s">
        <v>167</v>
      </c>
      <c r="C460" t="s">
        <v>91</v>
      </c>
    </row>
    <row r="461" spans="1:55" x14ac:dyDescent="0.25">
      <c r="A461" t="s">
        <v>4095</v>
      </c>
      <c r="B461" t="s">
        <v>247</v>
      </c>
      <c r="C461" t="s">
        <v>91</v>
      </c>
    </row>
    <row r="462" spans="1:55" x14ac:dyDescent="0.25">
      <c r="A462" t="s">
        <v>4096</v>
      </c>
      <c r="B462" t="s">
        <v>169</v>
      </c>
      <c r="C462" t="s">
        <v>91</v>
      </c>
    </row>
    <row r="463" spans="1:55" x14ac:dyDescent="0.25">
      <c r="A463" t="s">
        <v>4097</v>
      </c>
      <c r="B463" t="s">
        <v>170</v>
      </c>
      <c r="C463" t="s">
        <v>91</v>
      </c>
    </row>
    <row r="464" spans="1:55" x14ac:dyDescent="0.25">
      <c r="A464" t="s">
        <v>4098</v>
      </c>
      <c r="B464" t="s">
        <v>45</v>
      </c>
      <c r="C464" t="s">
        <v>256</v>
      </c>
      <c r="D464">
        <v>22933</v>
      </c>
      <c r="E464">
        <v>44.878</v>
      </c>
      <c r="G464">
        <v>39</v>
      </c>
      <c r="H464">
        <v>37</v>
      </c>
      <c r="I464">
        <v>36</v>
      </c>
      <c r="J464">
        <v>44</v>
      </c>
      <c r="K464">
        <v>44</v>
      </c>
      <c r="L464">
        <v>35</v>
      </c>
      <c r="M464">
        <v>41</v>
      </c>
      <c r="N464">
        <v>40</v>
      </c>
      <c r="O464">
        <v>40</v>
      </c>
      <c r="P464">
        <v>40</v>
      </c>
      <c r="Q464">
        <v>40</v>
      </c>
      <c r="R464">
        <v>40</v>
      </c>
      <c r="S464">
        <v>43</v>
      </c>
      <c r="T464">
        <v>44</v>
      </c>
      <c r="U464">
        <v>42</v>
      </c>
      <c r="V464">
        <v>41</v>
      </c>
      <c r="W464">
        <v>44</v>
      </c>
      <c r="X464">
        <v>43</v>
      </c>
      <c r="Y464">
        <v>38</v>
      </c>
      <c r="Z464">
        <v>43</v>
      </c>
      <c r="AA464">
        <v>41</v>
      </c>
      <c r="AB464">
        <v>38</v>
      </c>
      <c r="AC464">
        <v>38</v>
      </c>
      <c r="AD464">
        <v>37</v>
      </c>
      <c r="AE464">
        <v>39</v>
      </c>
      <c r="AF464">
        <v>41</v>
      </c>
      <c r="AG464">
        <v>40</v>
      </c>
      <c r="AH464">
        <v>45</v>
      </c>
      <c r="AI464">
        <v>46</v>
      </c>
      <c r="AJ464">
        <v>55</v>
      </c>
      <c r="AK464">
        <v>44</v>
      </c>
      <c r="AL464">
        <v>47</v>
      </c>
      <c r="AM464">
        <v>49</v>
      </c>
      <c r="AN464">
        <v>43</v>
      </c>
      <c r="AO464">
        <v>39</v>
      </c>
      <c r="AP464">
        <v>44</v>
      </c>
      <c r="AQ464">
        <v>46</v>
      </c>
      <c r="AR464">
        <v>41</v>
      </c>
      <c r="AS464">
        <v>43</v>
      </c>
      <c r="AT464">
        <v>51</v>
      </c>
      <c r="AU464">
        <v>57</v>
      </c>
      <c r="AV464">
        <v>54</v>
      </c>
      <c r="AW464">
        <v>57</v>
      </c>
      <c r="AX464">
        <v>60</v>
      </c>
      <c r="AY464">
        <v>59</v>
      </c>
      <c r="AZ464">
        <v>57</v>
      </c>
      <c r="BA464">
        <v>58</v>
      </c>
      <c r="BB464">
        <v>58</v>
      </c>
      <c r="BC464">
        <v>58</v>
      </c>
    </row>
    <row r="465" spans="1:55" x14ac:dyDescent="0.25">
      <c r="A465" t="s">
        <v>4099</v>
      </c>
      <c r="B465" t="s">
        <v>110</v>
      </c>
      <c r="C465" t="s">
        <v>256</v>
      </c>
      <c r="D465">
        <v>5680</v>
      </c>
      <c r="E465">
        <v>43.101999999999997</v>
      </c>
      <c r="G465">
        <v>31</v>
      </c>
      <c r="H465">
        <v>29</v>
      </c>
      <c r="I465">
        <v>30</v>
      </c>
      <c r="J465">
        <v>40</v>
      </c>
      <c r="K465">
        <v>42</v>
      </c>
      <c r="L465">
        <v>31</v>
      </c>
      <c r="M465">
        <v>37</v>
      </c>
      <c r="N465">
        <v>34</v>
      </c>
      <c r="O465">
        <v>35</v>
      </c>
      <c r="P465">
        <v>36</v>
      </c>
      <c r="Q465">
        <v>36</v>
      </c>
      <c r="R465">
        <v>39</v>
      </c>
      <c r="S465">
        <v>41</v>
      </c>
      <c r="T465">
        <v>43</v>
      </c>
      <c r="U465">
        <v>39</v>
      </c>
      <c r="V465">
        <v>38</v>
      </c>
      <c r="W465">
        <v>41</v>
      </c>
      <c r="X465">
        <v>41</v>
      </c>
      <c r="Y465">
        <v>36</v>
      </c>
      <c r="Z465">
        <v>43</v>
      </c>
      <c r="AA465">
        <v>41</v>
      </c>
      <c r="AB465">
        <v>35</v>
      </c>
      <c r="AC465">
        <v>34</v>
      </c>
      <c r="AD465">
        <v>36</v>
      </c>
      <c r="AE465">
        <v>39</v>
      </c>
      <c r="AF465">
        <v>42</v>
      </c>
      <c r="AG465">
        <v>40</v>
      </c>
      <c r="AH465">
        <v>47</v>
      </c>
      <c r="AI465">
        <v>48</v>
      </c>
      <c r="AJ465">
        <v>49</v>
      </c>
      <c r="AK465">
        <v>40</v>
      </c>
      <c r="AL465">
        <v>42</v>
      </c>
      <c r="AM465">
        <v>43</v>
      </c>
      <c r="AN465">
        <v>40</v>
      </c>
      <c r="AO465">
        <v>34</v>
      </c>
      <c r="AP465">
        <v>43</v>
      </c>
      <c r="AQ465">
        <v>45</v>
      </c>
      <c r="AR465">
        <v>40</v>
      </c>
      <c r="AS465">
        <v>42</v>
      </c>
      <c r="AT465">
        <v>51</v>
      </c>
      <c r="AU465">
        <v>58</v>
      </c>
      <c r="AV465">
        <v>56</v>
      </c>
      <c r="AW465">
        <v>60</v>
      </c>
      <c r="AX465">
        <v>63</v>
      </c>
      <c r="AY465">
        <v>62</v>
      </c>
      <c r="AZ465">
        <v>60</v>
      </c>
      <c r="BA465">
        <v>61</v>
      </c>
      <c r="BB465">
        <v>60</v>
      </c>
      <c r="BC465">
        <v>59</v>
      </c>
    </row>
    <row r="466" spans="1:55" x14ac:dyDescent="0.25">
      <c r="A466" t="s">
        <v>4100</v>
      </c>
      <c r="B466" t="s">
        <v>111</v>
      </c>
      <c r="C466" t="s">
        <v>256</v>
      </c>
      <c r="D466">
        <v>64</v>
      </c>
      <c r="E466">
        <v>51.530999999999999</v>
      </c>
      <c r="G466">
        <v>43</v>
      </c>
      <c r="H466">
        <v>41</v>
      </c>
      <c r="I466">
        <v>34</v>
      </c>
      <c r="J466">
        <v>47</v>
      </c>
      <c r="K466">
        <v>40</v>
      </c>
      <c r="L466">
        <v>36</v>
      </c>
      <c r="M466">
        <v>44</v>
      </c>
      <c r="N466">
        <v>39</v>
      </c>
      <c r="O466">
        <v>49</v>
      </c>
      <c r="P466">
        <v>40</v>
      </c>
      <c r="Q466">
        <v>48</v>
      </c>
      <c r="R466">
        <v>48</v>
      </c>
      <c r="S466">
        <v>50</v>
      </c>
      <c r="T466">
        <v>55</v>
      </c>
      <c r="U466">
        <v>51</v>
      </c>
      <c r="V466">
        <v>45</v>
      </c>
      <c r="W466">
        <v>53</v>
      </c>
      <c r="X466">
        <v>51</v>
      </c>
      <c r="Y466">
        <v>43</v>
      </c>
      <c r="Z466">
        <v>53</v>
      </c>
      <c r="AA466">
        <v>57</v>
      </c>
      <c r="AB466">
        <v>37</v>
      </c>
      <c r="AC466">
        <v>44</v>
      </c>
      <c r="AD466">
        <v>48</v>
      </c>
      <c r="AE466">
        <v>41</v>
      </c>
      <c r="AF466">
        <v>50</v>
      </c>
      <c r="AG466">
        <v>42</v>
      </c>
      <c r="AH466">
        <v>45</v>
      </c>
      <c r="AI466">
        <v>47</v>
      </c>
      <c r="AJ466">
        <v>57</v>
      </c>
      <c r="AK466">
        <v>52</v>
      </c>
      <c r="AL466">
        <v>60</v>
      </c>
      <c r="AM466">
        <v>46</v>
      </c>
      <c r="AN466">
        <v>57</v>
      </c>
      <c r="AO466">
        <v>48</v>
      </c>
      <c r="AP466">
        <v>51</v>
      </c>
      <c r="AQ466">
        <v>57</v>
      </c>
      <c r="AR466">
        <v>56</v>
      </c>
      <c r="AS466">
        <v>60</v>
      </c>
      <c r="AT466">
        <v>66</v>
      </c>
      <c r="AU466">
        <v>73</v>
      </c>
      <c r="AV466">
        <v>65</v>
      </c>
      <c r="AW466">
        <v>66</v>
      </c>
      <c r="AX466">
        <v>76</v>
      </c>
      <c r="AY466">
        <v>64</v>
      </c>
      <c r="AZ466">
        <v>65</v>
      </c>
      <c r="BA466">
        <v>69</v>
      </c>
      <c r="BB466">
        <v>61</v>
      </c>
      <c r="BC466">
        <v>55</v>
      </c>
    </row>
    <row r="467" spans="1:55" x14ac:dyDescent="0.25">
      <c r="A467" t="s">
        <v>4101</v>
      </c>
      <c r="B467" t="s">
        <v>112</v>
      </c>
      <c r="C467" t="s">
        <v>256</v>
      </c>
      <c r="D467">
        <v>221</v>
      </c>
      <c r="E467">
        <v>40.183999999999997</v>
      </c>
      <c r="G467">
        <v>25</v>
      </c>
      <c r="H467">
        <v>30</v>
      </c>
      <c r="I467">
        <v>27</v>
      </c>
      <c r="J467">
        <v>27</v>
      </c>
      <c r="K467">
        <v>31</v>
      </c>
      <c r="L467">
        <v>26</v>
      </c>
      <c r="M467">
        <v>30</v>
      </c>
      <c r="N467">
        <v>32</v>
      </c>
      <c r="O467">
        <v>29</v>
      </c>
      <c r="P467">
        <v>35</v>
      </c>
      <c r="Q467">
        <v>38</v>
      </c>
      <c r="R467">
        <v>35</v>
      </c>
      <c r="S467">
        <v>33</v>
      </c>
      <c r="T467">
        <v>41</v>
      </c>
      <c r="U467">
        <v>34</v>
      </c>
      <c r="V467">
        <v>35</v>
      </c>
      <c r="W467">
        <v>38</v>
      </c>
      <c r="X467">
        <v>33</v>
      </c>
      <c r="Y467">
        <v>31</v>
      </c>
      <c r="Z467">
        <v>42</v>
      </c>
      <c r="AA467">
        <v>39</v>
      </c>
      <c r="AB467">
        <v>30</v>
      </c>
      <c r="AC467">
        <v>35</v>
      </c>
      <c r="AD467">
        <v>35</v>
      </c>
      <c r="AE467">
        <v>39</v>
      </c>
      <c r="AF467">
        <v>36</v>
      </c>
      <c r="AG467">
        <v>34</v>
      </c>
      <c r="AH467">
        <v>41</v>
      </c>
      <c r="AI467">
        <v>42</v>
      </c>
      <c r="AJ467">
        <v>52</v>
      </c>
      <c r="AK467">
        <v>44</v>
      </c>
      <c r="AL467">
        <v>42</v>
      </c>
      <c r="AM467">
        <v>45</v>
      </c>
      <c r="AN467">
        <v>44</v>
      </c>
      <c r="AO467">
        <v>36</v>
      </c>
      <c r="AP467">
        <v>38</v>
      </c>
      <c r="AQ467">
        <v>45</v>
      </c>
      <c r="AR467">
        <v>39</v>
      </c>
      <c r="AS467">
        <v>43</v>
      </c>
      <c r="AT467">
        <v>47</v>
      </c>
      <c r="AU467">
        <v>57</v>
      </c>
      <c r="AV467">
        <v>50</v>
      </c>
      <c r="AW467">
        <v>56</v>
      </c>
      <c r="AX467">
        <v>62</v>
      </c>
      <c r="AY467">
        <v>61</v>
      </c>
      <c r="AZ467">
        <v>53</v>
      </c>
      <c r="BA467">
        <v>56</v>
      </c>
      <c r="BB467">
        <v>56</v>
      </c>
      <c r="BC467">
        <v>60</v>
      </c>
    </row>
    <row r="468" spans="1:55" x14ac:dyDescent="0.25">
      <c r="A468" t="s">
        <v>4102</v>
      </c>
      <c r="B468" t="s">
        <v>113</v>
      </c>
      <c r="C468" t="s">
        <v>256</v>
      </c>
      <c r="D468">
        <v>106</v>
      </c>
      <c r="E468">
        <v>41.204000000000001</v>
      </c>
      <c r="G468">
        <v>43</v>
      </c>
      <c r="H468">
        <v>30</v>
      </c>
      <c r="I468">
        <v>31</v>
      </c>
      <c r="J468">
        <v>38</v>
      </c>
      <c r="K468">
        <v>46</v>
      </c>
      <c r="L468">
        <v>34</v>
      </c>
      <c r="M468">
        <v>33</v>
      </c>
      <c r="N468">
        <v>35</v>
      </c>
      <c r="O468">
        <v>34</v>
      </c>
      <c r="P468">
        <v>33</v>
      </c>
      <c r="Q468">
        <v>33</v>
      </c>
      <c r="R468">
        <v>32</v>
      </c>
      <c r="S468">
        <v>35</v>
      </c>
      <c r="T468">
        <v>39</v>
      </c>
      <c r="U468">
        <v>40</v>
      </c>
      <c r="V468">
        <v>43</v>
      </c>
      <c r="W468">
        <v>42</v>
      </c>
      <c r="X468">
        <v>39</v>
      </c>
      <c r="Y468">
        <v>37</v>
      </c>
      <c r="Z468">
        <v>43</v>
      </c>
      <c r="AA468">
        <v>45</v>
      </c>
      <c r="AB468">
        <v>22</v>
      </c>
      <c r="AC468">
        <v>36</v>
      </c>
      <c r="AD468">
        <v>30</v>
      </c>
      <c r="AE468">
        <v>32</v>
      </c>
      <c r="AF468">
        <v>35</v>
      </c>
      <c r="AG468">
        <v>38</v>
      </c>
      <c r="AH468">
        <v>33</v>
      </c>
      <c r="AI468">
        <v>43</v>
      </c>
      <c r="AJ468">
        <v>42</v>
      </c>
      <c r="AK468">
        <v>40</v>
      </c>
      <c r="AL468">
        <v>47</v>
      </c>
      <c r="AM468">
        <v>49</v>
      </c>
      <c r="AN468">
        <v>49</v>
      </c>
      <c r="AO468">
        <v>40</v>
      </c>
      <c r="AP468">
        <v>40</v>
      </c>
      <c r="AQ468">
        <v>50</v>
      </c>
      <c r="AR468">
        <v>33</v>
      </c>
      <c r="AS468">
        <v>38</v>
      </c>
      <c r="AT468">
        <v>48</v>
      </c>
      <c r="AU468">
        <v>53</v>
      </c>
      <c r="AV468">
        <v>51</v>
      </c>
      <c r="AW468">
        <v>53</v>
      </c>
      <c r="AX468">
        <v>62</v>
      </c>
      <c r="AY468">
        <v>58</v>
      </c>
      <c r="AZ468">
        <v>48</v>
      </c>
      <c r="BA468">
        <v>52</v>
      </c>
      <c r="BB468">
        <v>52</v>
      </c>
      <c r="BC468">
        <v>60</v>
      </c>
    </row>
    <row r="469" spans="1:55" x14ac:dyDescent="0.25">
      <c r="A469" t="s">
        <v>4103</v>
      </c>
      <c r="B469" t="s">
        <v>114</v>
      </c>
      <c r="C469" t="s">
        <v>256</v>
      </c>
      <c r="D469">
        <v>222</v>
      </c>
      <c r="E469">
        <v>38.652999999999999</v>
      </c>
      <c r="G469">
        <v>23</v>
      </c>
      <c r="H469">
        <v>27</v>
      </c>
      <c r="I469">
        <v>29</v>
      </c>
      <c r="J469">
        <v>35</v>
      </c>
      <c r="K469">
        <v>38</v>
      </c>
      <c r="L469">
        <v>32</v>
      </c>
      <c r="M469">
        <v>32</v>
      </c>
      <c r="N469">
        <v>34</v>
      </c>
      <c r="O469">
        <v>32</v>
      </c>
      <c r="P469">
        <v>30</v>
      </c>
      <c r="Q469">
        <v>31</v>
      </c>
      <c r="R469">
        <v>37</v>
      </c>
      <c r="S469">
        <v>41</v>
      </c>
      <c r="T469">
        <v>41</v>
      </c>
      <c r="U469">
        <v>35</v>
      </c>
      <c r="V469">
        <v>33</v>
      </c>
      <c r="W469">
        <v>37</v>
      </c>
      <c r="X469">
        <v>36</v>
      </c>
      <c r="Y469">
        <v>38</v>
      </c>
      <c r="Z469">
        <v>33</v>
      </c>
      <c r="AA469">
        <v>34</v>
      </c>
      <c r="AB469">
        <v>26</v>
      </c>
      <c r="AC469">
        <v>28</v>
      </c>
      <c r="AD469">
        <v>27</v>
      </c>
      <c r="AE469">
        <v>25</v>
      </c>
      <c r="AF469">
        <v>33</v>
      </c>
      <c r="AG469">
        <v>36</v>
      </c>
      <c r="AH469">
        <v>39</v>
      </c>
      <c r="AI469">
        <v>37</v>
      </c>
      <c r="AJ469">
        <v>48</v>
      </c>
      <c r="AK469">
        <v>35</v>
      </c>
      <c r="AL469">
        <v>39</v>
      </c>
      <c r="AM469">
        <v>42</v>
      </c>
      <c r="AN469">
        <v>37</v>
      </c>
      <c r="AO469">
        <v>32</v>
      </c>
      <c r="AP469">
        <v>45</v>
      </c>
      <c r="AQ469">
        <v>39</v>
      </c>
      <c r="AR469">
        <v>35</v>
      </c>
      <c r="AS469">
        <v>39</v>
      </c>
      <c r="AT469">
        <v>44</v>
      </c>
      <c r="AU469">
        <v>56</v>
      </c>
      <c r="AV469">
        <v>53</v>
      </c>
      <c r="AW469">
        <v>53</v>
      </c>
      <c r="AX469">
        <v>58</v>
      </c>
      <c r="AY469">
        <v>59</v>
      </c>
      <c r="AZ469">
        <v>52</v>
      </c>
      <c r="BA469">
        <v>54</v>
      </c>
      <c r="BB469">
        <v>58</v>
      </c>
      <c r="BC469">
        <v>57</v>
      </c>
    </row>
    <row r="470" spans="1:55" x14ac:dyDescent="0.25">
      <c r="A470" t="s">
        <v>4104</v>
      </c>
      <c r="B470" t="s">
        <v>115</v>
      </c>
      <c r="C470" t="s">
        <v>256</v>
      </c>
      <c r="D470">
        <v>139</v>
      </c>
      <c r="E470">
        <v>38.122</v>
      </c>
      <c r="G470">
        <v>23</v>
      </c>
      <c r="H470">
        <v>24</v>
      </c>
      <c r="I470">
        <v>30</v>
      </c>
      <c r="J470">
        <v>33</v>
      </c>
      <c r="K470">
        <v>37</v>
      </c>
      <c r="L470">
        <v>32</v>
      </c>
      <c r="M470">
        <v>31</v>
      </c>
      <c r="N470">
        <v>34</v>
      </c>
      <c r="O470">
        <v>33</v>
      </c>
      <c r="P470">
        <v>28</v>
      </c>
      <c r="Q470">
        <v>32</v>
      </c>
      <c r="R470">
        <v>35</v>
      </c>
      <c r="S470">
        <v>40</v>
      </c>
      <c r="T470">
        <v>41</v>
      </c>
      <c r="U470">
        <v>31</v>
      </c>
      <c r="V470">
        <v>30</v>
      </c>
      <c r="W470">
        <v>39</v>
      </c>
      <c r="X470">
        <v>36</v>
      </c>
      <c r="Y470">
        <v>36</v>
      </c>
      <c r="Z470">
        <v>33</v>
      </c>
      <c r="AA470">
        <v>34</v>
      </c>
      <c r="AB470">
        <v>25</v>
      </c>
      <c r="AC470">
        <v>26</v>
      </c>
      <c r="AD470">
        <v>23</v>
      </c>
      <c r="AE470">
        <v>24</v>
      </c>
      <c r="AF470">
        <v>35</v>
      </c>
      <c r="AG470">
        <v>33</v>
      </c>
      <c r="AH470">
        <v>38</v>
      </c>
      <c r="AI470">
        <v>37</v>
      </c>
      <c r="AJ470">
        <v>45</v>
      </c>
      <c r="AK470">
        <v>34</v>
      </c>
      <c r="AL470">
        <v>40</v>
      </c>
      <c r="AM470">
        <v>42</v>
      </c>
      <c r="AN470">
        <v>35</v>
      </c>
      <c r="AO470">
        <v>32</v>
      </c>
      <c r="AP470">
        <v>45</v>
      </c>
      <c r="AQ470">
        <v>43</v>
      </c>
      <c r="AR470">
        <v>36</v>
      </c>
      <c r="AS470">
        <v>34</v>
      </c>
      <c r="AT470">
        <v>43</v>
      </c>
      <c r="AU470">
        <v>54</v>
      </c>
      <c r="AV470">
        <v>53</v>
      </c>
      <c r="AW470">
        <v>54</v>
      </c>
      <c r="AX470">
        <v>58</v>
      </c>
      <c r="AY470">
        <v>60</v>
      </c>
      <c r="AZ470">
        <v>57</v>
      </c>
      <c r="BA470">
        <v>55</v>
      </c>
      <c r="BB470">
        <v>57</v>
      </c>
      <c r="BC470">
        <v>58</v>
      </c>
    </row>
    <row r="471" spans="1:55" x14ac:dyDescent="0.25">
      <c r="A471" t="s">
        <v>4105</v>
      </c>
      <c r="B471" t="s">
        <v>116</v>
      </c>
      <c r="C471" t="s">
        <v>256</v>
      </c>
      <c r="D471">
        <v>151</v>
      </c>
      <c r="E471">
        <v>36.591999999999999</v>
      </c>
      <c r="G471">
        <v>26</v>
      </c>
      <c r="H471">
        <v>21</v>
      </c>
      <c r="I471">
        <v>24</v>
      </c>
      <c r="J471">
        <v>41</v>
      </c>
      <c r="K471">
        <v>41</v>
      </c>
      <c r="L471">
        <v>32</v>
      </c>
      <c r="M471">
        <v>34</v>
      </c>
      <c r="N471">
        <v>30</v>
      </c>
      <c r="O471">
        <v>26</v>
      </c>
      <c r="P471">
        <v>30</v>
      </c>
      <c r="Q471">
        <v>27</v>
      </c>
      <c r="R471">
        <v>32</v>
      </c>
      <c r="S471">
        <v>37</v>
      </c>
      <c r="T471">
        <v>40</v>
      </c>
      <c r="U471">
        <v>39</v>
      </c>
      <c r="V471">
        <v>31</v>
      </c>
      <c r="W471">
        <v>34</v>
      </c>
      <c r="X471">
        <v>34</v>
      </c>
      <c r="Y471">
        <v>30</v>
      </c>
      <c r="Z471">
        <v>33</v>
      </c>
      <c r="AA471">
        <v>33</v>
      </c>
      <c r="AB471">
        <v>31</v>
      </c>
      <c r="AC471">
        <v>27</v>
      </c>
      <c r="AD471">
        <v>27</v>
      </c>
      <c r="AE471">
        <v>25</v>
      </c>
      <c r="AF471">
        <v>33</v>
      </c>
      <c r="AG471">
        <v>35</v>
      </c>
      <c r="AH471">
        <v>34</v>
      </c>
      <c r="AI471">
        <v>33</v>
      </c>
      <c r="AJ471">
        <v>40</v>
      </c>
      <c r="AK471">
        <v>30</v>
      </c>
      <c r="AL471">
        <v>32</v>
      </c>
      <c r="AM471">
        <v>28</v>
      </c>
      <c r="AN471">
        <v>30</v>
      </c>
      <c r="AO471">
        <v>18</v>
      </c>
      <c r="AP471">
        <v>33</v>
      </c>
      <c r="AQ471">
        <v>41</v>
      </c>
      <c r="AR471">
        <v>33</v>
      </c>
      <c r="AS471">
        <v>42</v>
      </c>
      <c r="AT471">
        <v>49</v>
      </c>
      <c r="AU471">
        <v>54</v>
      </c>
      <c r="AV471">
        <v>53</v>
      </c>
      <c r="AW471">
        <v>58</v>
      </c>
      <c r="AX471">
        <v>60</v>
      </c>
      <c r="AY471">
        <v>53</v>
      </c>
      <c r="AZ471">
        <v>61</v>
      </c>
      <c r="BA471">
        <v>51</v>
      </c>
      <c r="BB471">
        <v>49</v>
      </c>
      <c r="BC471">
        <v>58</v>
      </c>
    </row>
    <row r="472" spans="1:55" x14ac:dyDescent="0.25">
      <c r="A472" t="s">
        <v>4106</v>
      </c>
      <c r="B472" t="s">
        <v>117</v>
      </c>
      <c r="C472" t="s">
        <v>256</v>
      </c>
      <c r="D472">
        <v>135</v>
      </c>
      <c r="E472">
        <v>40.939</v>
      </c>
      <c r="G472">
        <v>27</v>
      </c>
      <c r="H472">
        <v>22</v>
      </c>
      <c r="I472">
        <v>24</v>
      </c>
      <c r="J472">
        <v>31</v>
      </c>
      <c r="K472">
        <v>34</v>
      </c>
      <c r="L472">
        <v>22</v>
      </c>
      <c r="M472">
        <v>29</v>
      </c>
      <c r="N472">
        <v>26</v>
      </c>
      <c r="O472">
        <v>31</v>
      </c>
      <c r="P472">
        <v>34</v>
      </c>
      <c r="Q472">
        <v>37</v>
      </c>
      <c r="R472">
        <v>37</v>
      </c>
      <c r="S472">
        <v>33</v>
      </c>
      <c r="T472">
        <v>43</v>
      </c>
      <c r="U472">
        <v>36</v>
      </c>
      <c r="V472">
        <v>27</v>
      </c>
      <c r="W472">
        <v>35</v>
      </c>
      <c r="X472">
        <v>41</v>
      </c>
      <c r="Y472">
        <v>27</v>
      </c>
      <c r="Z472">
        <v>34</v>
      </c>
      <c r="AA472">
        <v>38</v>
      </c>
      <c r="AB472">
        <v>30</v>
      </c>
      <c r="AC472">
        <v>26</v>
      </c>
      <c r="AD472">
        <v>29</v>
      </c>
      <c r="AE472">
        <v>31</v>
      </c>
      <c r="AF472">
        <v>35</v>
      </c>
      <c r="AG472">
        <v>37</v>
      </c>
      <c r="AH472">
        <v>44</v>
      </c>
      <c r="AI472">
        <v>44</v>
      </c>
      <c r="AJ472">
        <v>47</v>
      </c>
      <c r="AK472">
        <v>39</v>
      </c>
      <c r="AL472">
        <v>47</v>
      </c>
      <c r="AM472">
        <v>45</v>
      </c>
      <c r="AN472">
        <v>45</v>
      </c>
      <c r="AO472">
        <v>35</v>
      </c>
      <c r="AP472">
        <v>48</v>
      </c>
      <c r="AQ472">
        <v>47</v>
      </c>
      <c r="AR472">
        <v>39</v>
      </c>
      <c r="AS472">
        <v>43</v>
      </c>
      <c r="AT472">
        <v>53</v>
      </c>
      <c r="AU472">
        <v>60</v>
      </c>
      <c r="AV472">
        <v>55</v>
      </c>
      <c r="AW472">
        <v>66</v>
      </c>
      <c r="AX472">
        <v>67</v>
      </c>
      <c r="AY472">
        <v>67</v>
      </c>
      <c r="AZ472">
        <v>58</v>
      </c>
      <c r="BA472">
        <v>68</v>
      </c>
      <c r="BB472">
        <v>68</v>
      </c>
      <c r="BC472">
        <v>65</v>
      </c>
    </row>
    <row r="473" spans="1:55" x14ac:dyDescent="0.25">
      <c r="A473" t="s">
        <v>4107</v>
      </c>
      <c r="B473" t="s">
        <v>118</v>
      </c>
      <c r="C473" t="s">
        <v>256</v>
      </c>
      <c r="D473">
        <v>141</v>
      </c>
      <c r="E473">
        <v>36.162999999999997</v>
      </c>
      <c r="G473">
        <v>41</v>
      </c>
      <c r="H473">
        <v>31</v>
      </c>
      <c r="I473">
        <v>26</v>
      </c>
      <c r="J473">
        <v>37</v>
      </c>
      <c r="K473">
        <v>36</v>
      </c>
      <c r="L473">
        <v>27</v>
      </c>
      <c r="M473">
        <v>32</v>
      </c>
      <c r="N473">
        <v>25</v>
      </c>
      <c r="O473">
        <v>25</v>
      </c>
      <c r="P473">
        <v>28</v>
      </c>
      <c r="Q473">
        <v>31</v>
      </c>
      <c r="R473">
        <v>31</v>
      </c>
      <c r="S473">
        <v>25</v>
      </c>
      <c r="T473">
        <v>34</v>
      </c>
      <c r="U473">
        <v>34</v>
      </c>
      <c r="V473">
        <v>28</v>
      </c>
      <c r="W473">
        <v>27</v>
      </c>
      <c r="X473">
        <v>27</v>
      </c>
      <c r="Y473">
        <v>25</v>
      </c>
      <c r="Z473">
        <v>28</v>
      </c>
      <c r="AA473">
        <v>22</v>
      </c>
      <c r="AB473">
        <v>21</v>
      </c>
      <c r="AC473">
        <v>22</v>
      </c>
      <c r="AD473">
        <v>30</v>
      </c>
      <c r="AE473">
        <v>25</v>
      </c>
      <c r="AF473">
        <v>31</v>
      </c>
      <c r="AG473">
        <v>26</v>
      </c>
      <c r="AH473">
        <v>35</v>
      </c>
      <c r="AI473">
        <v>36</v>
      </c>
      <c r="AJ473">
        <v>48</v>
      </c>
      <c r="AK473">
        <v>35</v>
      </c>
      <c r="AL473">
        <v>46</v>
      </c>
      <c r="AM473">
        <v>45</v>
      </c>
      <c r="AN473">
        <v>38</v>
      </c>
      <c r="AO473">
        <v>31</v>
      </c>
      <c r="AP473">
        <v>36</v>
      </c>
      <c r="AQ473">
        <v>39</v>
      </c>
      <c r="AR473">
        <v>34</v>
      </c>
      <c r="AS473">
        <v>38</v>
      </c>
      <c r="AT473">
        <v>43</v>
      </c>
      <c r="AU473">
        <v>53</v>
      </c>
      <c r="AV473">
        <v>58</v>
      </c>
      <c r="AW473">
        <v>52</v>
      </c>
      <c r="AX473">
        <v>53</v>
      </c>
      <c r="AY473">
        <v>57</v>
      </c>
      <c r="AZ473">
        <v>54</v>
      </c>
      <c r="BA473">
        <v>53</v>
      </c>
      <c r="BB473">
        <v>57</v>
      </c>
      <c r="BC473">
        <v>56</v>
      </c>
    </row>
    <row r="474" spans="1:55" x14ac:dyDescent="0.25">
      <c r="A474" t="s">
        <v>4108</v>
      </c>
      <c r="B474" t="s">
        <v>119</v>
      </c>
      <c r="C474" t="s">
        <v>256</v>
      </c>
      <c r="D474">
        <v>231</v>
      </c>
      <c r="E474">
        <v>42.878</v>
      </c>
      <c r="G474">
        <v>27</v>
      </c>
      <c r="H474">
        <v>25</v>
      </c>
      <c r="I474">
        <v>32</v>
      </c>
      <c r="J474">
        <v>33</v>
      </c>
      <c r="K474">
        <v>42</v>
      </c>
      <c r="L474">
        <v>25</v>
      </c>
      <c r="M474">
        <v>38</v>
      </c>
      <c r="N474">
        <v>31</v>
      </c>
      <c r="O474">
        <v>31</v>
      </c>
      <c r="P474">
        <v>36</v>
      </c>
      <c r="Q474">
        <v>31</v>
      </c>
      <c r="R474">
        <v>37</v>
      </c>
      <c r="S474">
        <v>40</v>
      </c>
      <c r="T474">
        <v>36</v>
      </c>
      <c r="U474">
        <v>37</v>
      </c>
      <c r="V474">
        <v>38</v>
      </c>
      <c r="W474">
        <v>43</v>
      </c>
      <c r="X474">
        <v>43</v>
      </c>
      <c r="Y474">
        <v>35</v>
      </c>
      <c r="Z474">
        <v>45</v>
      </c>
      <c r="AA474">
        <v>38</v>
      </c>
      <c r="AB474">
        <v>32</v>
      </c>
      <c r="AC474">
        <v>33</v>
      </c>
      <c r="AD474">
        <v>38</v>
      </c>
      <c r="AE474">
        <v>43</v>
      </c>
      <c r="AF474">
        <v>46</v>
      </c>
      <c r="AG474">
        <v>41</v>
      </c>
      <c r="AH474">
        <v>48</v>
      </c>
      <c r="AI474">
        <v>47</v>
      </c>
      <c r="AJ474">
        <v>58</v>
      </c>
      <c r="AK474">
        <v>41</v>
      </c>
      <c r="AL474">
        <v>42</v>
      </c>
      <c r="AM474">
        <v>42</v>
      </c>
      <c r="AN474">
        <v>38</v>
      </c>
      <c r="AO474">
        <v>33</v>
      </c>
      <c r="AP474">
        <v>48</v>
      </c>
      <c r="AQ474">
        <v>43</v>
      </c>
      <c r="AR474">
        <v>45</v>
      </c>
      <c r="AS474">
        <v>39</v>
      </c>
      <c r="AT474">
        <v>56</v>
      </c>
      <c r="AU474">
        <v>55</v>
      </c>
      <c r="AV474">
        <v>57</v>
      </c>
      <c r="AW474">
        <v>61</v>
      </c>
      <c r="AX474">
        <v>60</v>
      </c>
      <c r="AY474">
        <v>62</v>
      </c>
      <c r="AZ474">
        <v>64</v>
      </c>
      <c r="BA474">
        <v>62</v>
      </c>
      <c r="BB474">
        <v>64</v>
      </c>
      <c r="BC474">
        <v>60</v>
      </c>
    </row>
    <row r="475" spans="1:55" x14ac:dyDescent="0.25">
      <c r="A475" t="s">
        <v>4109</v>
      </c>
      <c r="B475" t="s">
        <v>120</v>
      </c>
      <c r="C475" t="s">
        <v>256</v>
      </c>
      <c r="D475">
        <v>61</v>
      </c>
      <c r="E475">
        <v>51.795999999999999</v>
      </c>
      <c r="G475">
        <v>56</v>
      </c>
      <c r="H475">
        <v>50</v>
      </c>
      <c r="I475">
        <v>46</v>
      </c>
      <c r="J475">
        <v>57</v>
      </c>
      <c r="K475">
        <v>53</v>
      </c>
      <c r="L475">
        <v>34</v>
      </c>
      <c r="M475">
        <v>49</v>
      </c>
      <c r="N475">
        <v>50</v>
      </c>
      <c r="O475">
        <v>49</v>
      </c>
      <c r="P475">
        <v>55</v>
      </c>
      <c r="Q475">
        <v>52</v>
      </c>
      <c r="R475">
        <v>49</v>
      </c>
      <c r="S475">
        <v>58</v>
      </c>
      <c r="T475">
        <v>56</v>
      </c>
      <c r="U475">
        <v>42</v>
      </c>
      <c r="V475">
        <v>59</v>
      </c>
      <c r="W475">
        <v>52</v>
      </c>
      <c r="X475">
        <v>55</v>
      </c>
      <c r="Y475">
        <v>44</v>
      </c>
      <c r="Z475">
        <v>53</v>
      </c>
      <c r="AA475">
        <v>53</v>
      </c>
      <c r="AB475">
        <v>49</v>
      </c>
      <c r="AC475">
        <v>40</v>
      </c>
      <c r="AD475">
        <v>54</v>
      </c>
      <c r="AE475">
        <v>56</v>
      </c>
      <c r="AF475">
        <v>54</v>
      </c>
      <c r="AG475">
        <v>47</v>
      </c>
      <c r="AH475">
        <v>52</v>
      </c>
      <c r="AI475">
        <v>58</v>
      </c>
      <c r="AJ475">
        <v>63</v>
      </c>
      <c r="AK475">
        <v>42</v>
      </c>
      <c r="AL475">
        <v>38</v>
      </c>
      <c r="AM475">
        <v>51</v>
      </c>
      <c r="AN475">
        <v>44</v>
      </c>
      <c r="AO475">
        <v>34</v>
      </c>
      <c r="AP475">
        <v>52</v>
      </c>
      <c r="AQ475">
        <v>37</v>
      </c>
      <c r="AR475">
        <v>40</v>
      </c>
      <c r="AS475">
        <v>52</v>
      </c>
      <c r="AT475">
        <v>58</v>
      </c>
      <c r="AU475">
        <v>51</v>
      </c>
      <c r="AV475">
        <v>53</v>
      </c>
      <c r="AW475">
        <v>58</v>
      </c>
      <c r="AX475">
        <v>58</v>
      </c>
      <c r="AY475">
        <v>65</v>
      </c>
      <c r="AZ475">
        <v>56</v>
      </c>
      <c r="BA475">
        <v>68</v>
      </c>
      <c r="BB475">
        <v>71</v>
      </c>
      <c r="BC475">
        <v>65</v>
      </c>
    </row>
    <row r="476" spans="1:55" x14ac:dyDescent="0.25">
      <c r="A476" t="s">
        <v>4110</v>
      </c>
      <c r="B476" t="s">
        <v>121</v>
      </c>
      <c r="C476" t="s">
        <v>256</v>
      </c>
      <c r="D476">
        <v>429</v>
      </c>
      <c r="E476">
        <v>39.856999999999999</v>
      </c>
      <c r="G476">
        <v>25</v>
      </c>
      <c r="H476">
        <v>20</v>
      </c>
      <c r="I476">
        <v>23</v>
      </c>
      <c r="J476">
        <v>32</v>
      </c>
      <c r="K476">
        <v>41</v>
      </c>
      <c r="L476">
        <v>27</v>
      </c>
      <c r="M476">
        <v>30</v>
      </c>
      <c r="N476">
        <v>28</v>
      </c>
      <c r="O476">
        <v>30</v>
      </c>
      <c r="P476">
        <v>33</v>
      </c>
      <c r="Q476">
        <v>29</v>
      </c>
      <c r="R476">
        <v>34</v>
      </c>
      <c r="S476">
        <v>38</v>
      </c>
      <c r="T476">
        <v>40</v>
      </c>
      <c r="U476">
        <v>40</v>
      </c>
      <c r="V476">
        <v>34</v>
      </c>
      <c r="W476">
        <v>38</v>
      </c>
      <c r="X476">
        <v>38</v>
      </c>
      <c r="Y476">
        <v>33</v>
      </c>
      <c r="Z476">
        <v>38</v>
      </c>
      <c r="AA476">
        <v>35</v>
      </c>
      <c r="AB476">
        <v>29</v>
      </c>
      <c r="AC476">
        <v>31</v>
      </c>
      <c r="AD476">
        <v>31</v>
      </c>
      <c r="AE476">
        <v>36</v>
      </c>
      <c r="AF476">
        <v>41</v>
      </c>
      <c r="AG476">
        <v>35</v>
      </c>
      <c r="AH476">
        <v>47</v>
      </c>
      <c r="AI476">
        <v>47</v>
      </c>
      <c r="AJ476">
        <v>45</v>
      </c>
      <c r="AK476">
        <v>36</v>
      </c>
      <c r="AL476">
        <v>38</v>
      </c>
      <c r="AM476">
        <v>35</v>
      </c>
      <c r="AN476">
        <v>38</v>
      </c>
      <c r="AO476">
        <v>31</v>
      </c>
      <c r="AP476">
        <v>45</v>
      </c>
      <c r="AQ476">
        <v>46</v>
      </c>
      <c r="AR476">
        <v>40</v>
      </c>
      <c r="AS476">
        <v>42</v>
      </c>
      <c r="AT476">
        <v>52</v>
      </c>
      <c r="AU476">
        <v>62</v>
      </c>
      <c r="AV476">
        <v>58</v>
      </c>
      <c r="AW476">
        <v>60</v>
      </c>
      <c r="AX476">
        <v>59</v>
      </c>
      <c r="AY476">
        <v>57</v>
      </c>
      <c r="AZ476">
        <v>56</v>
      </c>
      <c r="BA476">
        <v>55</v>
      </c>
      <c r="BB476">
        <v>59</v>
      </c>
      <c r="BC476">
        <v>56</v>
      </c>
    </row>
    <row r="477" spans="1:55" x14ac:dyDescent="0.25">
      <c r="A477" t="s">
        <v>4111</v>
      </c>
      <c r="B477" t="s">
        <v>122</v>
      </c>
      <c r="C477" t="s">
        <v>256</v>
      </c>
      <c r="D477">
        <v>249</v>
      </c>
      <c r="E477">
        <v>45.082000000000001</v>
      </c>
      <c r="G477">
        <v>38</v>
      </c>
      <c r="H477">
        <v>32</v>
      </c>
      <c r="I477">
        <v>33</v>
      </c>
      <c r="J477">
        <v>43</v>
      </c>
      <c r="K477">
        <v>44</v>
      </c>
      <c r="L477">
        <v>28</v>
      </c>
      <c r="M477">
        <v>36</v>
      </c>
      <c r="N477">
        <v>38</v>
      </c>
      <c r="O477">
        <v>38</v>
      </c>
      <c r="P477">
        <v>40</v>
      </c>
      <c r="Q477">
        <v>36</v>
      </c>
      <c r="R477">
        <v>40</v>
      </c>
      <c r="S477">
        <v>43</v>
      </c>
      <c r="T477">
        <v>45</v>
      </c>
      <c r="U477">
        <v>44</v>
      </c>
      <c r="V477">
        <v>39</v>
      </c>
      <c r="W477">
        <v>46</v>
      </c>
      <c r="X477">
        <v>46</v>
      </c>
      <c r="Y477">
        <v>39</v>
      </c>
      <c r="Z477">
        <v>41</v>
      </c>
      <c r="AA477">
        <v>39</v>
      </c>
      <c r="AB477">
        <v>36</v>
      </c>
      <c r="AC477">
        <v>36</v>
      </c>
      <c r="AD477">
        <v>32</v>
      </c>
      <c r="AE477">
        <v>34</v>
      </c>
      <c r="AF477">
        <v>36</v>
      </c>
      <c r="AG477">
        <v>39</v>
      </c>
      <c r="AH477">
        <v>46</v>
      </c>
      <c r="AI477">
        <v>45</v>
      </c>
      <c r="AJ477">
        <v>49</v>
      </c>
      <c r="AK477">
        <v>37</v>
      </c>
      <c r="AL477">
        <v>44</v>
      </c>
      <c r="AM477">
        <v>46</v>
      </c>
      <c r="AN477">
        <v>40</v>
      </c>
      <c r="AO477">
        <v>37</v>
      </c>
      <c r="AP477">
        <v>47</v>
      </c>
      <c r="AQ477">
        <v>48</v>
      </c>
      <c r="AR477">
        <v>44</v>
      </c>
      <c r="AS477">
        <v>48</v>
      </c>
      <c r="AT477">
        <v>58</v>
      </c>
      <c r="AU477">
        <v>66</v>
      </c>
      <c r="AV477">
        <v>63</v>
      </c>
      <c r="AW477">
        <v>67</v>
      </c>
      <c r="AX477">
        <v>67</v>
      </c>
      <c r="AY477">
        <v>66</v>
      </c>
      <c r="AZ477">
        <v>66</v>
      </c>
      <c r="BA477">
        <v>63</v>
      </c>
      <c r="BB477">
        <v>61</v>
      </c>
      <c r="BC477">
        <v>60</v>
      </c>
    </row>
    <row r="478" spans="1:55" x14ac:dyDescent="0.25">
      <c r="A478" t="s">
        <v>4112</v>
      </c>
      <c r="B478" t="s">
        <v>123</v>
      </c>
      <c r="C478" t="s">
        <v>256</v>
      </c>
      <c r="D478">
        <v>210</v>
      </c>
      <c r="E478">
        <v>44.49</v>
      </c>
      <c r="G478">
        <v>33</v>
      </c>
      <c r="H478">
        <v>30</v>
      </c>
      <c r="I478">
        <v>27</v>
      </c>
      <c r="J478">
        <v>42</v>
      </c>
      <c r="K478">
        <v>43</v>
      </c>
      <c r="L478">
        <v>35</v>
      </c>
      <c r="M478">
        <v>36</v>
      </c>
      <c r="N478">
        <v>35</v>
      </c>
      <c r="O478">
        <v>36</v>
      </c>
      <c r="P478">
        <v>37</v>
      </c>
      <c r="Q478">
        <v>36</v>
      </c>
      <c r="R478">
        <v>39</v>
      </c>
      <c r="S478">
        <v>45</v>
      </c>
      <c r="T478">
        <v>49</v>
      </c>
      <c r="U478">
        <v>40</v>
      </c>
      <c r="V478">
        <v>35</v>
      </c>
      <c r="W478">
        <v>47</v>
      </c>
      <c r="X478">
        <v>50</v>
      </c>
      <c r="Y478">
        <v>39</v>
      </c>
      <c r="Z478">
        <v>50</v>
      </c>
      <c r="AA478">
        <v>44</v>
      </c>
      <c r="AB478">
        <v>31</v>
      </c>
      <c r="AC478">
        <v>42</v>
      </c>
      <c r="AD478">
        <v>43</v>
      </c>
      <c r="AE478">
        <v>41</v>
      </c>
      <c r="AF478">
        <v>43</v>
      </c>
      <c r="AG478">
        <v>44</v>
      </c>
      <c r="AH478">
        <v>49</v>
      </c>
      <c r="AI478">
        <v>53</v>
      </c>
      <c r="AJ478">
        <v>45</v>
      </c>
      <c r="AK478">
        <v>34</v>
      </c>
      <c r="AL478">
        <v>41</v>
      </c>
      <c r="AM478">
        <v>44</v>
      </c>
      <c r="AN478">
        <v>37</v>
      </c>
      <c r="AO478">
        <v>33</v>
      </c>
      <c r="AP478">
        <v>42</v>
      </c>
      <c r="AQ478">
        <v>44</v>
      </c>
      <c r="AR478">
        <v>40</v>
      </c>
      <c r="AS478">
        <v>41</v>
      </c>
      <c r="AT478">
        <v>57</v>
      </c>
      <c r="AU478">
        <v>58</v>
      </c>
      <c r="AV478">
        <v>59</v>
      </c>
      <c r="AW478">
        <v>60</v>
      </c>
      <c r="AX478">
        <v>69</v>
      </c>
      <c r="AY478">
        <v>56</v>
      </c>
      <c r="AZ478">
        <v>63</v>
      </c>
      <c r="BA478">
        <v>61</v>
      </c>
      <c r="BB478">
        <v>61</v>
      </c>
      <c r="BC478">
        <v>61</v>
      </c>
    </row>
    <row r="479" spans="1:55" x14ac:dyDescent="0.25">
      <c r="A479" t="s">
        <v>4113</v>
      </c>
      <c r="B479" t="s">
        <v>124</v>
      </c>
      <c r="C479" t="s">
        <v>256</v>
      </c>
      <c r="D479">
        <v>970</v>
      </c>
      <c r="E479">
        <v>42.265000000000001</v>
      </c>
      <c r="G479">
        <v>30</v>
      </c>
      <c r="H479">
        <v>29</v>
      </c>
      <c r="I479">
        <v>29</v>
      </c>
      <c r="J479">
        <v>43</v>
      </c>
      <c r="K479">
        <v>40</v>
      </c>
      <c r="L479">
        <v>32</v>
      </c>
      <c r="M479">
        <v>38</v>
      </c>
      <c r="N479">
        <v>34</v>
      </c>
      <c r="O479">
        <v>36</v>
      </c>
      <c r="P479">
        <v>36</v>
      </c>
      <c r="Q479">
        <v>34</v>
      </c>
      <c r="R479">
        <v>36</v>
      </c>
      <c r="S479">
        <v>41</v>
      </c>
      <c r="T479">
        <v>42</v>
      </c>
      <c r="U479">
        <v>40</v>
      </c>
      <c r="V479">
        <v>36</v>
      </c>
      <c r="W479">
        <v>38</v>
      </c>
      <c r="X479">
        <v>40</v>
      </c>
      <c r="Y479">
        <v>31</v>
      </c>
      <c r="Z479">
        <v>41</v>
      </c>
      <c r="AA479">
        <v>39</v>
      </c>
      <c r="AB479">
        <v>33</v>
      </c>
      <c r="AC479">
        <v>31</v>
      </c>
      <c r="AD479">
        <v>32</v>
      </c>
      <c r="AE479">
        <v>39</v>
      </c>
      <c r="AF479">
        <v>40</v>
      </c>
      <c r="AG479">
        <v>39</v>
      </c>
      <c r="AH479">
        <v>47</v>
      </c>
      <c r="AI479">
        <v>50</v>
      </c>
      <c r="AJ479">
        <v>48</v>
      </c>
      <c r="AK479">
        <v>39</v>
      </c>
      <c r="AL479">
        <v>39</v>
      </c>
      <c r="AM479">
        <v>42</v>
      </c>
      <c r="AN479">
        <v>40</v>
      </c>
      <c r="AO479">
        <v>33</v>
      </c>
      <c r="AP479">
        <v>41</v>
      </c>
      <c r="AQ479">
        <v>45</v>
      </c>
      <c r="AR479">
        <v>39</v>
      </c>
      <c r="AS479">
        <v>42</v>
      </c>
      <c r="AT479">
        <v>53</v>
      </c>
      <c r="AU479">
        <v>59</v>
      </c>
      <c r="AV479">
        <v>57</v>
      </c>
      <c r="AW479">
        <v>61</v>
      </c>
      <c r="AX479">
        <v>62</v>
      </c>
      <c r="AY479">
        <v>62</v>
      </c>
      <c r="AZ479">
        <v>56</v>
      </c>
      <c r="BA479">
        <v>61</v>
      </c>
      <c r="BB479">
        <v>59</v>
      </c>
      <c r="BC479">
        <v>57</v>
      </c>
    </row>
    <row r="480" spans="1:55" x14ac:dyDescent="0.25">
      <c r="A480" t="s">
        <v>4114</v>
      </c>
      <c r="B480" t="s">
        <v>125</v>
      </c>
      <c r="C480" t="s">
        <v>256</v>
      </c>
      <c r="D480">
        <v>665</v>
      </c>
      <c r="E480">
        <v>43.204000000000001</v>
      </c>
      <c r="G480">
        <v>28</v>
      </c>
      <c r="H480">
        <v>29</v>
      </c>
      <c r="I480">
        <v>30</v>
      </c>
      <c r="J480">
        <v>42</v>
      </c>
      <c r="K480">
        <v>42</v>
      </c>
      <c r="L480">
        <v>30</v>
      </c>
      <c r="M480">
        <v>37</v>
      </c>
      <c r="N480">
        <v>34</v>
      </c>
      <c r="O480">
        <v>36</v>
      </c>
      <c r="P480">
        <v>34</v>
      </c>
      <c r="Q480">
        <v>37</v>
      </c>
      <c r="R480">
        <v>39</v>
      </c>
      <c r="S480">
        <v>41</v>
      </c>
      <c r="T480">
        <v>43</v>
      </c>
      <c r="U480">
        <v>40</v>
      </c>
      <c r="V480">
        <v>37</v>
      </c>
      <c r="W480">
        <v>38</v>
      </c>
      <c r="X480">
        <v>41</v>
      </c>
      <c r="Y480">
        <v>36</v>
      </c>
      <c r="Z480">
        <v>45</v>
      </c>
      <c r="AA480">
        <v>43</v>
      </c>
      <c r="AB480">
        <v>37</v>
      </c>
      <c r="AC480">
        <v>37</v>
      </c>
      <c r="AD480">
        <v>37</v>
      </c>
      <c r="AE480">
        <v>41</v>
      </c>
      <c r="AF480">
        <v>43</v>
      </c>
      <c r="AG480">
        <v>42</v>
      </c>
      <c r="AH480">
        <v>50</v>
      </c>
      <c r="AI480">
        <v>49</v>
      </c>
      <c r="AJ480">
        <v>51</v>
      </c>
      <c r="AK480">
        <v>42</v>
      </c>
      <c r="AL480">
        <v>43</v>
      </c>
      <c r="AM480">
        <v>44</v>
      </c>
      <c r="AN480">
        <v>40</v>
      </c>
      <c r="AO480">
        <v>33</v>
      </c>
      <c r="AP480">
        <v>41</v>
      </c>
      <c r="AQ480">
        <v>47</v>
      </c>
      <c r="AR480">
        <v>40</v>
      </c>
      <c r="AS480">
        <v>42</v>
      </c>
      <c r="AT480">
        <v>46</v>
      </c>
      <c r="AU480">
        <v>55</v>
      </c>
      <c r="AV480">
        <v>53</v>
      </c>
      <c r="AW480">
        <v>57</v>
      </c>
      <c r="AX480">
        <v>64</v>
      </c>
      <c r="AY480">
        <v>63</v>
      </c>
      <c r="AZ480">
        <v>61</v>
      </c>
      <c r="BA480">
        <v>61</v>
      </c>
      <c r="BB480">
        <v>59</v>
      </c>
      <c r="BC480">
        <v>57</v>
      </c>
    </row>
    <row r="481" spans="1:55" x14ac:dyDescent="0.25">
      <c r="A481" t="s">
        <v>4115</v>
      </c>
      <c r="B481" t="s">
        <v>71</v>
      </c>
      <c r="C481" t="s">
        <v>256</v>
      </c>
      <c r="D481">
        <v>412</v>
      </c>
      <c r="E481">
        <v>44.366999999999997</v>
      </c>
      <c r="G481">
        <v>30</v>
      </c>
      <c r="H481">
        <v>30</v>
      </c>
      <c r="I481">
        <v>30</v>
      </c>
      <c r="J481">
        <v>44</v>
      </c>
      <c r="K481">
        <v>44</v>
      </c>
      <c r="L481">
        <v>31</v>
      </c>
      <c r="M481">
        <v>39</v>
      </c>
      <c r="N481">
        <v>37</v>
      </c>
      <c r="O481">
        <v>38</v>
      </c>
      <c r="P481">
        <v>35</v>
      </c>
      <c r="Q481">
        <v>39</v>
      </c>
      <c r="R481">
        <v>40</v>
      </c>
      <c r="S481">
        <v>43</v>
      </c>
      <c r="T481">
        <v>45</v>
      </c>
      <c r="U481">
        <v>44</v>
      </c>
      <c r="V481">
        <v>39</v>
      </c>
      <c r="W481">
        <v>40</v>
      </c>
      <c r="X481">
        <v>42</v>
      </c>
      <c r="Y481">
        <v>37</v>
      </c>
      <c r="Z481">
        <v>47</v>
      </c>
      <c r="AA481">
        <v>46</v>
      </c>
      <c r="AB481">
        <v>41</v>
      </c>
      <c r="AC481">
        <v>38</v>
      </c>
      <c r="AD481">
        <v>38</v>
      </c>
      <c r="AE481">
        <v>42</v>
      </c>
      <c r="AF481">
        <v>43</v>
      </c>
      <c r="AG481">
        <v>43</v>
      </c>
      <c r="AH481">
        <v>52</v>
      </c>
      <c r="AI481">
        <v>50</v>
      </c>
      <c r="AJ481">
        <v>55</v>
      </c>
      <c r="AK481">
        <v>42</v>
      </c>
      <c r="AL481">
        <v>44</v>
      </c>
      <c r="AM481">
        <v>47</v>
      </c>
      <c r="AN481">
        <v>39</v>
      </c>
      <c r="AO481">
        <v>34</v>
      </c>
      <c r="AP481">
        <v>42</v>
      </c>
      <c r="AQ481">
        <v>47</v>
      </c>
      <c r="AR481">
        <v>41</v>
      </c>
      <c r="AS481">
        <v>39</v>
      </c>
      <c r="AT481">
        <v>44</v>
      </c>
      <c r="AU481">
        <v>56</v>
      </c>
      <c r="AV481">
        <v>52</v>
      </c>
      <c r="AW481">
        <v>58</v>
      </c>
      <c r="AX481">
        <v>65</v>
      </c>
      <c r="AY481">
        <v>65</v>
      </c>
      <c r="AZ481">
        <v>61</v>
      </c>
      <c r="BA481">
        <v>62</v>
      </c>
      <c r="BB481">
        <v>58</v>
      </c>
      <c r="BC481">
        <v>56</v>
      </c>
    </row>
    <row r="482" spans="1:55" x14ac:dyDescent="0.25">
      <c r="A482" t="s">
        <v>4116</v>
      </c>
      <c r="B482" t="s">
        <v>127</v>
      </c>
      <c r="C482" t="s">
        <v>256</v>
      </c>
      <c r="D482">
        <v>253</v>
      </c>
      <c r="E482">
        <v>41.469000000000001</v>
      </c>
      <c r="G482">
        <v>26</v>
      </c>
      <c r="H482">
        <v>29</v>
      </c>
      <c r="I482">
        <v>30</v>
      </c>
      <c r="J482">
        <v>39</v>
      </c>
      <c r="K482">
        <v>39</v>
      </c>
      <c r="L482">
        <v>28</v>
      </c>
      <c r="M482">
        <v>34</v>
      </c>
      <c r="N482">
        <v>31</v>
      </c>
      <c r="O482">
        <v>33</v>
      </c>
      <c r="P482">
        <v>33</v>
      </c>
      <c r="Q482">
        <v>33</v>
      </c>
      <c r="R482">
        <v>36</v>
      </c>
      <c r="S482">
        <v>38</v>
      </c>
      <c r="T482">
        <v>42</v>
      </c>
      <c r="U482">
        <v>34</v>
      </c>
      <c r="V482">
        <v>34</v>
      </c>
      <c r="W482">
        <v>35</v>
      </c>
      <c r="X482">
        <v>38</v>
      </c>
      <c r="Y482">
        <v>35</v>
      </c>
      <c r="Z482">
        <v>41</v>
      </c>
      <c r="AA482">
        <v>39</v>
      </c>
      <c r="AB482">
        <v>29</v>
      </c>
      <c r="AC482">
        <v>36</v>
      </c>
      <c r="AD482">
        <v>37</v>
      </c>
      <c r="AE482">
        <v>40</v>
      </c>
      <c r="AF482">
        <v>42</v>
      </c>
      <c r="AG482">
        <v>41</v>
      </c>
      <c r="AH482">
        <v>47</v>
      </c>
      <c r="AI482">
        <v>48</v>
      </c>
      <c r="AJ482">
        <v>46</v>
      </c>
      <c r="AK482">
        <v>41</v>
      </c>
      <c r="AL482">
        <v>40</v>
      </c>
      <c r="AM482">
        <v>40</v>
      </c>
      <c r="AN482">
        <v>40</v>
      </c>
      <c r="AO482">
        <v>32</v>
      </c>
      <c r="AP482">
        <v>40</v>
      </c>
      <c r="AQ482">
        <v>46</v>
      </c>
      <c r="AR482">
        <v>39</v>
      </c>
      <c r="AS482">
        <v>45</v>
      </c>
      <c r="AT482">
        <v>49</v>
      </c>
      <c r="AU482">
        <v>55</v>
      </c>
      <c r="AV482">
        <v>55</v>
      </c>
      <c r="AW482">
        <v>55</v>
      </c>
      <c r="AX482">
        <v>63</v>
      </c>
      <c r="AY482">
        <v>61</v>
      </c>
      <c r="AZ482">
        <v>61</v>
      </c>
      <c r="BA482">
        <v>60</v>
      </c>
      <c r="BB482">
        <v>60</v>
      </c>
      <c r="BC482">
        <v>57</v>
      </c>
    </row>
    <row r="483" spans="1:55" x14ac:dyDescent="0.25">
      <c r="A483" t="s">
        <v>4117</v>
      </c>
      <c r="B483" t="s">
        <v>128</v>
      </c>
      <c r="C483" t="s">
        <v>256</v>
      </c>
      <c r="D483">
        <v>917</v>
      </c>
      <c r="E483">
        <v>45.530999999999999</v>
      </c>
      <c r="G483">
        <v>27</v>
      </c>
      <c r="H483">
        <v>26</v>
      </c>
      <c r="I483">
        <v>32</v>
      </c>
      <c r="J483">
        <v>42</v>
      </c>
      <c r="K483">
        <v>46</v>
      </c>
      <c r="L483">
        <v>33</v>
      </c>
      <c r="M483">
        <v>40</v>
      </c>
      <c r="N483">
        <v>36</v>
      </c>
      <c r="O483">
        <v>36</v>
      </c>
      <c r="P483">
        <v>36</v>
      </c>
      <c r="Q483">
        <v>36</v>
      </c>
      <c r="R483">
        <v>43</v>
      </c>
      <c r="S483">
        <v>47</v>
      </c>
      <c r="T483">
        <v>45</v>
      </c>
      <c r="U483">
        <v>38</v>
      </c>
      <c r="V483">
        <v>42</v>
      </c>
      <c r="W483">
        <v>44</v>
      </c>
      <c r="X483">
        <v>41</v>
      </c>
      <c r="Y483">
        <v>40</v>
      </c>
      <c r="Z483">
        <v>46</v>
      </c>
      <c r="AA483">
        <v>49</v>
      </c>
      <c r="AB483">
        <v>40</v>
      </c>
      <c r="AC483">
        <v>36</v>
      </c>
      <c r="AD483">
        <v>42</v>
      </c>
      <c r="AE483">
        <v>45</v>
      </c>
      <c r="AF483">
        <v>47</v>
      </c>
      <c r="AG483">
        <v>47</v>
      </c>
      <c r="AH483">
        <v>55</v>
      </c>
      <c r="AI483">
        <v>56</v>
      </c>
      <c r="AJ483">
        <v>46</v>
      </c>
      <c r="AK483">
        <v>44</v>
      </c>
      <c r="AL483">
        <v>44</v>
      </c>
      <c r="AM483">
        <v>44</v>
      </c>
      <c r="AN483">
        <v>41</v>
      </c>
      <c r="AO483">
        <v>35</v>
      </c>
      <c r="AP483">
        <v>46</v>
      </c>
      <c r="AQ483">
        <v>45</v>
      </c>
      <c r="AR483">
        <v>41</v>
      </c>
      <c r="AS483">
        <v>41</v>
      </c>
      <c r="AT483">
        <v>51</v>
      </c>
      <c r="AU483">
        <v>58</v>
      </c>
      <c r="AV483">
        <v>57</v>
      </c>
      <c r="AW483">
        <v>63</v>
      </c>
      <c r="AX483">
        <v>66</v>
      </c>
      <c r="AY483">
        <v>65</v>
      </c>
      <c r="AZ483">
        <v>63</v>
      </c>
      <c r="BA483">
        <v>63</v>
      </c>
      <c r="BB483">
        <v>65</v>
      </c>
      <c r="BC483">
        <v>60</v>
      </c>
    </row>
    <row r="484" spans="1:55" x14ac:dyDescent="0.25">
      <c r="A484" t="s">
        <v>4118</v>
      </c>
      <c r="B484" t="s">
        <v>72</v>
      </c>
      <c r="C484" t="s">
        <v>256</v>
      </c>
      <c r="D484">
        <v>122</v>
      </c>
      <c r="E484">
        <v>41.959000000000003</v>
      </c>
      <c r="G484">
        <v>27</v>
      </c>
      <c r="H484">
        <v>22</v>
      </c>
      <c r="I484">
        <v>23</v>
      </c>
      <c r="J484">
        <v>35</v>
      </c>
      <c r="K484">
        <v>41</v>
      </c>
      <c r="L484">
        <v>26</v>
      </c>
      <c r="M484">
        <v>35</v>
      </c>
      <c r="N484">
        <v>35</v>
      </c>
      <c r="O484">
        <v>30</v>
      </c>
      <c r="P484">
        <v>32</v>
      </c>
      <c r="Q484">
        <v>30</v>
      </c>
      <c r="R484">
        <v>32</v>
      </c>
      <c r="S484">
        <v>39</v>
      </c>
      <c r="T484">
        <v>41</v>
      </c>
      <c r="U484">
        <v>33</v>
      </c>
      <c r="V484">
        <v>31</v>
      </c>
      <c r="W484">
        <v>40</v>
      </c>
      <c r="X484">
        <v>37</v>
      </c>
      <c r="Y484">
        <v>36</v>
      </c>
      <c r="Z484">
        <v>40</v>
      </c>
      <c r="AA484">
        <v>37</v>
      </c>
      <c r="AB484">
        <v>35</v>
      </c>
      <c r="AC484">
        <v>25</v>
      </c>
      <c r="AD484">
        <v>28</v>
      </c>
      <c r="AE484">
        <v>37</v>
      </c>
      <c r="AF484">
        <v>49</v>
      </c>
      <c r="AG484">
        <v>42</v>
      </c>
      <c r="AH484">
        <v>46</v>
      </c>
      <c r="AI484">
        <v>52</v>
      </c>
      <c r="AJ484">
        <v>41</v>
      </c>
      <c r="AK484">
        <v>41</v>
      </c>
      <c r="AL484">
        <v>41</v>
      </c>
      <c r="AM484">
        <v>45</v>
      </c>
      <c r="AN484">
        <v>40</v>
      </c>
      <c r="AO484">
        <v>34</v>
      </c>
      <c r="AP484">
        <v>47</v>
      </c>
      <c r="AQ484">
        <v>46</v>
      </c>
      <c r="AR484">
        <v>40</v>
      </c>
      <c r="AS484">
        <v>48</v>
      </c>
      <c r="AT484">
        <v>55</v>
      </c>
      <c r="AU484">
        <v>59</v>
      </c>
      <c r="AV484">
        <v>53</v>
      </c>
      <c r="AW484">
        <v>62</v>
      </c>
      <c r="AX484">
        <v>68</v>
      </c>
      <c r="AY484">
        <v>70</v>
      </c>
      <c r="AZ484">
        <v>63</v>
      </c>
      <c r="BA484">
        <v>68</v>
      </c>
      <c r="BB484">
        <v>61</v>
      </c>
      <c r="BC484">
        <v>58</v>
      </c>
    </row>
    <row r="485" spans="1:55" x14ac:dyDescent="0.25">
      <c r="A485" t="s">
        <v>4119</v>
      </c>
      <c r="B485" t="s">
        <v>240</v>
      </c>
      <c r="C485" t="s">
        <v>256</v>
      </c>
      <c r="D485">
        <v>46</v>
      </c>
      <c r="E485">
        <v>44.143000000000001</v>
      </c>
      <c r="G485">
        <v>29</v>
      </c>
      <c r="H485">
        <v>30</v>
      </c>
      <c r="I485">
        <v>15</v>
      </c>
      <c r="J485">
        <v>28</v>
      </c>
      <c r="K485">
        <v>32</v>
      </c>
      <c r="L485">
        <v>30</v>
      </c>
      <c r="M485">
        <v>38</v>
      </c>
      <c r="N485">
        <v>33</v>
      </c>
      <c r="O485">
        <v>28</v>
      </c>
      <c r="P485">
        <v>33</v>
      </c>
      <c r="Q485">
        <v>35</v>
      </c>
      <c r="R485">
        <v>26</v>
      </c>
      <c r="S485">
        <v>35</v>
      </c>
      <c r="T485">
        <v>39</v>
      </c>
      <c r="U485">
        <v>31</v>
      </c>
      <c r="V485">
        <v>49</v>
      </c>
      <c r="W485">
        <v>43</v>
      </c>
      <c r="X485">
        <v>44</v>
      </c>
      <c r="Y485">
        <v>35</v>
      </c>
      <c r="Z485">
        <v>37</v>
      </c>
      <c r="AA485">
        <v>39</v>
      </c>
      <c r="AB485">
        <v>43</v>
      </c>
      <c r="AC485">
        <v>36</v>
      </c>
      <c r="AD485">
        <v>32</v>
      </c>
      <c r="AE485">
        <v>36</v>
      </c>
      <c r="AF485">
        <v>47</v>
      </c>
      <c r="AG485">
        <v>47</v>
      </c>
      <c r="AH485">
        <v>52</v>
      </c>
      <c r="AI485">
        <v>53</v>
      </c>
      <c r="AJ485">
        <v>75</v>
      </c>
      <c r="AK485">
        <v>49</v>
      </c>
      <c r="AL485">
        <v>54</v>
      </c>
      <c r="AM485">
        <v>50</v>
      </c>
      <c r="AN485">
        <v>40</v>
      </c>
      <c r="AO485">
        <v>36</v>
      </c>
      <c r="AP485">
        <v>47</v>
      </c>
      <c r="AQ485">
        <v>55</v>
      </c>
      <c r="AR485">
        <v>46</v>
      </c>
      <c r="AS485">
        <v>43</v>
      </c>
      <c r="AT485">
        <v>56</v>
      </c>
      <c r="AU485">
        <v>50</v>
      </c>
      <c r="AV485">
        <v>51</v>
      </c>
      <c r="AW485">
        <v>58</v>
      </c>
      <c r="AX485">
        <v>80</v>
      </c>
      <c r="AY485">
        <v>73</v>
      </c>
      <c r="AZ485">
        <v>64</v>
      </c>
      <c r="BA485">
        <v>73</v>
      </c>
      <c r="BB485">
        <v>51</v>
      </c>
      <c r="BC485">
        <v>57</v>
      </c>
    </row>
    <row r="486" spans="1:55" x14ac:dyDescent="0.25">
      <c r="A486" t="s">
        <v>4120</v>
      </c>
      <c r="B486" t="s">
        <v>129</v>
      </c>
      <c r="C486" t="s">
        <v>256</v>
      </c>
      <c r="D486">
        <v>97</v>
      </c>
      <c r="E486">
        <v>40.469000000000001</v>
      </c>
      <c r="G486">
        <v>31</v>
      </c>
      <c r="H486">
        <v>24</v>
      </c>
      <c r="I486">
        <v>27</v>
      </c>
      <c r="J486">
        <v>38</v>
      </c>
      <c r="K486">
        <v>38</v>
      </c>
      <c r="L486">
        <v>30</v>
      </c>
      <c r="M486">
        <v>31</v>
      </c>
      <c r="N486">
        <v>32</v>
      </c>
      <c r="O486">
        <v>28</v>
      </c>
      <c r="P486">
        <v>39</v>
      </c>
      <c r="Q486">
        <v>33</v>
      </c>
      <c r="R486">
        <v>36</v>
      </c>
      <c r="S486">
        <v>33</v>
      </c>
      <c r="T486">
        <v>35</v>
      </c>
      <c r="U486">
        <v>35</v>
      </c>
      <c r="V486">
        <v>35</v>
      </c>
      <c r="W486">
        <v>42</v>
      </c>
      <c r="X486">
        <v>44</v>
      </c>
      <c r="Y486">
        <v>29</v>
      </c>
      <c r="Z486">
        <v>42</v>
      </c>
      <c r="AA486">
        <v>27</v>
      </c>
      <c r="AB486">
        <v>30</v>
      </c>
      <c r="AC486">
        <v>26</v>
      </c>
      <c r="AD486">
        <v>30</v>
      </c>
      <c r="AE486">
        <v>36</v>
      </c>
      <c r="AF486">
        <v>39</v>
      </c>
      <c r="AG486">
        <v>33</v>
      </c>
      <c r="AH486">
        <v>38</v>
      </c>
      <c r="AI486">
        <v>38</v>
      </c>
      <c r="AJ486">
        <v>32</v>
      </c>
      <c r="AK486">
        <v>38</v>
      </c>
      <c r="AL486">
        <v>44</v>
      </c>
      <c r="AM486">
        <v>33</v>
      </c>
      <c r="AN486">
        <v>34</v>
      </c>
      <c r="AO486">
        <v>29</v>
      </c>
      <c r="AP486">
        <v>39</v>
      </c>
      <c r="AQ486">
        <v>43</v>
      </c>
      <c r="AR486">
        <v>45</v>
      </c>
      <c r="AS486">
        <v>35</v>
      </c>
      <c r="AT486">
        <v>61</v>
      </c>
      <c r="AU486">
        <v>61</v>
      </c>
      <c r="AV486">
        <v>62</v>
      </c>
      <c r="AW486">
        <v>66</v>
      </c>
      <c r="AX486">
        <v>66</v>
      </c>
      <c r="AY486">
        <v>64</v>
      </c>
      <c r="AZ486">
        <v>60</v>
      </c>
      <c r="BA486">
        <v>63</v>
      </c>
      <c r="BB486">
        <v>66</v>
      </c>
      <c r="BC486">
        <v>63</v>
      </c>
    </row>
    <row r="487" spans="1:55" x14ac:dyDescent="0.25">
      <c r="A487" t="s">
        <v>4121</v>
      </c>
      <c r="B487" t="s">
        <v>241</v>
      </c>
      <c r="C487" t="s">
        <v>256</v>
      </c>
      <c r="D487">
        <v>166</v>
      </c>
      <c r="E487">
        <v>40.878</v>
      </c>
      <c r="G487">
        <v>32</v>
      </c>
      <c r="H487">
        <v>34</v>
      </c>
      <c r="I487">
        <v>32</v>
      </c>
      <c r="J487">
        <v>42</v>
      </c>
      <c r="K487">
        <v>35</v>
      </c>
      <c r="L487">
        <v>33</v>
      </c>
      <c r="M487">
        <v>34</v>
      </c>
      <c r="N487">
        <v>32</v>
      </c>
      <c r="O487">
        <v>27</v>
      </c>
      <c r="P487">
        <v>31</v>
      </c>
      <c r="Q487">
        <v>35</v>
      </c>
      <c r="R487">
        <v>41</v>
      </c>
      <c r="S487">
        <v>34</v>
      </c>
      <c r="T487">
        <v>36</v>
      </c>
      <c r="U487">
        <v>31</v>
      </c>
      <c r="V487">
        <v>36</v>
      </c>
      <c r="W487">
        <v>37</v>
      </c>
      <c r="X487">
        <v>41</v>
      </c>
      <c r="Y487">
        <v>38</v>
      </c>
      <c r="Z487">
        <v>45</v>
      </c>
      <c r="AA487">
        <v>40</v>
      </c>
      <c r="AB487">
        <v>38</v>
      </c>
      <c r="AC487">
        <v>32</v>
      </c>
      <c r="AD487">
        <v>34</v>
      </c>
      <c r="AE487">
        <v>37</v>
      </c>
      <c r="AF487">
        <v>41</v>
      </c>
      <c r="AG487">
        <v>38</v>
      </c>
      <c r="AH487">
        <v>40</v>
      </c>
      <c r="AI487">
        <v>45</v>
      </c>
      <c r="AJ487">
        <v>54</v>
      </c>
      <c r="AK487">
        <v>42</v>
      </c>
      <c r="AL487">
        <v>40</v>
      </c>
      <c r="AM487">
        <v>44</v>
      </c>
      <c r="AN487">
        <v>40</v>
      </c>
      <c r="AO487">
        <v>33</v>
      </c>
      <c r="AP487">
        <v>39</v>
      </c>
      <c r="AQ487">
        <v>39</v>
      </c>
      <c r="AR487">
        <v>36</v>
      </c>
      <c r="AS487">
        <v>40</v>
      </c>
      <c r="AT487">
        <v>45</v>
      </c>
      <c r="AU487">
        <v>51</v>
      </c>
      <c r="AV487">
        <v>49</v>
      </c>
      <c r="AW487">
        <v>59</v>
      </c>
      <c r="AX487">
        <v>56</v>
      </c>
      <c r="AY487">
        <v>52</v>
      </c>
      <c r="AZ487">
        <v>60</v>
      </c>
      <c r="BA487">
        <v>57</v>
      </c>
      <c r="BB487">
        <v>56</v>
      </c>
      <c r="BC487">
        <v>60</v>
      </c>
    </row>
    <row r="488" spans="1:55" x14ac:dyDescent="0.25">
      <c r="A488" t="s">
        <v>4122</v>
      </c>
      <c r="B488" t="s">
        <v>242</v>
      </c>
      <c r="C488" t="s">
        <v>256</v>
      </c>
      <c r="D488">
        <v>99</v>
      </c>
      <c r="E488">
        <v>43.183999999999997</v>
      </c>
      <c r="G488">
        <v>24</v>
      </c>
      <c r="H488">
        <v>23</v>
      </c>
      <c r="I488">
        <v>25</v>
      </c>
      <c r="J488">
        <v>33</v>
      </c>
      <c r="K488">
        <v>55</v>
      </c>
      <c r="L488">
        <v>41</v>
      </c>
      <c r="M488">
        <v>35</v>
      </c>
      <c r="N488">
        <v>39</v>
      </c>
      <c r="O488">
        <v>30</v>
      </c>
      <c r="P488">
        <v>31</v>
      </c>
      <c r="Q488">
        <v>41</v>
      </c>
      <c r="R488">
        <v>38</v>
      </c>
      <c r="S488">
        <v>40</v>
      </c>
      <c r="T488">
        <v>38</v>
      </c>
      <c r="U488">
        <v>40</v>
      </c>
      <c r="V488">
        <v>52</v>
      </c>
      <c r="W488">
        <v>39</v>
      </c>
      <c r="X488">
        <v>48</v>
      </c>
      <c r="Y488">
        <v>38</v>
      </c>
      <c r="Z488">
        <v>50</v>
      </c>
      <c r="AA488">
        <v>56</v>
      </c>
      <c r="AB488">
        <v>30</v>
      </c>
      <c r="AC488">
        <v>38</v>
      </c>
      <c r="AD488">
        <v>39</v>
      </c>
      <c r="AE488">
        <v>44</v>
      </c>
      <c r="AF488">
        <v>43</v>
      </c>
      <c r="AG488">
        <v>36</v>
      </c>
      <c r="AH488">
        <v>54</v>
      </c>
      <c r="AI488">
        <v>43</v>
      </c>
      <c r="AJ488">
        <v>49</v>
      </c>
      <c r="AK488">
        <v>45</v>
      </c>
      <c r="AL488">
        <v>39</v>
      </c>
      <c r="AM488">
        <v>44</v>
      </c>
      <c r="AN488">
        <v>34</v>
      </c>
      <c r="AO488">
        <v>30</v>
      </c>
      <c r="AP488">
        <v>40</v>
      </c>
      <c r="AQ488">
        <v>43</v>
      </c>
      <c r="AR488">
        <v>39</v>
      </c>
      <c r="AS488">
        <v>26</v>
      </c>
      <c r="AT488">
        <v>51</v>
      </c>
      <c r="AU488">
        <v>54</v>
      </c>
      <c r="AV488">
        <v>57</v>
      </c>
      <c r="AW488">
        <v>56</v>
      </c>
      <c r="AX488">
        <v>73</v>
      </c>
      <c r="AY488">
        <v>53</v>
      </c>
      <c r="AZ488">
        <v>61</v>
      </c>
      <c r="BA488">
        <v>60</v>
      </c>
      <c r="BB488">
        <v>60</v>
      </c>
      <c r="BC488">
        <v>59</v>
      </c>
    </row>
    <row r="489" spans="1:55" x14ac:dyDescent="0.25">
      <c r="A489" t="s">
        <v>4123</v>
      </c>
      <c r="B489" t="s">
        <v>132</v>
      </c>
      <c r="C489" t="s">
        <v>256</v>
      </c>
      <c r="D489">
        <v>139</v>
      </c>
      <c r="E489">
        <v>68.122</v>
      </c>
      <c r="G489">
        <v>68</v>
      </c>
      <c r="H489">
        <v>59</v>
      </c>
      <c r="I489">
        <v>64</v>
      </c>
      <c r="J489">
        <v>66</v>
      </c>
      <c r="K489">
        <v>67</v>
      </c>
      <c r="L489">
        <v>69</v>
      </c>
      <c r="M489">
        <v>71</v>
      </c>
      <c r="N489">
        <v>67</v>
      </c>
      <c r="O489">
        <v>73</v>
      </c>
      <c r="P489">
        <v>76</v>
      </c>
      <c r="Q489">
        <v>73</v>
      </c>
      <c r="R489">
        <v>74</v>
      </c>
      <c r="S489">
        <v>76</v>
      </c>
      <c r="T489">
        <v>77</v>
      </c>
      <c r="U489">
        <v>73</v>
      </c>
      <c r="V489">
        <v>76</v>
      </c>
      <c r="W489">
        <v>76</v>
      </c>
      <c r="X489">
        <v>75</v>
      </c>
      <c r="Y489">
        <v>71</v>
      </c>
      <c r="Z489">
        <v>70</v>
      </c>
      <c r="AA489">
        <v>69</v>
      </c>
      <c r="AB489">
        <v>72</v>
      </c>
      <c r="AC489">
        <v>67</v>
      </c>
      <c r="AD489">
        <v>61</v>
      </c>
      <c r="AE489">
        <v>58</v>
      </c>
      <c r="AF489">
        <v>61</v>
      </c>
      <c r="AG489">
        <v>63</v>
      </c>
      <c r="AH489">
        <v>66</v>
      </c>
      <c r="AI489">
        <v>61</v>
      </c>
      <c r="AJ489">
        <v>65</v>
      </c>
      <c r="AK489">
        <v>62</v>
      </c>
      <c r="AL489">
        <v>64</v>
      </c>
      <c r="AM489">
        <v>67</v>
      </c>
      <c r="AN489">
        <v>59</v>
      </c>
      <c r="AO489">
        <v>54</v>
      </c>
      <c r="AP489">
        <v>56</v>
      </c>
      <c r="AQ489">
        <v>67</v>
      </c>
      <c r="AR489">
        <v>61</v>
      </c>
      <c r="AS489">
        <v>61</v>
      </c>
      <c r="AT489">
        <v>65</v>
      </c>
      <c r="AU489">
        <v>72</v>
      </c>
      <c r="AV489">
        <v>75</v>
      </c>
      <c r="AW489">
        <v>73</v>
      </c>
      <c r="AX489">
        <v>76</v>
      </c>
      <c r="AY489">
        <v>71</v>
      </c>
      <c r="AZ489">
        <v>78</v>
      </c>
      <c r="BA489">
        <v>73</v>
      </c>
      <c r="BB489">
        <v>68</v>
      </c>
      <c r="BC489">
        <v>72</v>
      </c>
    </row>
    <row r="490" spans="1:55" x14ac:dyDescent="0.25">
      <c r="A490" t="s">
        <v>4124</v>
      </c>
      <c r="B490" t="s">
        <v>243</v>
      </c>
      <c r="C490" t="s">
        <v>256</v>
      </c>
      <c r="D490">
        <v>207</v>
      </c>
      <c r="E490">
        <v>44.143000000000001</v>
      </c>
      <c r="G490">
        <v>43</v>
      </c>
      <c r="H490">
        <v>43</v>
      </c>
      <c r="I490">
        <v>37</v>
      </c>
      <c r="J490">
        <v>42</v>
      </c>
      <c r="K490">
        <v>43</v>
      </c>
      <c r="L490">
        <v>34</v>
      </c>
      <c r="M490">
        <v>45</v>
      </c>
      <c r="N490">
        <v>39</v>
      </c>
      <c r="O490">
        <v>36</v>
      </c>
      <c r="P490">
        <v>40</v>
      </c>
      <c r="Q490">
        <v>39</v>
      </c>
      <c r="R490">
        <v>41</v>
      </c>
      <c r="S490">
        <v>48</v>
      </c>
      <c r="T490">
        <v>50</v>
      </c>
      <c r="U490">
        <v>42</v>
      </c>
      <c r="V490">
        <v>42</v>
      </c>
      <c r="W490">
        <v>47</v>
      </c>
      <c r="X490">
        <v>45</v>
      </c>
      <c r="Y490">
        <v>34</v>
      </c>
      <c r="Z490">
        <v>39</v>
      </c>
      <c r="AA490">
        <v>40</v>
      </c>
      <c r="AB490">
        <v>36</v>
      </c>
      <c r="AC490">
        <v>42</v>
      </c>
      <c r="AD490">
        <v>35</v>
      </c>
      <c r="AE490">
        <v>37</v>
      </c>
      <c r="AF490">
        <v>38</v>
      </c>
      <c r="AG490">
        <v>38</v>
      </c>
      <c r="AH490">
        <v>38</v>
      </c>
      <c r="AI490">
        <v>43</v>
      </c>
      <c r="AJ490">
        <v>48</v>
      </c>
      <c r="AK490">
        <v>44</v>
      </c>
      <c r="AL490">
        <v>43</v>
      </c>
      <c r="AM490">
        <v>52</v>
      </c>
      <c r="AN490">
        <v>38</v>
      </c>
      <c r="AO490">
        <v>34</v>
      </c>
      <c r="AP490">
        <v>41</v>
      </c>
      <c r="AQ490">
        <v>40</v>
      </c>
      <c r="AR490">
        <v>39</v>
      </c>
      <c r="AS490">
        <v>46</v>
      </c>
      <c r="AT490">
        <v>50</v>
      </c>
      <c r="AU490">
        <v>60</v>
      </c>
      <c r="AV490">
        <v>52</v>
      </c>
      <c r="AW490">
        <v>56</v>
      </c>
      <c r="AX490">
        <v>62</v>
      </c>
      <c r="AY490">
        <v>59</v>
      </c>
      <c r="AZ490">
        <v>56</v>
      </c>
      <c r="BA490">
        <v>58</v>
      </c>
      <c r="BB490">
        <v>51</v>
      </c>
      <c r="BC490">
        <v>58</v>
      </c>
    </row>
    <row r="491" spans="1:55" x14ac:dyDescent="0.25">
      <c r="A491" t="s">
        <v>4125</v>
      </c>
      <c r="B491" t="s">
        <v>37</v>
      </c>
      <c r="C491" t="s">
        <v>256</v>
      </c>
      <c r="D491">
        <v>1542</v>
      </c>
      <c r="E491">
        <v>39.939</v>
      </c>
      <c r="G491">
        <v>42</v>
      </c>
      <c r="H491">
        <v>40</v>
      </c>
      <c r="I491">
        <v>36</v>
      </c>
      <c r="J491">
        <v>43</v>
      </c>
      <c r="K491">
        <v>43</v>
      </c>
      <c r="L491">
        <v>33</v>
      </c>
      <c r="M491">
        <v>38</v>
      </c>
      <c r="N491">
        <v>35</v>
      </c>
      <c r="O491">
        <v>37</v>
      </c>
      <c r="P491">
        <v>37</v>
      </c>
      <c r="Q491">
        <v>36</v>
      </c>
      <c r="R491">
        <v>39</v>
      </c>
      <c r="S491">
        <v>38</v>
      </c>
      <c r="T491">
        <v>41</v>
      </c>
      <c r="U491">
        <v>37</v>
      </c>
      <c r="V491">
        <v>36</v>
      </c>
      <c r="W491">
        <v>38</v>
      </c>
      <c r="X491">
        <v>37</v>
      </c>
      <c r="Y491">
        <v>34</v>
      </c>
      <c r="Z491">
        <v>34</v>
      </c>
      <c r="AA491">
        <v>32</v>
      </c>
      <c r="AB491">
        <v>29</v>
      </c>
      <c r="AC491">
        <v>29</v>
      </c>
      <c r="AD491">
        <v>26</v>
      </c>
      <c r="AE491">
        <v>27</v>
      </c>
      <c r="AF491">
        <v>27</v>
      </c>
      <c r="AG491">
        <v>29</v>
      </c>
      <c r="AH491">
        <v>35</v>
      </c>
      <c r="AI491">
        <v>35</v>
      </c>
      <c r="AJ491">
        <v>54</v>
      </c>
      <c r="AK491">
        <v>36</v>
      </c>
      <c r="AL491">
        <v>39</v>
      </c>
      <c r="AM491">
        <v>39</v>
      </c>
      <c r="AN491">
        <v>36</v>
      </c>
      <c r="AO491">
        <v>32</v>
      </c>
      <c r="AP491">
        <v>42</v>
      </c>
      <c r="AQ491">
        <v>44</v>
      </c>
      <c r="AR491">
        <v>37</v>
      </c>
      <c r="AS491">
        <v>39</v>
      </c>
      <c r="AT491">
        <v>48</v>
      </c>
      <c r="AU491">
        <v>57</v>
      </c>
      <c r="AV491">
        <v>55</v>
      </c>
      <c r="AW491">
        <v>54</v>
      </c>
      <c r="AX491">
        <v>58</v>
      </c>
      <c r="AY491">
        <v>53</v>
      </c>
      <c r="AZ491">
        <v>51</v>
      </c>
      <c r="BA491">
        <v>52</v>
      </c>
      <c r="BB491">
        <v>54</v>
      </c>
      <c r="BC491">
        <v>54</v>
      </c>
    </row>
    <row r="492" spans="1:55" x14ac:dyDescent="0.25">
      <c r="A492" t="s">
        <v>4126</v>
      </c>
      <c r="B492" t="s">
        <v>134</v>
      </c>
      <c r="C492" t="s">
        <v>256</v>
      </c>
      <c r="D492">
        <v>436</v>
      </c>
      <c r="E492">
        <v>41.795999999999999</v>
      </c>
      <c r="G492">
        <v>47</v>
      </c>
      <c r="H492">
        <v>42</v>
      </c>
      <c r="I492">
        <v>41</v>
      </c>
      <c r="J492">
        <v>47</v>
      </c>
      <c r="K492">
        <v>46</v>
      </c>
      <c r="L492">
        <v>34</v>
      </c>
      <c r="M492">
        <v>41</v>
      </c>
      <c r="N492">
        <v>34</v>
      </c>
      <c r="O492">
        <v>41</v>
      </c>
      <c r="P492">
        <v>41</v>
      </c>
      <c r="Q492">
        <v>38</v>
      </c>
      <c r="R492">
        <v>39</v>
      </c>
      <c r="S492">
        <v>40</v>
      </c>
      <c r="T492">
        <v>43</v>
      </c>
      <c r="U492">
        <v>36</v>
      </c>
      <c r="V492">
        <v>40</v>
      </c>
      <c r="W492">
        <v>40</v>
      </c>
      <c r="X492">
        <v>39</v>
      </c>
      <c r="Y492">
        <v>36</v>
      </c>
      <c r="Z492">
        <v>36</v>
      </c>
      <c r="AA492">
        <v>33</v>
      </c>
      <c r="AB492">
        <v>31</v>
      </c>
      <c r="AC492">
        <v>28</v>
      </c>
      <c r="AD492">
        <v>27</v>
      </c>
      <c r="AE492">
        <v>28</v>
      </c>
      <c r="AF492">
        <v>29</v>
      </c>
      <c r="AG492">
        <v>28</v>
      </c>
      <c r="AH492">
        <v>37</v>
      </c>
      <c r="AI492">
        <v>36</v>
      </c>
      <c r="AJ492">
        <v>55</v>
      </c>
      <c r="AK492">
        <v>36</v>
      </c>
      <c r="AL492">
        <v>39</v>
      </c>
      <c r="AM492">
        <v>37</v>
      </c>
      <c r="AN492">
        <v>35</v>
      </c>
      <c r="AO492">
        <v>34</v>
      </c>
      <c r="AP492">
        <v>43</v>
      </c>
      <c r="AQ492">
        <v>46</v>
      </c>
      <c r="AR492">
        <v>38</v>
      </c>
      <c r="AS492">
        <v>45</v>
      </c>
      <c r="AT492">
        <v>53</v>
      </c>
      <c r="AU492">
        <v>61</v>
      </c>
      <c r="AV492">
        <v>59</v>
      </c>
      <c r="AW492">
        <v>58</v>
      </c>
      <c r="AX492">
        <v>61</v>
      </c>
      <c r="AY492">
        <v>55</v>
      </c>
      <c r="AZ492">
        <v>53</v>
      </c>
      <c r="BA492">
        <v>54</v>
      </c>
      <c r="BB492">
        <v>53</v>
      </c>
      <c r="BC492">
        <v>55</v>
      </c>
    </row>
    <row r="493" spans="1:55" x14ac:dyDescent="0.25">
      <c r="A493" t="s">
        <v>4127</v>
      </c>
      <c r="B493" t="s">
        <v>135</v>
      </c>
      <c r="C493" t="s">
        <v>256</v>
      </c>
      <c r="D493">
        <v>201</v>
      </c>
      <c r="E493">
        <v>41.734999999999999</v>
      </c>
      <c r="G493">
        <v>45</v>
      </c>
      <c r="H493">
        <v>38</v>
      </c>
      <c r="I493">
        <v>34</v>
      </c>
      <c r="J493">
        <v>44</v>
      </c>
      <c r="K493">
        <v>40</v>
      </c>
      <c r="L493">
        <v>37</v>
      </c>
      <c r="M493">
        <v>39</v>
      </c>
      <c r="N493">
        <v>39</v>
      </c>
      <c r="O493">
        <v>35</v>
      </c>
      <c r="P493">
        <v>40</v>
      </c>
      <c r="Q493">
        <v>38</v>
      </c>
      <c r="R493">
        <v>38</v>
      </c>
      <c r="S493">
        <v>42</v>
      </c>
      <c r="T493">
        <v>42</v>
      </c>
      <c r="U493">
        <v>46</v>
      </c>
      <c r="V493">
        <v>40</v>
      </c>
      <c r="W493">
        <v>41</v>
      </c>
      <c r="X493">
        <v>44</v>
      </c>
      <c r="Y493">
        <v>36</v>
      </c>
      <c r="Z493">
        <v>40</v>
      </c>
      <c r="AA493">
        <v>33</v>
      </c>
      <c r="AB493">
        <v>32</v>
      </c>
      <c r="AC493">
        <v>32</v>
      </c>
      <c r="AD493">
        <v>36</v>
      </c>
      <c r="AE493">
        <v>30</v>
      </c>
      <c r="AF493">
        <v>30</v>
      </c>
      <c r="AG493">
        <v>30</v>
      </c>
      <c r="AH493">
        <v>37</v>
      </c>
      <c r="AI493">
        <v>40</v>
      </c>
      <c r="AJ493">
        <v>55</v>
      </c>
      <c r="AK493">
        <v>42</v>
      </c>
      <c r="AL493">
        <v>51</v>
      </c>
      <c r="AM493">
        <v>47</v>
      </c>
      <c r="AN493">
        <v>34</v>
      </c>
      <c r="AO493">
        <v>34</v>
      </c>
      <c r="AP493">
        <v>41</v>
      </c>
      <c r="AQ493">
        <v>44</v>
      </c>
      <c r="AR493">
        <v>39</v>
      </c>
      <c r="AS493">
        <v>38</v>
      </c>
      <c r="AT493">
        <v>44</v>
      </c>
      <c r="AU493">
        <v>57</v>
      </c>
      <c r="AV493">
        <v>56</v>
      </c>
      <c r="AW493">
        <v>55</v>
      </c>
      <c r="AX493">
        <v>54</v>
      </c>
      <c r="AY493">
        <v>62</v>
      </c>
      <c r="AZ493">
        <v>49</v>
      </c>
      <c r="BA493">
        <v>49</v>
      </c>
      <c r="BB493">
        <v>52</v>
      </c>
      <c r="BC493">
        <v>44</v>
      </c>
    </row>
    <row r="494" spans="1:55" x14ac:dyDescent="0.25">
      <c r="A494" t="s">
        <v>4128</v>
      </c>
      <c r="B494" t="s">
        <v>136</v>
      </c>
      <c r="C494" t="s">
        <v>256</v>
      </c>
      <c r="D494">
        <v>600</v>
      </c>
      <c r="E494">
        <v>38.162999999999997</v>
      </c>
      <c r="G494">
        <v>36</v>
      </c>
      <c r="H494">
        <v>39</v>
      </c>
      <c r="I494">
        <v>31</v>
      </c>
      <c r="J494">
        <v>39</v>
      </c>
      <c r="K494">
        <v>40</v>
      </c>
      <c r="L494">
        <v>31</v>
      </c>
      <c r="M494">
        <v>35</v>
      </c>
      <c r="N494">
        <v>38</v>
      </c>
      <c r="O494">
        <v>35</v>
      </c>
      <c r="P494">
        <v>34</v>
      </c>
      <c r="Q494">
        <v>35</v>
      </c>
      <c r="R494">
        <v>40</v>
      </c>
      <c r="S494">
        <v>37</v>
      </c>
      <c r="T494">
        <v>40</v>
      </c>
      <c r="U494">
        <v>35</v>
      </c>
      <c r="V494">
        <v>33</v>
      </c>
      <c r="W494">
        <v>37</v>
      </c>
      <c r="X494">
        <v>33</v>
      </c>
      <c r="Y494">
        <v>33</v>
      </c>
      <c r="Z494">
        <v>32</v>
      </c>
      <c r="AA494">
        <v>31</v>
      </c>
      <c r="AB494">
        <v>28</v>
      </c>
      <c r="AC494">
        <v>30</v>
      </c>
      <c r="AD494">
        <v>23</v>
      </c>
      <c r="AE494">
        <v>26</v>
      </c>
      <c r="AF494">
        <v>25</v>
      </c>
      <c r="AG494">
        <v>30</v>
      </c>
      <c r="AH494">
        <v>33</v>
      </c>
      <c r="AI494">
        <v>32</v>
      </c>
      <c r="AJ494">
        <v>56</v>
      </c>
      <c r="AK494">
        <v>34</v>
      </c>
      <c r="AL494">
        <v>35</v>
      </c>
      <c r="AM494">
        <v>39</v>
      </c>
      <c r="AN494">
        <v>35</v>
      </c>
      <c r="AO494">
        <v>29</v>
      </c>
      <c r="AP494">
        <v>42</v>
      </c>
      <c r="AQ494">
        <v>44</v>
      </c>
      <c r="AR494">
        <v>37</v>
      </c>
      <c r="AS494">
        <v>38</v>
      </c>
      <c r="AT494">
        <v>44</v>
      </c>
      <c r="AU494">
        <v>53</v>
      </c>
      <c r="AV494">
        <v>50</v>
      </c>
      <c r="AW494">
        <v>51</v>
      </c>
      <c r="AX494">
        <v>58</v>
      </c>
      <c r="AY494">
        <v>49</v>
      </c>
      <c r="AZ494">
        <v>47</v>
      </c>
      <c r="BA494">
        <v>52</v>
      </c>
      <c r="BB494">
        <v>53</v>
      </c>
      <c r="BC494">
        <v>53</v>
      </c>
    </row>
    <row r="495" spans="1:55" x14ac:dyDescent="0.25">
      <c r="A495" t="s">
        <v>4129</v>
      </c>
      <c r="B495" t="s">
        <v>38</v>
      </c>
      <c r="C495" t="s">
        <v>256</v>
      </c>
      <c r="D495">
        <v>5004</v>
      </c>
      <c r="E495">
        <v>44.265000000000001</v>
      </c>
      <c r="G495">
        <v>38</v>
      </c>
      <c r="H495">
        <v>37</v>
      </c>
      <c r="I495">
        <v>34</v>
      </c>
      <c r="J495">
        <v>43</v>
      </c>
      <c r="K495">
        <v>41</v>
      </c>
      <c r="L495">
        <v>35</v>
      </c>
      <c r="M495">
        <v>41</v>
      </c>
      <c r="N495">
        <v>39</v>
      </c>
      <c r="O495">
        <v>39</v>
      </c>
      <c r="P495">
        <v>41</v>
      </c>
      <c r="Q495">
        <v>38</v>
      </c>
      <c r="R495">
        <v>37</v>
      </c>
      <c r="S495">
        <v>39</v>
      </c>
      <c r="T495">
        <v>41</v>
      </c>
      <c r="U495">
        <v>38</v>
      </c>
      <c r="V495">
        <v>40</v>
      </c>
      <c r="W495">
        <v>43</v>
      </c>
      <c r="X495">
        <v>41</v>
      </c>
      <c r="Y495">
        <v>36</v>
      </c>
      <c r="Z495">
        <v>41</v>
      </c>
      <c r="AA495">
        <v>37</v>
      </c>
      <c r="AB495">
        <v>36</v>
      </c>
      <c r="AC495">
        <v>37</v>
      </c>
      <c r="AD495">
        <v>35</v>
      </c>
      <c r="AE495">
        <v>37</v>
      </c>
      <c r="AF495">
        <v>41</v>
      </c>
      <c r="AG495">
        <v>39</v>
      </c>
      <c r="AH495">
        <v>44</v>
      </c>
      <c r="AI495">
        <v>44</v>
      </c>
      <c r="AJ495">
        <v>55</v>
      </c>
      <c r="AK495">
        <v>43</v>
      </c>
      <c r="AL495">
        <v>50</v>
      </c>
      <c r="AM495">
        <v>50</v>
      </c>
      <c r="AN495">
        <v>44</v>
      </c>
      <c r="AO495">
        <v>39</v>
      </c>
      <c r="AP495">
        <v>45</v>
      </c>
      <c r="AQ495">
        <v>46</v>
      </c>
      <c r="AR495">
        <v>43</v>
      </c>
      <c r="AS495">
        <v>43</v>
      </c>
      <c r="AT495">
        <v>52</v>
      </c>
      <c r="AU495">
        <v>59</v>
      </c>
      <c r="AV495">
        <v>55</v>
      </c>
      <c r="AW495">
        <v>58</v>
      </c>
      <c r="AX495">
        <v>62</v>
      </c>
      <c r="AY495">
        <v>59</v>
      </c>
      <c r="AZ495">
        <v>57</v>
      </c>
      <c r="BA495">
        <v>58</v>
      </c>
      <c r="BB495">
        <v>59</v>
      </c>
      <c r="BC495">
        <v>60</v>
      </c>
    </row>
    <row r="496" spans="1:55" x14ac:dyDescent="0.25">
      <c r="A496" t="s">
        <v>4130</v>
      </c>
      <c r="B496" t="s">
        <v>137</v>
      </c>
      <c r="C496" t="s">
        <v>256</v>
      </c>
      <c r="D496">
        <v>2336</v>
      </c>
      <c r="E496">
        <v>44.223999999999997</v>
      </c>
      <c r="G496">
        <v>34</v>
      </c>
      <c r="H496">
        <v>36</v>
      </c>
      <c r="I496">
        <v>32</v>
      </c>
      <c r="J496">
        <v>40</v>
      </c>
      <c r="K496">
        <v>39</v>
      </c>
      <c r="L496">
        <v>33</v>
      </c>
      <c r="M496">
        <v>40</v>
      </c>
      <c r="N496">
        <v>38</v>
      </c>
      <c r="O496">
        <v>39</v>
      </c>
      <c r="P496">
        <v>42</v>
      </c>
      <c r="Q496">
        <v>38</v>
      </c>
      <c r="R496">
        <v>38</v>
      </c>
      <c r="S496">
        <v>40</v>
      </c>
      <c r="T496">
        <v>42</v>
      </c>
      <c r="U496">
        <v>39</v>
      </c>
      <c r="V496">
        <v>39</v>
      </c>
      <c r="W496">
        <v>43</v>
      </c>
      <c r="X496">
        <v>41</v>
      </c>
      <c r="Y496">
        <v>37</v>
      </c>
      <c r="Z496">
        <v>41</v>
      </c>
      <c r="AA496">
        <v>37</v>
      </c>
      <c r="AB496">
        <v>34</v>
      </c>
      <c r="AC496">
        <v>35</v>
      </c>
      <c r="AD496">
        <v>34</v>
      </c>
      <c r="AE496">
        <v>37</v>
      </c>
      <c r="AF496">
        <v>41</v>
      </c>
      <c r="AG496">
        <v>40</v>
      </c>
      <c r="AH496">
        <v>45</v>
      </c>
      <c r="AI496">
        <v>43</v>
      </c>
      <c r="AJ496">
        <v>52</v>
      </c>
      <c r="AK496">
        <v>42</v>
      </c>
      <c r="AL496">
        <v>48</v>
      </c>
      <c r="AM496">
        <v>47</v>
      </c>
      <c r="AN496">
        <v>44</v>
      </c>
      <c r="AO496">
        <v>38</v>
      </c>
      <c r="AP496">
        <v>45</v>
      </c>
      <c r="AQ496">
        <v>46</v>
      </c>
      <c r="AR496">
        <v>43</v>
      </c>
      <c r="AS496">
        <v>44</v>
      </c>
      <c r="AT496">
        <v>54</v>
      </c>
      <c r="AU496">
        <v>60</v>
      </c>
      <c r="AV496">
        <v>58</v>
      </c>
      <c r="AW496">
        <v>61</v>
      </c>
      <c r="AX496">
        <v>65</v>
      </c>
      <c r="AY496">
        <v>60</v>
      </c>
      <c r="AZ496">
        <v>60</v>
      </c>
      <c r="BA496">
        <v>61</v>
      </c>
      <c r="BB496">
        <v>60</v>
      </c>
      <c r="BC496">
        <v>62</v>
      </c>
    </row>
    <row r="497" spans="1:55" x14ac:dyDescent="0.25">
      <c r="A497" t="s">
        <v>4131</v>
      </c>
      <c r="B497" t="s">
        <v>138</v>
      </c>
      <c r="C497" t="s">
        <v>256</v>
      </c>
      <c r="D497">
        <v>2668</v>
      </c>
      <c r="E497">
        <v>44.305999999999997</v>
      </c>
      <c r="G497">
        <v>41</v>
      </c>
      <c r="H497">
        <v>40</v>
      </c>
      <c r="I497">
        <v>37</v>
      </c>
      <c r="J497">
        <v>45</v>
      </c>
      <c r="K497">
        <v>42</v>
      </c>
      <c r="L497">
        <v>37</v>
      </c>
      <c r="M497">
        <v>42</v>
      </c>
      <c r="N497">
        <v>39</v>
      </c>
      <c r="O497">
        <v>38</v>
      </c>
      <c r="P497">
        <v>41</v>
      </c>
      <c r="Q497">
        <v>39</v>
      </c>
      <c r="R497">
        <v>37</v>
      </c>
      <c r="S497">
        <v>39</v>
      </c>
      <c r="T497">
        <v>40</v>
      </c>
      <c r="U497">
        <v>38</v>
      </c>
      <c r="V497">
        <v>41</v>
      </c>
      <c r="W497">
        <v>42</v>
      </c>
      <c r="X497">
        <v>42</v>
      </c>
      <c r="Y497">
        <v>35</v>
      </c>
      <c r="Z497">
        <v>42</v>
      </c>
      <c r="AA497">
        <v>38</v>
      </c>
      <c r="AB497">
        <v>36</v>
      </c>
      <c r="AC497">
        <v>38</v>
      </c>
      <c r="AD497">
        <v>35</v>
      </c>
      <c r="AE497">
        <v>36</v>
      </c>
      <c r="AF497">
        <v>40</v>
      </c>
      <c r="AG497">
        <v>37</v>
      </c>
      <c r="AH497">
        <v>42</v>
      </c>
      <c r="AI497">
        <v>44</v>
      </c>
      <c r="AJ497">
        <v>57</v>
      </c>
      <c r="AK497">
        <v>43</v>
      </c>
      <c r="AL497">
        <v>51</v>
      </c>
      <c r="AM497">
        <v>53</v>
      </c>
      <c r="AN497">
        <v>44</v>
      </c>
      <c r="AO497">
        <v>41</v>
      </c>
      <c r="AP497">
        <v>44</v>
      </c>
      <c r="AQ497">
        <v>47</v>
      </c>
      <c r="AR497">
        <v>43</v>
      </c>
      <c r="AS497">
        <v>44</v>
      </c>
      <c r="AT497">
        <v>52</v>
      </c>
      <c r="AU497">
        <v>58</v>
      </c>
      <c r="AV497">
        <v>52</v>
      </c>
      <c r="AW497">
        <v>55</v>
      </c>
      <c r="AX497">
        <v>59</v>
      </c>
      <c r="AY497">
        <v>57</v>
      </c>
      <c r="AZ497">
        <v>54</v>
      </c>
      <c r="BA497">
        <v>56</v>
      </c>
      <c r="BB497">
        <v>59</v>
      </c>
      <c r="BC497">
        <v>59</v>
      </c>
    </row>
    <row r="498" spans="1:55" x14ac:dyDescent="0.25">
      <c r="A498" t="s">
        <v>4132</v>
      </c>
      <c r="B498" t="s">
        <v>139</v>
      </c>
      <c r="C498" t="s">
        <v>256</v>
      </c>
      <c r="D498">
        <v>10866</v>
      </c>
      <c r="E498">
        <v>46.612000000000002</v>
      </c>
      <c r="G498">
        <v>44</v>
      </c>
      <c r="H498">
        <v>41</v>
      </c>
      <c r="I498">
        <v>41</v>
      </c>
      <c r="J498">
        <v>47</v>
      </c>
      <c r="K498">
        <v>47</v>
      </c>
      <c r="L498">
        <v>38</v>
      </c>
      <c r="M498">
        <v>43</v>
      </c>
      <c r="N498">
        <v>43</v>
      </c>
      <c r="O498">
        <v>42</v>
      </c>
      <c r="P498">
        <v>42</v>
      </c>
      <c r="Q498">
        <v>43</v>
      </c>
      <c r="R498">
        <v>43</v>
      </c>
      <c r="S498">
        <v>45</v>
      </c>
      <c r="T498">
        <v>46</v>
      </c>
      <c r="U498">
        <v>45</v>
      </c>
      <c r="V498">
        <v>44</v>
      </c>
      <c r="W498">
        <v>47</v>
      </c>
      <c r="X498">
        <v>46</v>
      </c>
      <c r="Y498">
        <v>40</v>
      </c>
      <c r="Z498">
        <v>45</v>
      </c>
      <c r="AA498">
        <v>42</v>
      </c>
      <c r="AB498">
        <v>41</v>
      </c>
      <c r="AC498">
        <v>41</v>
      </c>
      <c r="AD498">
        <v>40</v>
      </c>
      <c r="AE498">
        <v>40</v>
      </c>
      <c r="AF498">
        <v>42</v>
      </c>
      <c r="AG498">
        <v>42</v>
      </c>
      <c r="AH498">
        <v>46</v>
      </c>
      <c r="AI498">
        <v>46</v>
      </c>
      <c r="AJ498">
        <v>57</v>
      </c>
      <c r="AK498">
        <v>47</v>
      </c>
      <c r="AL498">
        <v>50</v>
      </c>
      <c r="AM498">
        <v>54</v>
      </c>
      <c r="AN498">
        <v>45</v>
      </c>
      <c r="AO498">
        <v>42</v>
      </c>
      <c r="AP498">
        <v>44</v>
      </c>
      <c r="AQ498">
        <v>47</v>
      </c>
      <c r="AR498">
        <v>41</v>
      </c>
      <c r="AS498">
        <v>44</v>
      </c>
      <c r="AT498">
        <v>51</v>
      </c>
      <c r="AU498">
        <v>56</v>
      </c>
      <c r="AV498">
        <v>53</v>
      </c>
      <c r="AW498">
        <v>56</v>
      </c>
      <c r="AX498">
        <v>59</v>
      </c>
      <c r="AY498">
        <v>58</v>
      </c>
      <c r="AZ498">
        <v>56</v>
      </c>
      <c r="BA498">
        <v>56</v>
      </c>
      <c r="BB498">
        <v>58</v>
      </c>
      <c r="BC498">
        <v>58</v>
      </c>
    </row>
    <row r="499" spans="1:55" x14ac:dyDescent="0.25">
      <c r="A499" t="s">
        <v>4133</v>
      </c>
      <c r="B499" t="s">
        <v>140</v>
      </c>
      <c r="C499" t="s">
        <v>256</v>
      </c>
      <c r="D499">
        <v>1355</v>
      </c>
      <c r="E499">
        <v>43.469000000000001</v>
      </c>
      <c r="G499">
        <v>40</v>
      </c>
      <c r="H499">
        <v>34</v>
      </c>
      <c r="I499">
        <v>37</v>
      </c>
      <c r="J499">
        <v>39</v>
      </c>
      <c r="K499">
        <v>42</v>
      </c>
      <c r="L499">
        <v>34</v>
      </c>
      <c r="M499">
        <v>37</v>
      </c>
      <c r="N499">
        <v>39</v>
      </c>
      <c r="O499">
        <v>40</v>
      </c>
      <c r="P499">
        <v>42</v>
      </c>
      <c r="Q499">
        <v>42</v>
      </c>
      <c r="R499">
        <v>43</v>
      </c>
      <c r="S499">
        <v>43</v>
      </c>
      <c r="T499">
        <v>44</v>
      </c>
      <c r="U499">
        <v>45</v>
      </c>
      <c r="V499">
        <v>41</v>
      </c>
      <c r="W499">
        <v>42</v>
      </c>
      <c r="X499">
        <v>43</v>
      </c>
      <c r="Y499">
        <v>35</v>
      </c>
      <c r="Z499">
        <v>40</v>
      </c>
      <c r="AA499">
        <v>37</v>
      </c>
      <c r="AB499">
        <v>36</v>
      </c>
      <c r="AC499">
        <v>35</v>
      </c>
      <c r="AD499">
        <v>37</v>
      </c>
      <c r="AE499">
        <v>36</v>
      </c>
      <c r="AF499">
        <v>39</v>
      </c>
      <c r="AG499">
        <v>40</v>
      </c>
      <c r="AH499">
        <v>44</v>
      </c>
      <c r="AI499">
        <v>45</v>
      </c>
      <c r="AJ499">
        <v>50</v>
      </c>
      <c r="AK499">
        <v>44</v>
      </c>
      <c r="AL499">
        <v>44</v>
      </c>
      <c r="AM499">
        <v>46</v>
      </c>
      <c r="AN499">
        <v>41</v>
      </c>
      <c r="AO499">
        <v>38</v>
      </c>
      <c r="AP499">
        <v>41</v>
      </c>
      <c r="AQ499">
        <v>44</v>
      </c>
      <c r="AR499">
        <v>40</v>
      </c>
      <c r="AS499">
        <v>41</v>
      </c>
      <c r="AT499">
        <v>51</v>
      </c>
      <c r="AU499">
        <v>59</v>
      </c>
      <c r="AV499">
        <v>53</v>
      </c>
      <c r="AW499">
        <v>54</v>
      </c>
      <c r="AX499">
        <v>61</v>
      </c>
      <c r="AY499">
        <v>56</v>
      </c>
      <c r="AZ499">
        <v>54</v>
      </c>
      <c r="BA499">
        <v>55</v>
      </c>
      <c r="BB499">
        <v>55</v>
      </c>
      <c r="BC499">
        <v>52</v>
      </c>
    </row>
    <row r="500" spans="1:55" x14ac:dyDescent="0.25">
      <c r="A500" t="s">
        <v>4134</v>
      </c>
      <c r="B500" t="s">
        <v>141</v>
      </c>
      <c r="C500" t="s">
        <v>256</v>
      </c>
      <c r="D500">
        <v>708</v>
      </c>
      <c r="E500">
        <v>41.591999999999999</v>
      </c>
      <c r="G500">
        <v>39</v>
      </c>
      <c r="H500">
        <v>32</v>
      </c>
      <c r="I500">
        <v>36</v>
      </c>
      <c r="J500">
        <v>36</v>
      </c>
      <c r="K500">
        <v>37</v>
      </c>
      <c r="L500">
        <v>33</v>
      </c>
      <c r="M500">
        <v>36</v>
      </c>
      <c r="N500">
        <v>37</v>
      </c>
      <c r="O500">
        <v>38</v>
      </c>
      <c r="P500">
        <v>42</v>
      </c>
      <c r="Q500">
        <v>40</v>
      </c>
      <c r="R500">
        <v>40</v>
      </c>
      <c r="S500">
        <v>42</v>
      </c>
      <c r="T500">
        <v>43</v>
      </c>
      <c r="U500">
        <v>45</v>
      </c>
      <c r="V500">
        <v>40</v>
      </c>
      <c r="W500">
        <v>40</v>
      </c>
      <c r="X500">
        <v>41</v>
      </c>
      <c r="Y500">
        <v>34</v>
      </c>
      <c r="Z500">
        <v>38</v>
      </c>
      <c r="AA500">
        <v>37</v>
      </c>
      <c r="AB500">
        <v>34</v>
      </c>
      <c r="AC500">
        <v>36</v>
      </c>
      <c r="AD500">
        <v>35</v>
      </c>
      <c r="AE500">
        <v>34</v>
      </c>
      <c r="AF500">
        <v>38</v>
      </c>
      <c r="AG500">
        <v>37</v>
      </c>
      <c r="AH500">
        <v>42</v>
      </c>
      <c r="AI500">
        <v>40</v>
      </c>
      <c r="AJ500">
        <v>49</v>
      </c>
      <c r="AK500">
        <v>43</v>
      </c>
      <c r="AL500">
        <v>45</v>
      </c>
      <c r="AM500">
        <v>44</v>
      </c>
      <c r="AN500">
        <v>39</v>
      </c>
      <c r="AO500">
        <v>37</v>
      </c>
      <c r="AP500">
        <v>41</v>
      </c>
      <c r="AQ500">
        <v>42</v>
      </c>
      <c r="AR500">
        <v>37</v>
      </c>
      <c r="AS500">
        <v>37</v>
      </c>
      <c r="AT500">
        <v>48</v>
      </c>
      <c r="AU500">
        <v>57</v>
      </c>
      <c r="AV500">
        <v>49</v>
      </c>
      <c r="AW500">
        <v>51</v>
      </c>
      <c r="AX500">
        <v>56</v>
      </c>
      <c r="AY500">
        <v>52</v>
      </c>
      <c r="AZ500">
        <v>54</v>
      </c>
      <c r="BA500">
        <v>51</v>
      </c>
      <c r="BB500">
        <v>53</v>
      </c>
      <c r="BC500">
        <v>51</v>
      </c>
    </row>
    <row r="501" spans="1:55" x14ac:dyDescent="0.25">
      <c r="A501" t="s">
        <v>4135</v>
      </c>
      <c r="B501" t="s">
        <v>142</v>
      </c>
      <c r="C501" t="s">
        <v>256</v>
      </c>
      <c r="D501">
        <v>583</v>
      </c>
      <c r="E501">
        <v>45.612000000000002</v>
      </c>
      <c r="G501">
        <v>43</v>
      </c>
      <c r="H501">
        <v>36</v>
      </c>
      <c r="I501">
        <v>39</v>
      </c>
      <c r="J501">
        <v>44</v>
      </c>
      <c r="K501">
        <v>46</v>
      </c>
      <c r="L501">
        <v>35</v>
      </c>
      <c r="M501">
        <v>39</v>
      </c>
      <c r="N501">
        <v>40</v>
      </c>
      <c r="O501">
        <v>41</v>
      </c>
      <c r="P501">
        <v>41</v>
      </c>
      <c r="Q501">
        <v>44</v>
      </c>
      <c r="R501">
        <v>46</v>
      </c>
      <c r="S501">
        <v>44</v>
      </c>
      <c r="T501">
        <v>47</v>
      </c>
      <c r="U501">
        <v>47</v>
      </c>
      <c r="V501">
        <v>41</v>
      </c>
      <c r="W501">
        <v>44</v>
      </c>
      <c r="X501">
        <v>46</v>
      </c>
      <c r="Y501">
        <v>36</v>
      </c>
      <c r="Z501">
        <v>43</v>
      </c>
      <c r="AA501">
        <v>38</v>
      </c>
      <c r="AB501">
        <v>38</v>
      </c>
      <c r="AC501">
        <v>35</v>
      </c>
      <c r="AD501">
        <v>38</v>
      </c>
      <c r="AE501">
        <v>39</v>
      </c>
      <c r="AF501">
        <v>39</v>
      </c>
      <c r="AG501">
        <v>43</v>
      </c>
      <c r="AH501">
        <v>45</v>
      </c>
      <c r="AI501">
        <v>51</v>
      </c>
      <c r="AJ501">
        <v>51</v>
      </c>
      <c r="AK501">
        <v>43</v>
      </c>
      <c r="AL501">
        <v>42</v>
      </c>
      <c r="AM501">
        <v>46</v>
      </c>
      <c r="AN501">
        <v>42</v>
      </c>
      <c r="AO501">
        <v>39</v>
      </c>
      <c r="AP501">
        <v>43</v>
      </c>
      <c r="AQ501">
        <v>46</v>
      </c>
      <c r="AR501">
        <v>44</v>
      </c>
      <c r="AS501">
        <v>46</v>
      </c>
      <c r="AT501">
        <v>56</v>
      </c>
      <c r="AU501">
        <v>62</v>
      </c>
      <c r="AV501">
        <v>58</v>
      </c>
      <c r="AW501">
        <v>58</v>
      </c>
      <c r="AX501">
        <v>66</v>
      </c>
      <c r="AY501">
        <v>60</v>
      </c>
      <c r="AZ501">
        <v>55</v>
      </c>
      <c r="BA501">
        <v>59</v>
      </c>
      <c r="BB501">
        <v>57</v>
      </c>
      <c r="BC501">
        <v>54</v>
      </c>
    </row>
    <row r="502" spans="1:55" x14ac:dyDescent="0.25">
      <c r="A502" t="s">
        <v>4136</v>
      </c>
      <c r="B502" t="s">
        <v>143</v>
      </c>
      <c r="C502" t="s">
        <v>256</v>
      </c>
      <c r="D502">
        <v>2034</v>
      </c>
      <c r="E502">
        <v>45.776000000000003</v>
      </c>
      <c r="G502">
        <v>47</v>
      </c>
      <c r="H502">
        <v>41</v>
      </c>
      <c r="I502">
        <v>42</v>
      </c>
      <c r="J502">
        <v>44</v>
      </c>
      <c r="K502">
        <v>47</v>
      </c>
      <c r="L502">
        <v>30</v>
      </c>
      <c r="M502">
        <v>36</v>
      </c>
      <c r="N502">
        <v>41</v>
      </c>
      <c r="O502">
        <v>40</v>
      </c>
      <c r="P502">
        <v>42</v>
      </c>
      <c r="Q502">
        <v>37</v>
      </c>
      <c r="R502">
        <v>36</v>
      </c>
      <c r="S502">
        <v>40</v>
      </c>
      <c r="T502">
        <v>45</v>
      </c>
      <c r="U502">
        <v>42</v>
      </c>
      <c r="V502">
        <v>44</v>
      </c>
      <c r="W502">
        <v>46</v>
      </c>
      <c r="X502">
        <v>45</v>
      </c>
      <c r="Y502">
        <v>42</v>
      </c>
      <c r="Z502">
        <v>42</v>
      </c>
      <c r="AA502">
        <v>40</v>
      </c>
      <c r="AB502">
        <v>37</v>
      </c>
      <c r="AC502">
        <v>41</v>
      </c>
      <c r="AD502">
        <v>38</v>
      </c>
      <c r="AE502">
        <v>37</v>
      </c>
      <c r="AF502">
        <v>37</v>
      </c>
      <c r="AG502">
        <v>40</v>
      </c>
      <c r="AH502">
        <v>43</v>
      </c>
      <c r="AI502">
        <v>41</v>
      </c>
      <c r="AJ502">
        <v>66</v>
      </c>
      <c r="AK502">
        <v>52</v>
      </c>
      <c r="AL502">
        <v>60</v>
      </c>
      <c r="AM502">
        <v>63</v>
      </c>
      <c r="AN502">
        <v>42</v>
      </c>
      <c r="AO502">
        <v>45</v>
      </c>
      <c r="AP502">
        <v>41</v>
      </c>
      <c r="AQ502">
        <v>46</v>
      </c>
      <c r="AR502">
        <v>37</v>
      </c>
      <c r="AS502">
        <v>44</v>
      </c>
      <c r="AT502">
        <v>52</v>
      </c>
      <c r="AU502">
        <v>61</v>
      </c>
      <c r="AV502">
        <v>55</v>
      </c>
      <c r="AW502">
        <v>58</v>
      </c>
      <c r="AX502">
        <v>58</v>
      </c>
      <c r="AY502">
        <v>59</v>
      </c>
      <c r="AZ502">
        <v>56</v>
      </c>
      <c r="BA502">
        <v>51</v>
      </c>
      <c r="BB502">
        <v>56</v>
      </c>
      <c r="BC502">
        <v>58</v>
      </c>
    </row>
    <row r="503" spans="1:55" x14ac:dyDescent="0.25">
      <c r="A503" t="s">
        <v>4137</v>
      </c>
      <c r="B503" t="s">
        <v>144</v>
      </c>
      <c r="C503" t="s">
        <v>256</v>
      </c>
      <c r="D503">
        <v>1273</v>
      </c>
      <c r="E503">
        <v>47.082000000000001</v>
      </c>
      <c r="G503">
        <v>49</v>
      </c>
      <c r="H503">
        <v>41</v>
      </c>
      <c r="I503">
        <v>44</v>
      </c>
      <c r="J503">
        <v>45</v>
      </c>
      <c r="K503">
        <v>49</v>
      </c>
      <c r="L503">
        <v>32</v>
      </c>
      <c r="M503">
        <v>37</v>
      </c>
      <c r="N503">
        <v>45</v>
      </c>
      <c r="O503">
        <v>39</v>
      </c>
      <c r="P503">
        <v>45</v>
      </c>
      <c r="Q503">
        <v>38</v>
      </c>
      <c r="R503">
        <v>35</v>
      </c>
      <c r="S503">
        <v>41</v>
      </c>
      <c r="T503">
        <v>48</v>
      </c>
      <c r="U503">
        <v>45</v>
      </c>
      <c r="V503">
        <v>45</v>
      </c>
      <c r="W503">
        <v>47</v>
      </c>
      <c r="X503">
        <v>46</v>
      </c>
      <c r="Y503">
        <v>45</v>
      </c>
      <c r="Z503">
        <v>43</v>
      </c>
      <c r="AA503">
        <v>41</v>
      </c>
      <c r="AB503">
        <v>37</v>
      </c>
      <c r="AC503">
        <v>42</v>
      </c>
      <c r="AD503">
        <v>41</v>
      </c>
      <c r="AE503">
        <v>38</v>
      </c>
      <c r="AF503">
        <v>38</v>
      </c>
      <c r="AG503">
        <v>42</v>
      </c>
      <c r="AH503">
        <v>45</v>
      </c>
      <c r="AI503">
        <v>42</v>
      </c>
      <c r="AJ503">
        <v>67</v>
      </c>
      <c r="AK503">
        <v>53</v>
      </c>
      <c r="AL503">
        <v>60</v>
      </c>
      <c r="AM503">
        <v>63</v>
      </c>
      <c r="AN503">
        <v>41</v>
      </c>
      <c r="AO503">
        <v>45</v>
      </c>
      <c r="AP503">
        <v>42</v>
      </c>
      <c r="AQ503">
        <v>47</v>
      </c>
      <c r="AR503">
        <v>38</v>
      </c>
      <c r="AS503">
        <v>47</v>
      </c>
      <c r="AT503">
        <v>53</v>
      </c>
      <c r="AU503">
        <v>62</v>
      </c>
      <c r="AV503">
        <v>55</v>
      </c>
      <c r="AW503">
        <v>59</v>
      </c>
      <c r="AX503">
        <v>59</v>
      </c>
      <c r="AY503">
        <v>60</v>
      </c>
      <c r="AZ503">
        <v>57</v>
      </c>
      <c r="BA503">
        <v>54</v>
      </c>
      <c r="BB503">
        <v>59</v>
      </c>
      <c r="BC503">
        <v>61</v>
      </c>
    </row>
    <row r="504" spans="1:55" x14ac:dyDescent="0.25">
      <c r="A504" t="s">
        <v>4138</v>
      </c>
      <c r="B504" t="s">
        <v>145</v>
      </c>
      <c r="C504" t="s">
        <v>256</v>
      </c>
      <c r="D504">
        <v>761</v>
      </c>
      <c r="E504">
        <v>43.673000000000002</v>
      </c>
      <c r="G504">
        <v>42</v>
      </c>
      <c r="H504">
        <v>43</v>
      </c>
      <c r="I504">
        <v>39</v>
      </c>
      <c r="J504">
        <v>42</v>
      </c>
      <c r="K504">
        <v>45</v>
      </c>
      <c r="L504">
        <v>28</v>
      </c>
      <c r="M504">
        <v>35</v>
      </c>
      <c r="N504">
        <v>35</v>
      </c>
      <c r="O504">
        <v>42</v>
      </c>
      <c r="P504">
        <v>38</v>
      </c>
      <c r="Q504">
        <v>36</v>
      </c>
      <c r="R504">
        <v>39</v>
      </c>
      <c r="S504">
        <v>38</v>
      </c>
      <c r="T504">
        <v>40</v>
      </c>
      <c r="U504">
        <v>39</v>
      </c>
      <c r="V504">
        <v>42</v>
      </c>
      <c r="W504">
        <v>44</v>
      </c>
      <c r="X504">
        <v>43</v>
      </c>
      <c r="Y504">
        <v>37</v>
      </c>
      <c r="Z504">
        <v>41</v>
      </c>
      <c r="AA504">
        <v>37</v>
      </c>
      <c r="AB504">
        <v>36</v>
      </c>
      <c r="AC504">
        <v>40</v>
      </c>
      <c r="AD504">
        <v>33</v>
      </c>
      <c r="AE504">
        <v>36</v>
      </c>
      <c r="AF504">
        <v>35</v>
      </c>
      <c r="AG504">
        <v>36</v>
      </c>
      <c r="AH504">
        <v>38</v>
      </c>
      <c r="AI504">
        <v>40</v>
      </c>
      <c r="AJ504">
        <v>65</v>
      </c>
      <c r="AK504">
        <v>50</v>
      </c>
      <c r="AL504">
        <v>60</v>
      </c>
      <c r="AM504">
        <v>62</v>
      </c>
      <c r="AN504">
        <v>42</v>
      </c>
      <c r="AO504">
        <v>45</v>
      </c>
      <c r="AP504">
        <v>38</v>
      </c>
      <c r="AQ504">
        <v>44</v>
      </c>
      <c r="AR504">
        <v>36</v>
      </c>
      <c r="AS504">
        <v>39</v>
      </c>
      <c r="AT504">
        <v>50</v>
      </c>
      <c r="AU504">
        <v>59</v>
      </c>
      <c r="AV504">
        <v>55</v>
      </c>
      <c r="AW504">
        <v>57</v>
      </c>
      <c r="AX504">
        <v>57</v>
      </c>
      <c r="AY504">
        <v>56</v>
      </c>
      <c r="AZ504">
        <v>55</v>
      </c>
      <c r="BA504">
        <v>47</v>
      </c>
      <c r="BB504">
        <v>51</v>
      </c>
      <c r="BC504">
        <v>53</v>
      </c>
    </row>
    <row r="505" spans="1:55" x14ac:dyDescent="0.25">
      <c r="A505" t="s">
        <v>4139</v>
      </c>
      <c r="B505" t="s">
        <v>146</v>
      </c>
      <c r="C505" t="s">
        <v>256</v>
      </c>
      <c r="D505">
        <v>83</v>
      </c>
      <c r="E505">
        <v>37.366999999999997</v>
      </c>
      <c r="G505">
        <v>33</v>
      </c>
      <c r="H505">
        <v>32</v>
      </c>
      <c r="I505">
        <v>29</v>
      </c>
      <c r="J505">
        <v>35</v>
      </c>
      <c r="K505">
        <v>39</v>
      </c>
      <c r="L505">
        <v>34</v>
      </c>
      <c r="M505">
        <v>36</v>
      </c>
      <c r="N505">
        <v>28</v>
      </c>
      <c r="O505">
        <v>34</v>
      </c>
      <c r="P505">
        <v>31</v>
      </c>
      <c r="Q505">
        <v>37</v>
      </c>
      <c r="R505">
        <v>33</v>
      </c>
      <c r="S505">
        <v>36</v>
      </c>
      <c r="T505">
        <v>44</v>
      </c>
      <c r="U505">
        <v>32</v>
      </c>
      <c r="V505">
        <v>34</v>
      </c>
      <c r="W505">
        <v>40</v>
      </c>
      <c r="X505">
        <v>38</v>
      </c>
      <c r="Y505">
        <v>32</v>
      </c>
      <c r="Z505">
        <v>35</v>
      </c>
      <c r="AA505">
        <v>34</v>
      </c>
      <c r="AB505">
        <v>34</v>
      </c>
      <c r="AC505">
        <v>30</v>
      </c>
      <c r="AD505">
        <v>34</v>
      </c>
      <c r="AE505">
        <v>29</v>
      </c>
      <c r="AF505">
        <v>31</v>
      </c>
      <c r="AG505">
        <v>33</v>
      </c>
      <c r="AH505">
        <v>35</v>
      </c>
      <c r="AI505">
        <v>41</v>
      </c>
      <c r="AJ505">
        <v>55</v>
      </c>
      <c r="AK505">
        <v>37</v>
      </c>
      <c r="AL505">
        <v>35</v>
      </c>
      <c r="AM505">
        <v>45</v>
      </c>
      <c r="AN505">
        <v>39</v>
      </c>
      <c r="AO505">
        <v>38</v>
      </c>
      <c r="AP505">
        <v>38</v>
      </c>
      <c r="AQ505">
        <v>35</v>
      </c>
      <c r="AR505">
        <v>32</v>
      </c>
      <c r="AS505">
        <v>41</v>
      </c>
      <c r="AT505">
        <v>41</v>
      </c>
      <c r="AU505">
        <v>40</v>
      </c>
      <c r="AV505">
        <v>44</v>
      </c>
      <c r="AW505">
        <v>52</v>
      </c>
      <c r="AX505">
        <v>40</v>
      </c>
      <c r="AY505">
        <v>43</v>
      </c>
      <c r="AZ505">
        <v>45</v>
      </c>
      <c r="BA505">
        <v>47</v>
      </c>
      <c r="BB505">
        <v>51</v>
      </c>
      <c r="BC505">
        <v>40</v>
      </c>
    </row>
    <row r="506" spans="1:55" x14ac:dyDescent="0.25">
      <c r="A506" t="s">
        <v>4140</v>
      </c>
      <c r="B506" t="s">
        <v>147</v>
      </c>
      <c r="C506" t="s">
        <v>256</v>
      </c>
      <c r="D506">
        <v>108</v>
      </c>
      <c r="E506">
        <v>36.734999999999999</v>
      </c>
      <c r="G506">
        <v>49</v>
      </c>
      <c r="H506">
        <v>29</v>
      </c>
      <c r="I506">
        <v>30</v>
      </c>
      <c r="J506">
        <v>40</v>
      </c>
      <c r="K506">
        <v>31</v>
      </c>
      <c r="L506">
        <v>35</v>
      </c>
      <c r="M506">
        <v>33</v>
      </c>
      <c r="N506">
        <v>32</v>
      </c>
      <c r="O506">
        <v>28</v>
      </c>
      <c r="P506">
        <v>34</v>
      </c>
      <c r="Q506">
        <v>35</v>
      </c>
      <c r="R506">
        <v>32</v>
      </c>
      <c r="S506">
        <v>37</v>
      </c>
      <c r="T506">
        <v>25</v>
      </c>
      <c r="U506">
        <v>24</v>
      </c>
      <c r="V506">
        <v>27</v>
      </c>
      <c r="W506">
        <v>38</v>
      </c>
      <c r="X506">
        <v>33</v>
      </c>
      <c r="Y506">
        <v>27</v>
      </c>
      <c r="Z506">
        <v>37</v>
      </c>
      <c r="AA506">
        <v>27</v>
      </c>
      <c r="AB506">
        <v>31</v>
      </c>
      <c r="AC506">
        <v>34</v>
      </c>
      <c r="AD506">
        <v>31</v>
      </c>
      <c r="AE506">
        <v>32</v>
      </c>
      <c r="AF506">
        <v>33</v>
      </c>
      <c r="AG506">
        <v>27</v>
      </c>
      <c r="AH506">
        <v>29</v>
      </c>
      <c r="AI506">
        <v>44</v>
      </c>
      <c r="AJ506">
        <v>63</v>
      </c>
      <c r="AK506">
        <v>44</v>
      </c>
      <c r="AL506">
        <v>44</v>
      </c>
      <c r="AM506">
        <v>46</v>
      </c>
      <c r="AN506">
        <v>39</v>
      </c>
      <c r="AO506">
        <v>27</v>
      </c>
      <c r="AP506">
        <v>37</v>
      </c>
      <c r="AQ506">
        <v>34</v>
      </c>
      <c r="AR506">
        <v>26</v>
      </c>
      <c r="AS506">
        <v>36</v>
      </c>
      <c r="AT506">
        <v>34</v>
      </c>
      <c r="AU506">
        <v>41</v>
      </c>
      <c r="AV506">
        <v>42</v>
      </c>
      <c r="AW506">
        <v>42</v>
      </c>
      <c r="AX506">
        <v>50</v>
      </c>
      <c r="AY506">
        <v>50</v>
      </c>
      <c r="AZ506">
        <v>44</v>
      </c>
      <c r="BA506">
        <v>52</v>
      </c>
      <c r="BB506">
        <v>53</v>
      </c>
      <c r="BC506">
        <v>52</v>
      </c>
    </row>
    <row r="507" spans="1:55" x14ac:dyDescent="0.25">
      <c r="A507" t="s">
        <v>4141</v>
      </c>
      <c r="B507" t="s">
        <v>148</v>
      </c>
      <c r="C507" t="s">
        <v>256</v>
      </c>
      <c r="D507">
        <v>817</v>
      </c>
      <c r="E507">
        <v>35.856999999999999</v>
      </c>
      <c r="G507">
        <v>30</v>
      </c>
      <c r="H507">
        <v>30</v>
      </c>
      <c r="I507">
        <v>27</v>
      </c>
      <c r="J507">
        <v>38</v>
      </c>
      <c r="K507">
        <v>39</v>
      </c>
      <c r="L507">
        <v>27</v>
      </c>
      <c r="M507">
        <v>33</v>
      </c>
      <c r="N507">
        <v>32</v>
      </c>
      <c r="O507">
        <v>27</v>
      </c>
      <c r="P507">
        <v>31</v>
      </c>
      <c r="Q507">
        <v>28</v>
      </c>
      <c r="R507">
        <v>31</v>
      </c>
      <c r="S507">
        <v>31</v>
      </c>
      <c r="T507">
        <v>32</v>
      </c>
      <c r="U507">
        <v>28</v>
      </c>
      <c r="V507">
        <v>29</v>
      </c>
      <c r="W507">
        <v>33</v>
      </c>
      <c r="X507">
        <v>32</v>
      </c>
      <c r="Y507">
        <v>27</v>
      </c>
      <c r="Z507">
        <v>31</v>
      </c>
      <c r="AA507">
        <v>31</v>
      </c>
      <c r="AB507">
        <v>30</v>
      </c>
      <c r="AC507">
        <v>29</v>
      </c>
      <c r="AD507">
        <v>30</v>
      </c>
      <c r="AE507">
        <v>30</v>
      </c>
      <c r="AF507">
        <v>30</v>
      </c>
      <c r="AG507">
        <v>32</v>
      </c>
      <c r="AH507">
        <v>36</v>
      </c>
      <c r="AI507">
        <v>36</v>
      </c>
      <c r="AJ507">
        <v>50</v>
      </c>
      <c r="AK507">
        <v>34</v>
      </c>
      <c r="AL507">
        <v>38</v>
      </c>
      <c r="AM507">
        <v>43</v>
      </c>
      <c r="AN507">
        <v>35</v>
      </c>
      <c r="AO507">
        <v>31</v>
      </c>
      <c r="AP507">
        <v>36</v>
      </c>
      <c r="AQ507">
        <v>39</v>
      </c>
      <c r="AR507">
        <v>34</v>
      </c>
      <c r="AS507">
        <v>34</v>
      </c>
      <c r="AT507">
        <v>40</v>
      </c>
      <c r="AU507">
        <v>44</v>
      </c>
      <c r="AV507">
        <v>45</v>
      </c>
      <c r="AW507">
        <v>48</v>
      </c>
      <c r="AX507">
        <v>50</v>
      </c>
      <c r="AY507">
        <v>52</v>
      </c>
      <c r="AZ507">
        <v>51</v>
      </c>
      <c r="BA507">
        <v>50</v>
      </c>
      <c r="BB507">
        <v>50</v>
      </c>
      <c r="BC507">
        <v>53</v>
      </c>
    </row>
    <row r="508" spans="1:55" x14ac:dyDescent="0.25">
      <c r="A508" t="s">
        <v>4142</v>
      </c>
      <c r="B508" t="s">
        <v>149</v>
      </c>
      <c r="C508" t="s">
        <v>256</v>
      </c>
      <c r="D508">
        <v>66</v>
      </c>
      <c r="E508">
        <v>36.755000000000003</v>
      </c>
      <c r="G508">
        <v>31</v>
      </c>
      <c r="H508">
        <v>43</v>
      </c>
      <c r="I508">
        <v>33</v>
      </c>
      <c r="J508">
        <v>38</v>
      </c>
      <c r="K508">
        <v>35</v>
      </c>
      <c r="L508">
        <v>33</v>
      </c>
      <c r="M508">
        <v>29</v>
      </c>
      <c r="N508">
        <v>34</v>
      </c>
      <c r="O508">
        <v>26</v>
      </c>
      <c r="P508">
        <v>34</v>
      </c>
      <c r="Q508">
        <v>33</v>
      </c>
      <c r="R508">
        <v>19</v>
      </c>
      <c r="S508">
        <v>31</v>
      </c>
      <c r="T508">
        <v>37</v>
      </c>
      <c r="U508">
        <v>45</v>
      </c>
      <c r="V508">
        <v>27</v>
      </c>
      <c r="W508">
        <v>33</v>
      </c>
      <c r="X508">
        <v>42</v>
      </c>
      <c r="Y508">
        <v>27</v>
      </c>
      <c r="Z508">
        <v>44</v>
      </c>
      <c r="AA508">
        <v>32</v>
      </c>
      <c r="AB508">
        <v>33</v>
      </c>
      <c r="AC508">
        <v>32</v>
      </c>
      <c r="AD508">
        <v>46</v>
      </c>
      <c r="AE508">
        <v>34</v>
      </c>
      <c r="AF508">
        <v>35</v>
      </c>
      <c r="AG508">
        <v>31</v>
      </c>
      <c r="AH508">
        <v>45</v>
      </c>
      <c r="AI508">
        <v>29</v>
      </c>
      <c r="AJ508">
        <v>36</v>
      </c>
      <c r="AK508">
        <v>37</v>
      </c>
      <c r="AL508">
        <v>34</v>
      </c>
      <c r="AM508">
        <v>35</v>
      </c>
      <c r="AN508">
        <v>32</v>
      </c>
      <c r="AO508">
        <v>30</v>
      </c>
      <c r="AP508">
        <v>35</v>
      </c>
      <c r="AQ508">
        <v>44</v>
      </c>
      <c r="AR508">
        <v>32</v>
      </c>
      <c r="AS508">
        <v>41</v>
      </c>
      <c r="AT508">
        <v>40</v>
      </c>
      <c r="AU508">
        <v>39</v>
      </c>
      <c r="AV508">
        <v>36</v>
      </c>
      <c r="AW508">
        <v>42</v>
      </c>
      <c r="AX508">
        <v>41</v>
      </c>
      <c r="AY508">
        <v>46</v>
      </c>
      <c r="AZ508">
        <v>57</v>
      </c>
      <c r="BA508">
        <v>53</v>
      </c>
      <c r="BB508">
        <v>52</v>
      </c>
      <c r="BC508">
        <v>48</v>
      </c>
    </row>
    <row r="509" spans="1:55" x14ac:dyDescent="0.25">
      <c r="A509" t="s">
        <v>4143</v>
      </c>
      <c r="B509" t="s">
        <v>150</v>
      </c>
      <c r="C509" t="s">
        <v>256</v>
      </c>
      <c r="D509">
        <v>981</v>
      </c>
      <c r="E509">
        <v>69.326999999999998</v>
      </c>
      <c r="G509">
        <v>65</v>
      </c>
      <c r="H509">
        <v>64</v>
      </c>
      <c r="I509">
        <v>66</v>
      </c>
      <c r="J509">
        <v>74</v>
      </c>
      <c r="K509">
        <v>73</v>
      </c>
      <c r="L509">
        <v>65</v>
      </c>
      <c r="M509">
        <v>71</v>
      </c>
      <c r="N509">
        <v>74</v>
      </c>
      <c r="O509">
        <v>70</v>
      </c>
      <c r="P509">
        <v>65</v>
      </c>
      <c r="Q509">
        <v>70</v>
      </c>
      <c r="R509">
        <v>70</v>
      </c>
      <c r="S509">
        <v>73</v>
      </c>
      <c r="T509">
        <v>74</v>
      </c>
      <c r="U509">
        <v>74</v>
      </c>
      <c r="V509">
        <v>72</v>
      </c>
      <c r="W509">
        <v>76</v>
      </c>
      <c r="X509">
        <v>76</v>
      </c>
      <c r="Y509">
        <v>73</v>
      </c>
      <c r="Z509">
        <v>76</v>
      </c>
      <c r="AA509">
        <v>74</v>
      </c>
      <c r="AB509">
        <v>71</v>
      </c>
      <c r="AC509">
        <v>69</v>
      </c>
      <c r="AD509">
        <v>65</v>
      </c>
      <c r="AE509">
        <v>70</v>
      </c>
      <c r="AF509">
        <v>69</v>
      </c>
      <c r="AG509">
        <v>68</v>
      </c>
      <c r="AH509">
        <v>72</v>
      </c>
      <c r="AI509">
        <v>72</v>
      </c>
      <c r="AJ509">
        <v>74</v>
      </c>
      <c r="AK509">
        <v>63</v>
      </c>
      <c r="AL509">
        <v>67</v>
      </c>
      <c r="AM509">
        <v>71</v>
      </c>
      <c r="AN509">
        <v>70</v>
      </c>
      <c r="AO509">
        <v>63</v>
      </c>
      <c r="AP509">
        <v>66</v>
      </c>
      <c r="AQ509">
        <v>62</v>
      </c>
      <c r="AR509">
        <v>58</v>
      </c>
      <c r="AS509">
        <v>58</v>
      </c>
      <c r="AT509">
        <v>68</v>
      </c>
      <c r="AU509">
        <v>67</v>
      </c>
      <c r="AV509">
        <v>66</v>
      </c>
      <c r="AW509">
        <v>70</v>
      </c>
      <c r="AX509">
        <v>75</v>
      </c>
      <c r="AY509">
        <v>71</v>
      </c>
      <c r="AZ509">
        <v>68</v>
      </c>
      <c r="BA509">
        <v>70</v>
      </c>
      <c r="BB509">
        <v>69</v>
      </c>
      <c r="BC509">
        <v>70</v>
      </c>
    </row>
    <row r="510" spans="1:55" x14ac:dyDescent="0.25">
      <c r="A510" t="s">
        <v>4144</v>
      </c>
      <c r="B510" t="s">
        <v>151</v>
      </c>
      <c r="C510" t="s">
        <v>256</v>
      </c>
      <c r="D510">
        <v>409</v>
      </c>
      <c r="E510">
        <v>77.367000000000004</v>
      </c>
      <c r="G510">
        <v>69</v>
      </c>
      <c r="H510">
        <v>72</v>
      </c>
      <c r="I510">
        <v>71</v>
      </c>
      <c r="J510">
        <v>83</v>
      </c>
      <c r="K510">
        <v>80</v>
      </c>
      <c r="L510">
        <v>72</v>
      </c>
      <c r="M510">
        <v>79</v>
      </c>
      <c r="N510">
        <v>80</v>
      </c>
      <c r="O510">
        <v>77</v>
      </c>
      <c r="P510">
        <v>76</v>
      </c>
      <c r="Q510">
        <v>77</v>
      </c>
      <c r="R510">
        <v>77</v>
      </c>
      <c r="S510">
        <v>81</v>
      </c>
      <c r="T510">
        <v>80</v>
      </c>
      <c r="U510">
        <v>82</v>
      </c>
      <c r="V510">
        <v>81</v>
      </c>
      <c r="W510">
        <v>85</v>
      </c>
      <c r="X510">
        <v>85</v>
      </c>
      <c r="Y510">
        <v>82</v>
      </c>
      <c r="Z510">
        <v>85</v>
      </c>
      <c r="AA510">
        <v>83</v>
      </c>
      <c r="AB510">
        <v>82</v>
      </c>
      <c r="AC510">
        <v>78</v>
      </c>
      <c r="AD510">
        <v>77</v>
      </c>
      <c r="AE510">
        <v>81</v>
      </c>
      <c r="AF510">
        <v>79</v>
      </c>
      <c r="AG510">
        <v>77</v>
      </c>
      <c r="AH510">
        <v>83</v>
      </c>
      <c r="AI510">
        <v>82</v>
      </c>
      <c r="AJ510">
        <v>84</v>
      </c>
      <c r="AK510">
        <v>72</v>
      </c>
      <c r="AL510">
        <v>77</v>
      </c>
      <c r="AM510">
        <v>76</v>
      </c>
      <c r="AN510">
        <v>77</v>
      </c>
      <c r="AO510">
        <v>71</v>
      </c>
      <c r="AP510">
        <v>73</v>
      </c>
      <c r="AQ510">
        <v>70</v>
      </c>
      <c r="AR510">
        <v>63</v>
      </c>
      <c r="AS510">
        <v>64</v>
      </c>
      <c r="AT510">
        <v>73</v>
      </c>
      <c r="AU510">
        <v>75</v>
      </c>
      <c r="AV510">
        <v>71</v>
      </c>
      <c r="AW510">
        <v>77</v>
      </c>
      <c r="AX510">
        <v>81</v>
      </c>
      <c r="AY510">
        <v>80</v>
      </c>
      <c r="AZ510">
        <v>76</v>
      </c>
      <c r="BA510">
        <v>79</v>
      </c>
      <c r="BB510">
        <v>80</v>
      </c>
      <c r="BC510">
        <v>76</v>
      </c>
    </row>
    <row r="511" spans="1:55" x14ac:dyDescent="0.25">
      <c r="A511" t="s">
        <v>4145</v>
      </c>
      <c r="B511" t="s">
        <v>152</v>
      </c>
      <c r="C511" t="s">
        <v>256</v>
      </c>
      <c r="D511">
        <v>57</v>
      </c>
      <c r="E511">
        <v>64.591999999999999</v>
      </c>
      <c r="G511">
        <v>64</v>
      </c>
      <c r="H511">
        <v>64</v>
      </c>
      <c r="I511">
        <v>68</v>
      </c>
      <c r="J511">
        <v>64</v>
      </c>
      <c r="K511">
        <v>73</v>
      </c>
      <c r="L511">
        <v>60</v>
      </c>
      <c r="M511">
        <v>64</v>
      </c>
      <c r="N511">
        <v>71</v>
      </c>
      <c r="O511">
        <v>65</v>
      </c>
      <c r="P511">
        <v>58</v>
      </c>
      <c r="Q511">
        <v>66</v>
      </c>
      <c r="R511">
        <v>71</v>
      </c>
      <c r="S511">
        <v>63</v>
      </c>
      <c r="T511">
        <v>75</v>
      </c>
      <c r="U511">
        <v>67</v>
      </c>
      <c r="V511">
        <v>65</v>
      </c>
      <c r="W511">
        <v>72</v>
      </c>
      <c r="X511">
        <v>71</v>
      </c>
      <c r="Y511">
        <v>67</v>
      </c>
      <c r="Z511">
        <v>71</v>
      </c>
      <c r="AA511">
        <v>74</v>
      </c>
      <c r="AB511">
        <v>68</v>
      </c>
      <c r="AC511">
        <v>64</v>
      </c>
      <c r="AD511">
        <v>61</v>
      </c>
      <c r="AE511">
        <v>63</v>
      </c>
      <c r="AF511">
        <v>63</v>
      </c>
      <c r="AG511">
        <v>67</v>
      </c>
      <c r="AH511">
        <v>57</v>
      </c>
      <c r="AI511">
        <v>73</v>
      </c>
      <c r="AJ511">
        <v>76</v>
      </c>
      <c r="AK511">
        <v>57</v>
      </c>
      <c r="AL511">
        <v>60</v>
      </c>
      <c r="AM511">
        <v>74</v>
      </c>
      <c r="AN511">
        <v>71</v>
      </c>
      <c r="AO511">
        <v>54</v>
      </c>
      <c r="AP511">
        <v>62</v>
      </c>
      <c r="AQ511">
        <v>49</v>
      </c>
      <c r="AR511">
        <v>53</v>
      </c>
      <c r="AS511">
        <v>50</v>
      </c>
      <c r="AT511">
        <v>61</v>
      </c>
      <c r="AU511">
        <v>64</v>
      </c>
      <c r="AV511">
        <v>60</v>
      </c>
      <c r="AW511">
        <v>65</v>
      </c>
      <c r="AX511">
        <v>76</v>
      </c>
      <c r="AY511">
        <v>55</v>
      </c>
      <c r="AZ511">
        <v>65</v>
      </c>
      <c r="BA511">
        <v>56</v>
      </c>
      <c r="BB511">
        <v>68</v>
      </c>
      <c r="BC511">
        <v>60</v>
      </c>
    </row>
    <row r="512" spans="1:55" x14ac:dyDescent="0.25">
      <c r="A512" t="s">
        <v>4146</v>
      </c>
      <c r="B512" t="s">
        <v>153</v>
      </c>
      <c r="C512" t="s">
        <v>256</v>
      </c>
      <c r="D512">
        <v>968</v>
      </c>
      <c r="E512">
        <v>54.713999999999999</v>
      </c>
      <c r="G512">
        <v>51</v>
      </c>
      <c r="H512">
        <v>49</v>
      </c>
      <c r="I512">
        <v>49</v>
      </c>
      <c r="J512">
        <v>52</v>
      </c>
      <c r="K512">
        <v>52</v>
      </c>
      <c r="L512">
        <v>44</v>
      </c>
      <c r="M512">
        <v>52</v>
      </c>
      <c r="N512">
        <v>50</v>
      </c>
      <c r="O512">
        <v>52</v>
      </c>
      <c r="P512">
        <v>48</v>
      </c>
      <c r="Q512">
        <v>54</v>
      </c>
      <c r="R512">
        <v>49</v>
      </c>
      <c r="S512">
        <v>55</v>
      </c>
      <c r="T512">
        <v>55</v>
      </c>
      <c r="U512">
        <v>55</v>
      </c>
      <c r="V512">
        <v>55</v>
      </c>
      <c r="W512">
        <v>57</v>
      </c>
      <c r="X512">
        <v>58</v>
      </c>
      <c r="Y512">
        <v>50</v>
      </c>
      <c r="Z512">
        <v>56</v>
      </c>
      <c r="AA512">
        <v>53</v>
      </c>
      <c r="AB512">
        <v>47</v>
      </c>
      <c r="AC512">
        <v>49</v>
      </c>
      <c r="AD512">
        <v>46</v>
      </c>
      <c r="AE512">
        <v>49</v>
      </c>
      <c r="AF512">
        <v>51</v>
      </c>
      <c r="AG512">
        <v>52</v>
      </c>
      <c r="AH512">
        <v>55</v>
      </c>
      <c r="AI512">
        <v>56</v>
      </c>
      <c r="AJ512">
        <v>62</v>
      </c>
      <c r="AK512">
        <v>54</v>
      </c>
      <c r="AL512">
        <v>54</v>
      </c>
      <c r="AM512">
        <v>59</v>
      </c>
      <c r="AN512">
        <v>53</v>
      </c>
      <c r="AO512">
        <v>48</v>
      </c>
      <c r="AP512">
        <v>52</v>
      </c>
      <c r="AQ512">
        <v>55</v>
      </c>
      <c r="AR512">
        <v>50</v>
      </c>
      <c r="AS512">
        <v>59</v>
      </c>
      <c r="AT512">
        <v>63</v>
      </c>
      <c r="AU512">
        <v>61</v>
      </c>
      <c r="AV512">
        <v>62</v>
      </c>
      <c r="AW512">
        <v>63</v>
      </c>
      <c r="AX512">
        <v>66</v>
      </c>
      <c r="AY512">
        <v>68</v>
      </c>
      <c r="AZ512">
        <v>61</v>
      </c>
      <c r="BA512">
        <v>62</v>
      </c>
      <c r="BB512">
        <v>62</v>
      </c>
      <c r="BC512">
        <v>66</v>
      </c>
    </row>
    <row r="513" spans="1:55" x14ac:dyDescent="0.25">
      <c r="A513" t="s">
        <v>4147</v>
      </c>
      <c r="B513" t="s">
        <v>154</v>
      </c>
      <c r="C513" t="s">
        <v>256</v>
      </c>
      <c r="D513">
        <v>109</v>
      </c>
      <c r="E513">
        <v>43.673000000000002</v>
      </c>
      <c r="G513">
        <v>41</v>
      </c>
      <c r="H513">
        <v>35</v>
      </c>
      <c r="I513">
        <v>38</v>
      </c>
      <c r="J513">
        <v>32</v>
      </c>
      <c r="K513">
        <v>41</v>
      </c>
      <c r="L513">
        <v>36</v>
      </c>
      <c r="M513">
        <v>28</v>
      </c>
      <c r="N513">
        <v>34</v>
      </c>
      <c r="O513">
        <v>39</v>
      </c>
      <c r="P513">
        <v>38</v>
      </c>
      <c r="Q513">
        <v>33</v>
      </c>
      <c r="R513">
        <v>35</v>
      </c>
      <c r="S513">
        <v>40</v>
      </c>
      <c r="T513">
        <v>41</v>
      </c>
      <c r="U513">
        <v>36</v>
      </c>
      <c r="V513">
        <v>36</v>
      </c>
      <c r="W513">
        <v>32</v>
      </c>
      <c r="X513">
        <v>43</v>
      </c>
      <c r="Y513">
        <v>34</v>
      </c>
      <c r="Z513">
        <v>46</v>
      </c>
      <c r="AA513">
        <v>46</v>
      </c>
      <c r="AB513">
        <v>41</v>
      </c>
      <c r="AC513">
        <v>39</v>
      </c>
      <c r="AD513">
        <v>37</v>
      </c>
      <c r="AE513">
        <v>45</v>
      </c>
      <c r="AF513">
        <v>49</v>
      </c>
      <c r="AG513">
        <v>42</v>
      </c>
      <c r="AH513">
        <v>52</v>
      </c>
      <c r="AI513">
        <v>46</v>
      </c>
      <c r="AJ513">
        <v>59</v>
      </c>
      <c r="AK513">
        <v>44</v>
      </c>
      <c r="AL513">
        <v>47</v>
      </c>
      <c r="AM513">
        <v>52</v>
      </c>
      <c r="AN513">
        <v>41</v>
      </c>
      <c r="AO513">
        <v>40</v>
      </c>
      <c r="AP513">
        <v>38</v>
      </c>
      <c r="AQ513">
        <v>41</v>
      </c>
      <c r="AR513">
        <v>39</v>
      </c>
      <c r="AS513">
        <v>48</v>
      </c>
      <c r="AT513">
        <v>43</v>
      </c>
      <c r="AU513">
        <v>55</v>
      </c>
      <c r="AV513">
        <v>48</v>
      </c>
      <c r="AW513">
        <v>54</v>
      </c>
      <c r="AX513">
        <v>68</v>
      </c>
      <c r="AY513">
        <v>61</v>
      </c>
      <c r="AZ513">
        <v>58</v>
      </c>
      <c r="BA513">
        <v>62</v>
      </c>
      <c r="BB513">
        <v>50</v>
      </c>
      <c r="BC513">
        <v>57</v>
      </c>
    </row>
    <row r="514" spans="1:55" x14ac:dyDescent="0.25">
      <c r="A514" t="s">
        <v>4148</v>
      </c>
      <c r="B514" t="s">
        <v>155</v>
      </c>
      <c r="C514" t="s">
        <v>256</v>
      </c>
      <c r="D514">
        <v>248</v>
      </c>
      <c r="E514">
        <v>40.061</v>
      </c>
      <c r="G514">
        <v>32</v>
      </c>
      <c r="H514">
        <v>38</v>
      </c>
      <c r="I514">
        <v>32</v>
      </c>
      <c r="J514">
        <v>45</v>
      </c>
      <c r="K514">
        <v>43</v>
      </c>
      <c r="L514">
        <v>31</v>
      </c>
      <c r="M514">
        <v>40</v>
      </c>
      <c r="N514">
        <v>38</v>
      </c>
      <c r="O514">
        <v>36</v>
      </c>
      <c r="P514">
        <v>33</v>
      </c>
      <c r="Q514">
        <v>33</v>
      </c>
      <c r="R514">
        <v>31</v>
      </c>
      <c r="S514">
        <v>35</v>
      </c>
      <c r="T514">
        <v>35</v>
      </c>
      <c r="U514">
        <v>28</v>
      </c>
      <c r="V514">
        <v>35</v>
      </c>
      <c r="W514">
        <v>41</v>
      </c>
      <c r="X514">
        <v>35</v>
      </c>
      <c r="Y514">
        <v>31</v>
      </c>
      <c r="Z514">
        <v>39</v>
      </c>
      <c r="AA514">
        <v>31</v>
      </c>
      <c r="AB514">
        <v>30</v>
      </c>
      <c r="AC514">
        <v>37</v>
      </c>
      <c r="AD514">
        <v>32</v>
      </c>
      <c r="AE514">
        <v>31</v>
      </c>
      <c r="AF514">
        <v>32</v>
      </c>
      <c r="AG514">
        <v>33</v>
      </c>
      <c r="AH514">
        <v>37</v>
      </c>
      <c r="AI514">
        <v>37</v>
      </c>
      <c r="AJ514">
        <v>55</v>
      </c>
      <c r="AK514">
        <v>41</v>
      </c>
      <c r="AL514">
        <v>45</v>
      </c>
      <c r="AM514">
        <v>47</v>
      </c>
      <c r="AN514">
        <v>38</v>
      </c>
      <c r="AO514">
        <v>36</v>
      </c>
      <c r="AP514">
        <v>39</v>
      </c>
      <c r="AQ514">
        <v>45</v>
      </c>
      <c r="AR514">
        <v>36</v>
      </c>
      <c r="AS514">
        <v>37</v>
      </c>
      <c r="AT514">
        <v>47</v>
      </c>
      <c r="AU514">
        <v>50</v>
      </c>
      <c r="AV514">
        <v>50</v>
      </c>
      <c r="AW514">
        <v>56</v>
      </c>
      <c r="AX514">
        <v>58</v>
      </c>
      <c r="AY514">
        <v>58</v>
      </c>
      <c r="AZ514">
        <v>52</v>
      </c>
      <c r="BA514">
        <v>54</v>
      </c>
      <c r="BB514">
        <v>54</v>
      </c>
      <c r="BC514">
        <v>54</v>
      </c>
    </row>
    <row r="515" spans="1:55" x14ac:dyDescent="0.25">
      <c r="A515" t="s">
        <v>4149</v>
      </c>
      <c r="B515" t="s">
        <v>156</v>
      </c>
      <c r="C515" t="s">
        <v>256</v>
      </c>
      <c r="D515">
        <v>127</v>
      </c>
      <c r="E515">
        <v>39.244999999999997</v>
      </c>
      <c r="G515">
        <v>42</v>
      </c>
      <c r="H515">
        <v>36</v>
      </c>
      <c r="I515">
        <v>31</v>
      </c>
      <c r="J515">
        <v>35</v>
      </c>
      <c r="K515">
        <v>37</v>
      </c>
      <c r="L515">
        <v>25</v>
      </c>
      <c r="M515">
        <v>36</v>
      </c>
      <c r="N515">
        <v>33</v>
      </c>
      <c r="O515">
        <v>33</v>
      </c>
      <c r="P515">
        <v>28</v>
      </c>
      <c r="Q515">
        <v>35</v>
      </c>
      <c r="R515">
        <v>30</v>
      </c>
      <c r="S515">
        <v>31</v>
      </c>
      <c r="T515">
        <v>36</v>
      </c>
      <c r="U515">
        <v>38</v>
      </c>
      <c r="V515">
        <v>32</v>
      </c>
      <c r="W515">
        <v>36</v>
      </c>
      <c r="X515">
        <v>39</v>
      </c>
      <c r="Y515">
        <v>26</v>
      </c>
      <c r="Z515">
        <v>34</v>
      </c>
      <c r="AA515">
        <v>24</v>
      </c>
      <c r="AB515">
        <v>30</v>
      </c>
      <c r="AC515">
        <v>28</v>
      </c>
      <c r="AD515">
        <v>29</v>
      </c>
      <c r="AE515">
        <v>29</v>
      </c>
      <c r="AF515">
        <v>32</v>
      </c>
      <c r="AG515">
        <v>41</v>
      </c>
      <c r="AH515">
        <v>36</v>
      </c>
      <c r="AI515">
        <v>42</v>
      </c>
      <c r="AJ515">
        <v>59</v>
      </c>
      <c r="AK515">
        <v>38</v>
      </c>
      <c r="AL515">
        <v>43</v>
      </c>
      <c r="AM515">
        <v>47</v>
      </c>
      <c r="AN515">
        <v>41</v>
      </c>
      <c r="AO515">
        <v>31</v>
      </c>
      <c r="AP515">
        <v>38</v>
      </c>
      <c r="AQ515">
        <v>44</v>
      </c>
      <c r="AR515">
        <v>40</v>
      </c>
      <c r="AS515">
        <v>41</v>
      </c>
      <c r="AT515">
        <v>49</v>
      </c>
      <c r="AU515">
        <v>57</v>
      </c>
      <c r="AV515">
        <v>46</v>
      </c>
      <c r="AW515">
        <v>50</v>
      </c>
      <c r="AX515">
        <v>57</v>
      </c>
      <c r="AY515">
        <v>59</v>
      </c>
      <c r="AZ515">
        <v>49</v>
      </c>
      <c r="BA515">
        <v>59</v>
      </c>
      <c r="BB515">
        <v>54</v>
      </c>
      <c r="BC515">
        <v>57</v>
      </c>
    </row>
    <row r="516" spans="1:55" x14ac:dyDescent="0.25">
      <c r="A516" t="s">
        <v>4150</v>
      </c>
      <c r="B516" t="s">
        <v>157</v>
      </c>
      <c r="C516" t="s">
        <v>256</v>
      </c>
      <c r="D516">
        <v>112</v>
      </c>
      <c r="E516">
        <v>54.040999999999997</v>
      </c>
      <c r="G516">
        <v>47</v>
      </c>
      <c r="H516">
        <v>44</v>
      </c>
      <c r="I516">
        <v>47</v>
      </c>
      <c r="J516">
        <v>56</v>
      </c>
      <c r="K516">
        <v>46</v>
      </c>
      <c r="L516">
        <v>53</v>
      </c>
      <c r="M516">
        <v>57</v>
      </c>
      <c r="N516">
        <v>54</v>
      </c>
      <c r="O516">
        <v>59</v>
      </c>
      <c r="P516">
        <v>49</v>
      </c>
      <c r="Q516">
        <v>64</v>
      </c>
      <c r="R516">
        <v>56</v>
      </c>
      <c r="S516">
        <v>59</v>
      </c>
      <c r="T516">
        <v>65</v>
      </c>
      <c r="U516">
        <v>62</v>
      </c>
      <c r="V516">
        <v>54</v>
      </c>
      <c r="W516">
        <v>62</v>
      </c>
      <c r="X516">
        <v>60</v>
      </c>
      <c r="Y516">
        <v>59</v>
      </c>
      <c r="Z516">
        <v>68</v>
      </c>
      <c r="AA516">
        <v>55</v>
      </c>
      <c r="AB516">
        <v>61</v>
      </c>
      <c r="AC516">
        <v>54</v>
      </c>
      <c r="AD516">
        <v>52</v>
      </c>
      <c r="AE516">
        <v>46</v>
      </c>
      <c r="AF516">
        <v>50</v>
      </c>
      <c r="AG516">
        <v>55</v>
      </c>
      <c r="AH516">
        <v>60</v>
      </c>
      <c r="AI516">
        <v>55</v>
      </c>
      <c r="AJ516">
        <v>62</v>
      </c>
      <c r="AK516">
        <v>52</v>
      </c>
      <c r="AL516">
        <v>53</v>
      </c>
      <c r="AM516">
        <v>56</v>
      </c>
      <c r="AN516">
        <v>54</v>
      </c>
      <c r="AO516">
        <v>44</v>
      </c>
      <c r="AP516">
        <v>42</v>
      </c>
      <c r="AQ516">
        <v>49</v>
      </c>
      <c r="AR516">
        <v>42</v>
      </c>
      <c r="AS516">
        <v>48</v>
      </c>
      <c r="AT516">
        <v>50</v>
      </c>
      <c r="AU516">
        <v>56</v>
      </c>
      <c r="AV516">
        <v>45</v>
      </c>
      <c r="AW516">
        <v>56</v>
      </c>
      <c r="AX516">
        <v>55</v>
      </c>
      <c r="AY516">
        <v>62</v>
      </c>
      <c r="AZ516">
        <v>58</v>
      </c>
      <c r="BA516">
        <v>54</v>
      </c>
      <c r="BB516">
        <v>52</v>
      </c>
      <c r="BC516">
        <v>49</v>
      </c>
    </row>
    <row r="517" spans="1:55" x14ac:dyDescent="0.25">
      <c r="A517" t="s">
        <v>4151</v>
      </c>
      <c r="B517" t="s">
        <v>158</v>
      </c>
      <c r="C517" t="s">
        <v>256</v>
      </c>
      <c r="D517">
        <v>308</v>
      </c>
      <c r="E517">
        <v>45.551000000000002</v>
      </c>
      <c r="G517">
        <v>48</v>
      </c>
      <c r="H517">
        <v>44</v>
      </c>
      <c r="I517">
        <v>45</v>
      </c>
      <c r="J517">
        <v>48</v>
      </c>
      <c r="K517">
        <v>49</v>
      </c>
      <c r="L517">
        <v>36</v>
      </c>
      <c r="M517">
        <v>41</v>
      </c>
      <c r="N517">
        <v>40</v>
      </c>
      <c r="O517">
        <v>41</v>
      </c>
      <c r="P517">
        <v>42</v>
      </c>
      <c r="Q517">
        <v>37</v>
      </c>
      <c r="R517">
        <v>38</v>
      </c>
      <c r="S517">
        <v>45</v>
      </c>
      <c r="T517">
        <v>41</v>
      </c>
      <c r="U517">
        <v>44</v>
      </c>
      <c r="V517">
        <v>42</v>
      </c>
      <c r="W517">
        <v>51</v>
      </c>
      <c r="X517">
        <v>46</v>
      </c>
      <c r="Y517">
        <v>48</v>
      </c>
      <c r="Z517">
        <v>47</v>
      </c>
      <c r="AA517">
        <v>43</v>
      </c>
      <c r="AB517">
        <v>46</v>
      </c>
      <c r="AC517">
        <v>40</v>
      </c>
      <c r="AD517">
        <v>44</v>
      </c>
      <c r="AE517">
        <v>40</v>
      </c>
      <c r="AF517">
        <v>35</v>
      </c>
      <c r="AG517">
        <v>39</v>
      </c>
      <c r="AH517">
        <v>41</v>
      </c>
      <c r="AI517">
        <v>43</v>
      </c>
      <c r="AJ517">
        <v>54</v>
      </c>
      <c r="AK517">
        <v>50</v>
      </c>
      <c r="AL517">
        <v>48</v>
      </c>
      <c r="AM517">
        <v>55</v>
      </c>
      <c r="AN517">
        <v>49</v>
      </c>
      <c r="AO517">
        <v>43</v>
      </c>
      <c r="AP517">
        <v>49</v>
      </c>
      <c r="AQ517">
        <v>46</v>
      </c>
      <c r="AR517">
        <v>43</v>
      </c>
      <c r="AS517">
        <v>41</v>
      </c>
      <c r="AT517">
        <v>41</v>
      </c>
      <c r="AU517">
        <v>49</v>
      </c>
      <c r="AV517">
        <v>48</v>
      </c>
      <c r="AW517">
        <v>49</v>
      </c>
      <c r="AX517">
        <v>48</v>
      </c>
      <c r="AY517">
        <v>57</v>
      </c>
      <c r="AZ517">
        <v>54</v>
      </c>
      <c r="BA517">
        <v>52</v>
      </c>
      <c r="BB517">
        <v>58</v>
      </c>
      <c r="BC517">
        <v>54</v>
      </c>
    </row>
    <row r="518" spans="1:55" x14ac:dyDescent="0.25">
      <c r="A518" t="s">
        <v>4152</v>
      </c>
      <c r="B518" t="s">
        <v>159</v>
      </c>
      <c r="C518" t="s">
        <v>256</v>
      </c>
      <c r="D518">
        <v>231</v>
      </c>
      <c r="E518">
        <v>35.898000000000003</v>
      </c>
      <c r="G518">
        <v>30</v>
      </c>
      <c r="H518">
        <v>38</v>
      </c>
      <c r="I518">
        <v>31</v>
      </c>
      <c r="J518">
        <v>45</v>
      </c>
      <c r="K518">
        <v>40</v>
      </c>
      <c r="L518">
        <v>34</v>
      </c>
      <c r="M518">
        <v>37</v>
      </c>
      <c r="N518">
        <v>39</v>
      </c>
      <c r="O518">
        <v>34</v>
      </c>
      <c r="P518">
        <v>30</v>
      </c>
      <c r="Q518">
        <v>33</v>
      </c>
      <c r="R518">
        <v>33</v>
      </c>
      <c r="S518">
        <v>37</v>
      </c>
      <c r="T518">
        <v>29</v>
      </c>
      <c r="U518">
        <v>35</v>
      </c>
      <c r="V518">
        <v>34</v>
      </c>
      <c r="W518">
        <v>32</v>
      </c>
      <c r="X518">
        <v>29</v>
      </c>
      <c r="Y518">
        <v>26</v>
      </c>
      <c r="Z518">
        <v>29</v>
      </c>
      <c r="AA518">
        <v>31</v>
      </c>
      <c r="AB518">
        <v>30</v>
      </c>
      <c r="AC518">
        <v>26</v>
      </c>
      <c r="AD518">
        <v>27</v>
      </c>
      <c r="AE518">
        <v>26</v>
      </c>
      <c r="AF518">
        <v>28</v>
      </c>
      <c r="AG518">
        <v>34</v>
      </c>
      <c r="AH518">
        <v>33</v>
      </c>
      <c r="AI518">
        <v>35</v>
      </c>
      <c r="AJ518">
        <v>45</v>
      </c>
      <c r="AK518">
        <v>33</v>
      </c>
      <c r="AL518">
        <v>41</v>
      </c>
      <c r="AM518">
        <v>43</v>
      </c>
      <c r="AN518">
        <v>36</v>
      </c>
      <c r="AO518">
        <v>31</v>
      </c>
      <c r="AP518">
        <v>31</v>
      </c>
      <c r="AQ518">
        <v>35</v>
      </c>
      <c r="AR518">
        <v>31</v>
      </c>
      <c r="AS518">
        <v>29</v>
      </c>
      <c r="AT518">
        <v>40</v>
      </c>
      <c r="AU518">
        <v>43</v>
      </c>
      <c r="AV518">
        <v>44</v>
      </c>
      <c r="AW518">
        <v>46</v>
      </c>
      <c r="AX518">
        <v>47</v>
      </c>
      <c r="AY518">
        <v>45</v>
      </c>
      <c r="AZ518">
        <v>49</v>
      </c>
      <c r="BA518">
        <v>48</v>
      </c>
      <c r="BB518">
        <v>47</v>
      </c>
      <c r="BC518">
        <v>50</v>
      </c>
    </row>
    <row r="519" spans="1:55" x14ac:dyDescent="0.25">
      <c r="A519" t="s">
        <v>4153</v>
      </c>
      <c r="B519" t="s">
        <v>160</v>
      </c>
      <c r="C519" t="s">
        <v>256</v>
      </c>
      <c r="D519">
        <v>723</v>
      </c>
      <c r="E519">
        <v>46.02</v>
      </c>
      <c r="G519">
        <v>43</v>
      </c>
      <c r="H519">
        <v>36</v>
      </c>
      <c r="I519">
        <v>39</v>
      </c>
      <c r="J519">
        <v>48</v>
      </c>
      <c r="K519">
        <v>49</v>
      </c>
      <c r="L519">
        <v>34</v>
      </c>
      <c r="M519">
        <v>40</v>
      </c>
      <c r="N519">
        <v>39</v>
      </c>
      <c r="O519">
        <v>39</v>
      </c>
      <c r="P519">
        <v>40</v>
      </c>
      <c r="Q519">
        <v>40</v>
      </c>
      <c r="R519">
        <v>44</v>
      </c>
      <c r="S519">
        <v>41</v>
      </c>
      <c r="T519">
        <v>45</v>
      </c>
      <c r="U519">
        <v>40</v>
      </c>
      <c r="V519">
        <v>44</v>
      </c>
      <c r="W519">
        <v>44</v>
      </c>
      <c r="X519">
        <v>40</v>
      </c>
      <c r="Y519">
        <v>35</v>
      </c>
      <c r="Z519">
        <v>42</v>
      </c>
      <c r="AA519">
        <v>39</v>
      </c>
      <c r="AB519">
        <v>40</v>
      </c>
      <c r="AC519">
        <v>40</v>
      </c>
      <c r="AD519">
        <v>39</v>
      </c>
      <c r="AE519">
        <v>40</v>
      </c>
      <c r="AF519">
        <v>43</v>
      </c>
      <c r="AG519">
        <v>39</v>
      </c>
      <c r="AH519">
        <v>49</v>
      </c>
      <c r="AI519">
        <v>46</v>
      </c>
      <c r="AJ519">
        <v>53</v>
      </c>
      <c r="AK519">
        <v>46</v>
      </c>
      <c r="AL519">
        <v>50</v>
      </c>
      <c r="AM519">
        <v>51</v>
      </c>
      <c r="AN519">
        <v>45</v>
      </c>
      <c r="AO519">
        <v>41</v>
      </c>
      <c r="AP519">
        <v>44</v>
      </c>
      <c r="AQ519">
        <v>52</v>
      </c>
      <c r="AR519">
        <v>42</v>
      </c>
      <c r="AS519">
        <v>43</v>
      </c>
      <c r="AT519">
        <v>54</v>
      </c>
      <c r="AU519">
        <v>59</v>
      </c>
      <c r="AV519">
        <v>54</v>
      </c>
      <c r="AW519">
        <v>58</v>
      </c>
      <c r="AX519">
        <v>61</v>
      </c>
      <c r="AY519">
        <v>60</v>
      </c>
      <c r="AZ519">
        <v>56</v>
      </c>
      <c r="BA519">
        <v>63</v>
      </c>
      <c r="BB519">
        <v>64</v>
      </c>
      <c r="BC519">
        <v>62</v>
      </c>
    </row>
    <row r="520" spans="1:55" x14ac:dyDescent="0.25">
      <c r="A520" t="s">
        <v>4154</v>
      </c>
      <c r="B520" t="s">
        <v>244</v>
      </c>
      <c r="C520" t="s">
        <v>256</v>
      </c>
      <c r="D520">
        <v>838</v>
      </c>
      <c r="E520">
        <v>43.305999999999997</v>
      </c>
      <c r="G520">
        <v>37</v>
      </c>
      <c r="H520">
        <v>40</v>
      </c>
      <c r="I520">
        <v>38</v>
      </c>
      <c r="J520">
        <v>47</v>
      </c>
      <c r="K520">
        <v>44</v>
      </c>
      <c r="L520">
        <v>38</v>
      </c>
      <c r="M520">
        <v>42</v>
      </c>
      <c r="N520">
        <v>39</v>
      </c>
      <c r="O520">
        <v>38</v>
      </c>
      <c r="P520">
        <v>36</v>
      </c>
      <c r="Q520">
        <v>39</v>
      </c>
      <c r="R520">
        <v>40</v>
      </c>
      <c r="S520">
        <v>42</v>
      </c>
      <c r="T520">
        <v>41</v>
      </c>
      <c r="U520">
        <v>37</v>
      </c>
      <c r="V520">
        <v>38</v>
      </c>
      <c r="W520">
        <v>41</v>
      </c>
      <c r="X520">
        <v>40</v>
      </c>
      <c r="Y520">
        <v>34</v>
      </c>
      <c r="Z520">
        <v>42</v>
      </c>
      <c r="AA520">
        <v>39</v>
      </c>
      <c r="AB520">
        <v>36</v>
      </c>
      <c r="AC520">
        <v>34</v>
      </c>
      <c r="AD520">
        <v>36</v>
      </c>
      <c r="AE520">
        <v>34</v>
      </c>
      <c r="AF520">
        <v>39</v>
      </c>
      <c r="AG520">
        <v>36</v>
      </c>
      <c r="AH520">
        <v>41</v>
      </c>
      <c r="AI520">
        <v>42</v>
      </c>
      <c r="AJ520">
        <v>51</v>
      </c>
      <c r="AK520">
        <v>40</v>
      </c>
      <c r="AL520">
        <v>44</v>
      </c>
      <c r="AM520">
        <v>45</v>
      </c>
      <c r="AN520">
        <v>41</v>
      </c>
      <c r="AO520">
        <v>37</v>
      </c>
      <c r="AP520">
        <v>42</v>
      </c>
      <c r="AQ520">
        <v>45</v>
      </c>
      <c r="AR520">
        <v>42</v>
      </c>
      <c r="AS520">
        <v>44</v>
      </c>
      <c r="AT520">
        <v>50</v>
      </c>
      <c r="AU520">
        <v>55</v>
      </c>
      <c r="AV520">
        <v>54</v>
      </c>
      <c r="AW520">
        <v>55</v>
      </c>
      <c r="AX520">
        <v>60</v>
      </c>
      <c r="AY520">
        <v>56</v>
      </c>
      <c r="AZ520">
        <v>56</v>
      </c>
      <c r="BA520">
        <v>57</v>
      </c>
      <c r="BB520">
        <v>60</v>
      </c>
      <c r="BC520">
        <v>58</v>
      </c>
    </row>
    <row r="521" spans="1:55" x14ac:dyDescent="0.25">
      <c r="A521" t="s">
        <v>4155</v>
      </c>
      <c r="B521" t="s">
        <v>245</v>
      </c>
      <c r="C521" t="s">
        <v>256</v>
      </c>
      <c r="D521">
        <v>180</v>
      </c>
      <c r="E521">
        <v>47.694000000000003</v>
      </c>
      <c r="G521">
        <v>37</v>
      </c>
      <c r="H521">
        <v>41</v>
      </c>
      <c r="I521">
        <v>36</v>
      </c>
      <c r="J521">
        <v>52</v>
      </c>
      <c r="K521">
        <v>43</v>
      </c>
      <c r="L521">
        <v>41</v>
      </c>
      <c r="M521">
        <v>49</v>
      </c>
      <c r="N521">
        <v>39</v>
      </c>
      <c r="O521">
        <v>39</v>
      </c>
      <c r="P521">
        <v>43</v>
      </c>
      <c r="Q521">
        <v>45</v>
      </c>
      <c r="R521">
        <v>39</v>
      </c>
      <c r="S521">
        <v>50</v>
      </c>
      <c r="T521">
        <v>47</v>
      </c>
      <c r="U521">
        <v>44</v>
      </c>
      <c r="V521">
        <v>50</v>
      </c>
      <c r="W521">
        <v>47</v>
      </c>
      <c r="X521">
        <v>48</v>
      </c>
      <c r="Y521">
        <v>37</v>
      </c>
      <c r="Z521">
        <v>44</v>
      </c>
      <c r="AA521">
        <v>42</v>
      </c>
      <c r="AB521">
        <v>36</v>
      </c>
      <c r="AC521">
        <v>50</v>
      </c>
      <c r="AD521">
        <v>42</v>
      </c>
      <c r="AE521">
        <v>45</v>
      </c>
      <c r="AF521">
        <v>42</v>
      </c>
      <c r="AG521">
        <v>45</v>
      </c>
      <c r="AH521">
        <v>53</v>
      </c>
      <c r="AI521">
        <v>47</v>
      </c>
      <c r="AJ521">
        <v>52</v>
      </c>
      <c r="AK521">
        <v>49</v>
      </c>
      <c r="AL521">
        <v>52</v>
      </c>
      <c r="AM521">
        <v>58</v>
      </c>
      <c r="AN521">
        <v>48</v>
      </c>
      <c r="AO521">
        <v>40</v>
      </c>
      <c r="AP521">
        <v>47</v>
      </c>
      <c r="AQ521">
        <v>49</v>
      </c>
      <c r="AR521">
        <v>46</v>
      </c>
      <c r="AS521">
        <v>46</v>
      </c>
      <c r="AT521">
        <v>54</v>
      </c>
      <c r="AU521">
        <v>53</v>
      </c>
      <c r="AV521">
        <v>55</v>
      </c>
      <c r="AW521">
        <v>54</v>
      </c>
      <c r="AX521">
        <v>63</v>
      </c>
      <c r="AY521">
        <v>64</v>
      </c>
      <c r="AZ521">
        <v>52</v>
      </c>
      <c r="BA521">
        <v>58</v>
      </c>
      <c r="BB521">
        <v>64</v>
      </c>
      <c r="BC521">
        <v>60</v>
      </c>
    </row>
    <row r="522" spans="1:55" x14ac:dyDescent="0.25">
      <c r="A522" t="s">
        <v>4156</v>
      </c>
      <c r="B522" t="s">
        <v>246</v>
      </c>
      <c r="C522" t="s">
        <v>256</v>
      </c>
      <c r="D522">
        <v>314</v>
      </c>
      <c r="E522">
        <v>44.591999999999999</v>
      </c>
      <c r="G522">
        <v>41</v>
      </c>
      <c r="H522">
        <v>35</v>
      </c>
      <c r="I522">
        <v>37</v>
      </c>
      <c r="J522">
        <v>43</v>
      </c>
      <c r="K522">
        <v>46</v>
      </c>
      <c r="L522">
        <v>38</v>
      </c>
      <c r="M522">
        <v>37</v>
      </c>
      <c r="N522">
        <v>43</v>
      </c>
      <c r="O522">
        <v>38</v>
      </c>
      <c r="P522">
        <v>36</v>
      </c>
      <c r="Q522">
        <v>37</v>
      </c>
      <c r="R522">
        <v>38</v>
      </c>
      <c r="S522">
        <v>43</v>
      </c>
      <c r="T522">
        <v>41</v>
      </c>
      <c r="U522">
        <v>43</v>
      </c>
      <c r="V522">
        <v>38</v>
      </c>
      <c r="W522">
        <v>44</v>
      </c>
      <c r="X522">
        <v>42</v>
      </c>
      <c r="Y522">
        <v>34</v>
      </c>
      <c r="Z522">
        <v>45</v>
      </c>
      <c r="AA522">
        <v>41</v>
      </c>
      <c r="AB522">
        <v>39</v>
      </c>
      <c r="AC522">
        <v>41</v>
      </c>
      <c r="AD522">
        <v>37</v>
      </c>
      <c r="AE522">
        <v>37</v>
      </c>
      <c r="AF522">
        <v>40</v>
      </c>
      <c r="AG522">
        <v>39</v>
      </c>
      <c r="AH522">
        <v>43</v>
      </c>
      <c r="AI522">
        <v>46</v>
      </c>
      <c r="AJ522">
        <v>52</v>
      </c>
      <c r="AK522">
        <v>46</v>
      </c>
      <c r="AL522">
        <v>51</v>
      </c>
      <c r="AM522">
        <v>53</v>
      </c>
      <c r="AN522">
        <v>47</v>
      </c>
      <c r="AO522">
        <v>46</v>
      </c>
      <c r="AP522">
        <v>46</v>
      </c>
      <c r="AQ522">
        <v>43</v>
      </c>
      <c r="AR522">
        <v>42</v>
      </c>
      <c r="AS522">
        <v>44</v>
      </c>
      <c r="AT522">
        <v>47</v>
      </c>
      <c r="AU522">
        <v>51</v>
      </c>
      <c r="AV522">
        <v>51</v>
      </c>
      <c r="AW522">
        <v>55</v>
      </c>
      <c r="AX522">
        <v>58</v>
      </c>
      <c r="AY522">
        <v>61</v>
      </c>
      <c r="AZ522">
        <v>58</v>
      </c>
      <c r="BA522">
        <v>58</v>
      </c>
      <c r="BB522">
        <v>57</v>
      </c>
      <c r="BC522">
        <v>57</v>
      </c>
    </row>
    <row r="523" spans="1:55" x14ac:dyDescent="0.25">
      <c r="A523" t="s">
        <v>4157</v>
      </c>
      <c r="B523" t="s">
        <v>164</v>
      </c>
      <c r="C523" t="s">
        <v>256</v>
      </c>
      <c r="D523">
        <v>61</v>
      </c>
      <c r="E523">
        <v>38.694000000000003</v>
      </c>
      <c r="G523">
        <v>42</v>
      </c>
      <c r="H523">
        <v>36</v>
      </c>
      <c r="I523">
        <v>39</v>
      </c>
      <c r="J523">
        <v>42</v>
      </c>
      <c r="K523">
        <v>34</v>
      </c>
      <c r="L523">
        <v>35</v>
      </c>
      <c r="M523">
        <v>38</v>
      </c>
      <c r="N523">
        <v>29</v>
      </c>
      <c r="O523">
        <v>38</v>
      </c>
      <c r="P523">
        <v>34</v>
      </c>
      <c r="Q523">
        <v>31</v>
      </c>
      <c r="R523">
        <v>37</v>
      </c>
      <c r="S523">
        <v>41</v>
      </c>
      <c r="T523">
        <v>27</v>
      </c>
      <c r="U523">
        <v>46</v>
      </c>
      <c r="V523">
        <v>42</v>
      </c>
      <c r="W523">
        <v>39</v>
      </c>
      <c r="X523">
        <v>44</v>
      </c>
      <c r="Y523">
        <v>19</v>
      </c>
      <c r="Z523">
        <v>36</v>
      </c>
      <c r="AA523">
        <v>55</v>
      </c>
      <c r="AB523">
        <v>27</v>
      </c>
      <c r="AC523">
        <v>28</v>
      </c>
      <c r="AD523">
        <v>38</v>
      </c>
      <c r="AE523">
        <v>30</v>
      </c>
      <c r="AF523">
        <v>36</v>
      </c>
      <c r="AG523">
        <v>23</v>
      </c>
      <c r="AH523">
        <v>39</v>
      </c>
      <c r="AI523">
        <v>35</v>
      </c>
      <c r="AJ523">
        <v>41</v>
      </c>
      <c r="AK523">
        <v>34</v>
      </c>
      <c r="AL523">
        <v>34</v>
      </c>
      <c r="AM523">
        <v>46</v>
      </c>
      <c r="AN523">
        <v>38</v>
      </c>
      <c r="AO523">
        <v>37</v>
      </c>
      <c r="AP523">
        <v>45</v>
      </c>
      <c r="AQ523">
        <v>43</v>
      </c>
      <c r="AR523">
        <v>30</v>
      </c>
      <c r="AS523">
        <v>46</v>
      </c>
      <c r="AT523">
        <v>39</v>
      </c>
      <c r="AU523">
        <v>49</v>
      </c>
      <c r="AV523">
        <v>44</v>
      </c>
      <c r="AW523">
        <v>52</v>
      </c>
      <c r="AX523">
        <v>46</v>
      </c>
      <c r="AY523">
        <v>46</v>
      </c>
      <c r="AZ523">
        <v>38</v>
      </c>
      <c r="BA523">
        <v>53</v>
      </c>
      <c r="BB523">
        <v>46</v>
      </c>
      <c r="BC523">
        <v>49</v>
      </c>
    </row>
    <row r="524" spans="1:55" x14ac:dyDescent="0.25">
      <c r="A524" t="s">
        <v>4158</v>
      </c>
      <c r="B524" t="s">
        <v>165</v>
      </c>
      <c r="C524" t="s">
        <v>256</v>
      </c>
      <c r="D524">
        <v>269</v>
      </c>
      <c r="E524">
        <v>40.122</v>
      </c>
      <c r="G524">
        <v>40</v>
      </c>
      <c r="H524">
        <v>29</v>
      </c>
      <c r="I524">
        <v>35</v>
      </c>
      <c r="J524">
        <v>42</v>
      </c>
      <c r="K524">
        <v>41</v>
      </c>
      <c r="L524">
        <v>35</v>
      </c>
      <c r="M524">
        <v>36</v>
      </c>
      <c r="N524">
        <v>34</v>
      </c>
      <c r="O524">
        <v>38</v>
      </c>
      <c r="P524">
        <v>40</v>
      </c>
      <c r="Q524">
        <v>35</v>
      </c>
      <c r="R524">
        <v>38</v>
      </c>
      <c r="S524">
        <v>38</v>
      </c>
      <c r="T524">
        <v>41</v>
      </c>
      <c r="U524">
        <v>42</v>
      </c>
      <c r="V524">
        <v>40</v>
      </c>
      <c r="W524">
        <v>43</v>
      </c>
      <c r="X524">
        <v>39</v>
      </c>
      <c r="Y524">
        <v>33</v>
      </c>
      <c r="Z524">
        <v>35</v>
      </c>
      <c r="AA524">
        <v>31</v>
      </c>
      <c r="AB524">
        <v>31</v>
      </c>
      <c r="AC524">
        <v>34</v>
      </c>
      <c r="AD524">
        <v>26</v>
      </c>
      <c r="AE524">
        <v>32</v>
      </c>
      <c r="AF524">
        <v>38</v>
      </c>
      <c r="AG524">
        <v>35</v>
      </c>
      <c r="AH524">
        <v>30</v>
      </c>
      <c r="AI524">
        <v>40</v>
      </c>
      <c r="AJ524">
        <v>46</v>
      </c>
      <c r="AK524">
        <v>39</v>
      </c>
      <c r="AL524">
        <v>43</v>
      </c>
      <c r="AM524">
        <v>45</v>
      </c>
      <c r="AN524">
        <v>37</v>
      </c>
      <c r="AO524">
        <v>35</v>
      </c>
      <c r="AP524">
        <v>31</v>
      </c>
      <c r="AQ524">
        <v>43</v>
      </c>
      <c r="AR524">
        <v>41</v>
      </c>
      <c r="AS524">
        <v>33</v>
      </c>
      <c r="AT524">
        <v>46</v>
      </c>
      <c r="AU524">
        <v>55</v>
      </c>
      <c r="AV524">
        <v>52</v>
      </c>
      <c r="AW524">
        <v>52</v>
      </c>
      <c r="AX524">
        <v>56</v>
      </c>
      <c r="AY524">
        <v>55</v>
      </c>
      <c r="AZ524">
        <v>53</v>
      </c>
      <c r="BA524">
        <v>54</v>
      </c>
      <c r="BB524">
        <v>47</v>
      </c>
      <c r="BC524">
        <v>52</v>
      </c>
    </row>
    <row r="525" spans="1:55" x14ac:dyDescent="0.25">
      <c r="A525" t="s">
        <v>4159</v>
      </c>
      <c r="B525" t="s">
        <v>166</v>
      </c>
      <c r="C525" t="s">
        <v>256</v>
      </c>
      <c r="D525">
        <v>135</v>
      </c>
      <c r="E525">
        <v>46.347000000000001</v>
      </c>
      <c r="G525">
        <v>56</v>
      </c>
      <c r="H525">
        <v>54</v>
      </c>
      <c r="I525">
        <v>51</v>
      </c>
      <c r="J525">
        <v>53</v>
      </c>
      <c r="K525">
        <v>49</v>
      </c>
      <c r="L525">
        <v>42</v>
      </c>
      <c r="M525">
        <v>47</v>
      </c>
      <c r="N525">
        <v>44</v>
      </c>
      <c r="O525">
        <v>53</v>
      </c>
      <c r="P525">
        <v>46</v>
      </c>
      <c r="Q525">
        <v>50</v>
      </c>
      <c r="R525">
        <v>40</v>
      </c>
      <c r="S525">
        <v>50</v>
      </c>
      <c r="T525">
        <v>38</v>
      </c>
      <c r="U525">
        <v>44</v>
      </c>
      <c r="V525">
        <v>48</v>
      </c>
      <c r="W525">
        <v>42</v>
      </c>
      <c r="X525">
        <v>40</v>
      </c>
      <c r="Y525">
        <v>43</v>
      </c>
      <c r="Z525">
        <v>47</v>
      </c>
      <c r="AA525">
        <v>37</v>
      </c>
      <c r="AB525">
        <v>47</v>
      </c>
      <c r="AC525">
        <v>37</v>
      </c>
      <c r="AD525">
        <v>31</v>
      </c>
      <c r="AE525">
        <v>48</v>
      </c>
      <c r="AF525">
        <v>43</v>
      </c>
      <c r="AG525">
        <v>36</v>
      </c>
      <c r="AH525">
        <v>43</v>
      </c>
      <c r="AI525">
        <v>45</v>
      </c>
      <c r="AJ525">
        <v>45</v>
      </c>
      <c r="AK525">
        <v>44</v>
      </c>
      <c r="AL525">
        <v>53</v>
      </c>
      <c r="AM525">
        <v>47</v>
      </c>
      <c r="AN525">
        <v>43</v>
      </c>
      <c r="AO525">
        <v>45</v>
      </c>
      <c r="AP525">
        <v>42</v>
      </c>
      <c r="AQ525">
        <v>49</v>
      </c>
      <c r="AR525">
        <v>28</v>
      </c>
      <c r="AS525">
        <v>38</v>
      </c>
      <c r="AT525">
        <v>47</v>
      </c>
      <c r="AU525">
        <v>51</v>
      </c>
      <c r="AV525">
        <v>51</v>
      </c>
      <c r="AW525">
        <v>54</v>
      </c>
      <c r="AX525">
        <v>51</v>
      </c>
      <c r="AY525">
        <v>57</v>
      </c>
      <c r="AZ525">
        <v>51</v>
      </c>
      <c r="BA525">
        <v>56</v>
      </c>
      <c r="BB525">
        <v>57</v>
      </c>
      <c r="BC525">
        <v>58</v>
      </c>
    </row>
    <row r="526" spans="1:55" x14ac:dyDescent="0.25">
      <c r="A526" t="s">
        <v>4160</v>
      </c>
      <c r="B526" t="s">
        <v>167</v>
      </c>
      <c r="C526" t="s">
        <v>256</v>
      </c>
      <c r="D526">
        <v>285</v>
      </c>
      <c r="E526">
        <v>41.162999999999997</v>
      </c>
      <c r="G526">
        <v>48</v>
      </c>
      <c r="H526">
        <v>42</v>
      </c>
      <c r="I526">
        <v>37</v>
      </c>
      <c r="J526">
        <v>47</v>
      </c>
      <c r="K526">
        <v>35</v>
      </c>
      <c r="L526">
        <v>34</v>
      </c>
      <c r="M526">
        <v>40</v>
      </c>
      <c r="N526">
        <v>42</v>
      </c>
      <c r="O526">
        <v>40</v>
      </c>
      <c r="P526">
        <v>37</v>
      </c>
      <c r="Q526">
        <v>43</v>
      </c>
      <c r="R526">
        <v>42</v>
      </c>
      <c r="S526">
        <v>45</v>
      </c>
      <c r="T526">
        <v>41</v>
      </c>
      <c r="U526">
        <v>46</v>
      </c>
      <c r="V526">
        <v>42</v>
      </c>
      <c r="W526">
        <v>46</v>
      </c>
      <c r="X526">
        <v>46</v>
      </c>
      <c r="Y526">
        <v>33</v>
      </c>
      <c r="Z526">
        <v>40</v>
      </c>
      <c r="AA526">
        <v>37</v>
      </c>
      <c r="AB526">
        <v>39</v>
      </c>
      <c r="AC526">
        <v>33</v>
      </c>
      <c r="AD526">
        <v>39</v>
      </c>
      <c r="AE526">
        <v>33</v>
      </c>
      <c r="AF526">
        <v>35</v>
      </c>
      <c r="AG526">
        <v>35</v>
      </c>
      <c r="AH526">
        <v>42</v>
      </c>
      <c r="AI526">
        <v>37</v>
      </c>
      <c r="AJ526">
        <v>51</v>
      </c>
      <c r="AK526">
        <v>38</v>
      </c>
      <c r="AL526">
        <v>38</v>
      </c>
      <c r="AM526">
        <v>42</v>
      </c>
      <c r="AN526">
        <v>38</v>
      </c>
      <c r="AO526">
        <v>26</v>
      </c>
      <c r="AP526">
        <v>41</v>
      </c>
      <c r="AQ526">
        <v>43</v>
      </c>
      <c r="AR526">
        <v>37</v>
      </c>
      <c r="AS526">
        <v>41</v>
      </c>
      <c r="AT526">
        <v>47</v>
      </c>
      <c r="AU526">
        <v>43</v>
      </c>
      <c r="AV526">
        <v>44</v>
      </c>
      <c r="AW526">
        <v>44</v>
      </c>
      <c r="AX526">
        <v>43</v>
      </c>
      <c r="AY526">
        <v>43</v>
      </c>
      <c r="AZ526">
        <v>48</v>
      </c>
      <c r="BA526">
        <v>45</v>
      </c>
      <c r="BB526">
        <v>52</v>
      </c>
      <c r="BC526">
        <v>57</v>
      </c>
    </row>
    <row r="527" spans="1:55" x14ac:dyDescent="0.25">
      <c r="A527" t="s">
        <v>4161</v>
      </c>
      <c r="B527" t="s">
        <v>247</v>
      </c>
      <c r="C527" t="s">
        <v>256</v>
      </c>
      <c r="D527">
        <v>240</v>
      </c>
      <c r="E527">
        <v>42.429000000000002</v>
      </c>
      <c r="G527">
        <v>48</v>
      </c>
      <c r="H527">
        <v>39</v>
      </c>
      <c r="I527">
        <v>39</v>
      </c>
      <c r="J527">
        <v>42</v>
      </c>
      <c r="K527">
        <v>43</v>
      </c>
      <c r="L527">
        <v>36</v>
      </c>
      <c r="M527">
        <v>41</v>
      </c>
      <c r="N527">
        <v>31</v>
      </c>
      <c r="O527">
        <v>46</v>
      </c>
      <c r="P527">
        <v>39</v>
      </c>
      <c r="Q527">
        <v>40</v>
      </c>
      <c r="R527">
        <v>35</v>
      </c>
      <c r="S527">
        <v>39</v>
      </c>
      <c r="T527">
        <v>28</v>
      </c>
      <c r="U527">
        <v>37</v>
      </c>
      <c r="V527">
        <v>38</v>
      </c>
      <c r="W527">
        <v>37</v>
      </c>
      <c r="X527">
        <v>41</v>
      </c>
      <c r="Y527">
        <v>31</v>
      </c>
      <c r="Z527">
        <v>32</v>
      </c>
      <c r="AA527">
        <v>29</v>
      </c>
      <c r="AB527">
        <v>40</v>
      </c>
      <c r="AC527">
        <v>37</v>
      </c>
      <c r="AD527">
        <v>37</v>
      </c>
      <c r="AE527">
        <v>41</v>
      </c>
      <c r="AF527">
        <v>36</v>
      </c>
      <c r="AG527">
        <v>33</v>
      </c>
      <c r="AH527">
        <v>42</v>
      </c>
      <c r="AI527">
        <v>48</v>
      </c>
      <c r="AJ527">
        <v>73</v>
      </c>
      <c r="AK527">
        <v>56</v>
      </c>
      <c r="AL527">
        <v>59</v>
      </c>
      <c r="AM527">
        <v>66</v>
      </c>
      <c r="AN527">
        <v>46</v>
      </c>
      <c r="AO527">
        <v>45</v>
      </c>
      <c r="AP527">
        <v>40</v>
      </c>
      <c r="AQ527">
        <v>44</v>
      </c>
      <c r="AR527">
        <v>33</v>
      </c>
      <c r="AS527">
        <v>34</v>
      </c>
      <c r="AT527">
        <v>38</v>
      </c>
      <c r="AU527">
        <v>45</v>
      </c>
      <c r="AV527">
        <v>47</v>
      </c>
      <c r="AW527">
        <v>44</v>
      </c>
      <c r="AX527">
        <v>50</v>
      </c>
      <c r="AY527">
        <v>51</v>
      </c>
      <c r="AZ527">
        <v>47</v>
      </c>
      <c r="BA527">
        <v>55</v>
      </c>
      <c r="BB527">
        <v>55</v>
      </c>
      <c r="BC527">
        <v>46</v>
      </c>
    </row>
    <row r="528" spans="1:55" x14ac:dyDescent="0.25">
      <c r="A528" t="s">
        <v>4162</v>
      </c>
      <c r="B528" t="s">
        <v>169</v>
      </c>
      <c r="C528" t="s">
        <v>256</v>
      </c>
      <c r="D528">
        <v>146</v>
      </c>
      <c r="E528">
        <v>41.734999999999999</v>
      </c>
      <c r="G528">
        <v>38</v>
      </c>
      <c r="H528">
        <v>31</v>
      </c>
      <c r="I528">
        <v>21</v>
      </c>
      <c r="J528">
        <v>31</v>
      </c>
      <c r="K528">
        <v>34</v>
      </c>
      <c r="L528">
        <v>33</v>
      </c>
      <c r="M528">
        <v>36</v>
      </c>
      <c r="N528">
        <v>33</v>
      </c>
      <c r="O528">
        <v>44</v>
      </c>
      <c r="P528">
        <v>40</v>
      </c>
      <c r="Q528">
        <v>40</v>
      </c>
      <c r="R528">
        <v>42</v>
      </c>
      <c r="S528">
        <v>42</v>
      </c>
      <c r="T528">
        <v>43</v>
      </c>
      <c r="U528">
        <v>45</v>
      </c>
      <c r="V528">
        <v>40</v>
      </c>
      <c r="W528">
        <v>41</v>
      </c>
      <c r="X528">
        <v>35</v>
      </c>
      <c r="Y528">
        <v>29</v>
      </c>
      <c r="Z528">
        <v>35</v>
      </c>
      <c r="AA528">
        <v>38</v>
      </c>
      <c r="AB528">
        <v>37</v>
      </c>
      <c r="AC528">
        <v>39</v>
      </c>
      <c r="AD528">
        <v>39</v>
      </c>
      <c r="AE528">
        <v>34</v>
      </c>
      <c r="AF528">
        <v>38</v>
      </c>
      <c r="AG528">
        <v>35</v>
      </c>
      <c r="AH528">
        <v>38</v>
      </c>
      <c r="AI528">
        <v>36</v>
      </c>
      <c r="AJ528">
        <v>47</v>
      </c>
      <c r="AK528">
        <v>46</v>
      </c>
      <c r="AL528">
        <v>52</v>
      </c>
      <c r="AM528">
        <v>52</v>
      </c>
      <c r="AN528">
        <v>46</v>
      </c>
      <c r="AO528">
        <v>44</v>
      </c>
      <c r="AP528">
        <v>36</v>
      </c>
      <c r="AQ528">
        <v>47</v>
      </c>
      <c r="AR528">
        <v>46</v>
      </c>
      <c r="AS528">
        <v>46</v>
      </c>
      <c r="AT528">
        <v>49</v>
      </c>
      <c r="AU528">
        <v>54</v>
      </c>
      <c r="AV528">
        <v>49</v>
      </c>
      <c r="AW528">
        <v>52</v>
      </c>
      <c r="AX528">
        <v>52</v>
      </c>
      <c r="AY528">
        <v>51</v>
      </c>
      <c r="AZ528">
        <v>48</v>
      </c>
      <c r="BA528">
        <v>55</v>
      </c>
      <c r="BB528">
        <v>48</v>
      </c>
      <c r="BC528">
        <v>58</v>
      </c>
    </row>
    <row r="529" spans="1:55" x14ac:dyDescent="0.25">
      <c r="A529" t="s">
        <v>4163</v>
      </c>
      <c r="B529" t="s">
        <v>170</v>
      </c>
      <c r="C529" t="s">
        <v>256</v>
      </c>
      <c r="D529">
        <v>1097</v>
      </c>
      <c r="E529">
        <v>36.469000000000001</v>
      </c>
      <c r="G529">
        <v>33</v>
      </c>
      <c r="H529">
        <v>32</v>
      </c>
      <c r="I529">
        <v>28</v>
      </c>
      <c r="J529">
        <v>38</v>
      </c>
      <c r="K529">
        <v>38</v>
      </c>
      <c r="L529">
        <v>30</v>
      </c>
      <c r="M529">
        <v>33</v>
      </c>
      <c r="N529">
        <v>32</v>
      </c>
      <c r="O529">
        <v>28</v>
      </c>
      <c r="P529">
        <v>32</v>
      </c>
      <c r="Q529">
        <v>31</v>
      </c>
      <c r="R529">
        <v>31</v>
      </c>
      <c r="S529">
        <v>32</v>
      </c>
      <c r="T529">
        <v>34</v>
      </c>
      <c r="U529">
        <v>30</v>
      </c>
      <c r="V529">
        <v>29</v>
      </c>
      <c r="W529">
        <v>35</v>
      </c>
      <c r="X529">
        <v>33</v>
      </c>
      <c r="Y529">
        <v>28</v>
      </c>
      <c r="Z529">
        <v>33</v>
      </c>
      <c r="AA529">
        <v>31</v>
      </c>
      <c r="AB529">
        <v>31</v>
      </c>
      <c r="AC529">
        <v>30</v>
      </c>
      <c r="AD529">
        <v>32</v>
      </c>
      <c r="AE529">
        <v>31</v>
      </c>
      <c r="AF529">
        <v>31</v>
      </c>
      <c r="AG529">
        <v>32</v>
      </c>
      <c r="AH529">
        <v>35</v>
      </c>
      <c r="AI529">
        <v>37</v>
      </c>
      <c r="AJ529">
        <v>52</v>
      </c>
      <c r="AK529">
        <v>36</v>
      </c>
      <c r="AL529">
        <v>38</v>
      </c>
      <c r="AM529">
        <v>43</v>
      </c>
      <c r="AN529">
        <v>36</v>
      </c>
      <c r="AO529">
        <v>32</v>
      </c>
      <c r="AP529">
        <v>36</v>
      </c>
      <c r="AQ529">
        <v>38</v>
      </c>
      <c r="AR529">
        <v>33</v>
      </c>
      <c r="AS529">
        <v>36</v>
      </c>
      <c r="AT529">
        <v>40</v>
      </c>
      <c r="AU529">
        <v>43</v>
      </c>
      <c r="AV529">
        <v>44</v>
      </c>
      <c r="AW529">
        <v>48</v>
      </c>
      <c r="AX529">
        <v>49</v>
      </c>
      <c r="AY529">
        <v>50</v>
      </c>
      <c r="AZ529">
        <v>50</v>
      </c>
      <c r="BA529">
        <v>50</v>
      </c>
      <c r="BB529">
        <v>51</v>
      </c>
      <c r="BC529">
        <v>52</v>
      </c>
    </row>
  </sheetData>
  <autoFilter ref="A1:BC529" xr:uid="{00000000-0009-0000-0000-000011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1B3B4"/>
  </sheetPr>
  <dimension ref="A1:BD331"/>
  <sheetViews>
    <sheetView workbookViewId="0">
      <pane xSplit="3" ySplit="1" topLeftCell="D2" activePane="bottomRight" state="frozen"/>
      <selection pane="topRight"/>
      <selection pane="bottomLeft"/>
      <selection pane="bottomRight" activeCell="B2" sqref="B2"/>
    </sheetView>
  </sheetViews>
  <sheetFormatPr baseColWidth="10" defaultColWidth="9.140625" defaultRowHeight="15" x14ac:dyDescent="0.25"/>
  <cols>
    <col min="1" max="1" width="10" hidden="1" customWidth="1"/>
    <col min="2" max="2" width="40" customWidth="1"/>
    <col min="3" max="3" width="20" customWidth="1"/>
    <col min="4" max="5" width="10" customWidth="1"/>
  </cols>
  <sheetData>
    <row r="1" spans="1:56" ht="51.75" customHeight="1" x14ac:dyDescent="0.25">
      <c r="A1" s="53" t="s">
        <v>171</v>
      </c>
      <c r="B1" s="53" t="s">
        <v>69</v>
      </c>
      <c r="C1" s="53" t="s">
        <v>257</v>
      </c>
      <c r="D1" s="53" t="s">
        <v>253</v>
      </c>
      <c r="E1" s="53" t="s">
        <v>254</v>
      </c>
      <c r="F1" s="53" t="s">
        <v>173</v>
      </c>
      <c r="G1" s="53" t="s">
        <v>176</v>
      </c>
      <c r="H1" s="53" t="s">
        <v>179</v>
      </c>
      <c r="I1" s="53" t="s">
        <v>182</v>
      </c>
      <c r="J1" s="53" t="s">
        <v>184</v>
      </c>
      <c r="K1" s="53" t="s">
        <v>187</v>
      </c>
      <c r="L1" s="53" t="s">
        <v>190</v>
      </c>
      <c r="M1" s="53" t="s">
        <v>193</v>
      </c>
      <c r="N1" s="53" t="s">
        <v>196</v>
      </c>
      <c r="O1" s="53" t="s">
        <v>199</v>
      </c>
      <c r="P1" s="53" t="s">
        <v>200</v>
      </c>
      <c r="Q1" s="53" t="s">
        <v>201</v>
      </c>
      <c r="R1" s="53" t="s">
        <v>202</v>
      </c>
      <c r="S1" s="53" t="s">
        <v>203</v>
      </c>
      <c r="T1" s="53" t="s">
        <v>204</v>
      </c>
      <c r="U1" s="53" t="s">
        <v>205</v>
      </c>
      <c r="V1" s="53" t="s">
        <v>206</v>
      </c>
      <c r="W1" s="53" t="s">
        <v>207</v>
      </c>
      <c r="X1" s="53" t="s">
        <v>208</v>
      </c>
      <c r="Y1" s="53" t="s">
        <v>209</v>
      </c>
      <c r="Z1" s="53" t="s">
        <v>210</v>
      </c>
      <c r="AA1" s="53" t="s">
        <v>211</v>
      </c>
      <c r="AB1" s="53" t="s">
        <v>212</v>
      </c>
      <c r="AC1" s="53" t="s">
        <v>213</v>
      </c>
      <c r="AD1" s="53" t="s">
        <v>214</v>
      </c>
      <c r="AE1" s="53" t="s">
        <v>215</v>
      </c>
      <c r="AF1" s="53" t="s">
        <v>216</v>
      </c>
      <c r="AG1" s="53" t="s">
        <v>217</v>
      </c>
      <c r="AH1" s="53" t="s">
        <v>218</v>
      </c>
      <c r="AI1" s="53" t="s">
        <v>219</v>
      </c>
      <c r="AJ1" s="53" t="s">
        <v>220</v>
      </c>
      <c r="AK1" s="53" t="s">
        <v>221</v>
      </c>
      <c r="AL1" s="53" t="s">
        <v>222</v>
      </c>
      <c r="AM1" s="53" t="s">
        <v>223</v>
      </c>
      <c r="AN1" s="53" t="s">
        <v>224</v>
      </c>
      <c r="AO1" s="53" t="s">
        <v>225</v>
      </c>
      <c r="AP1" s="53" t="s">
        <v>226</v>
      </c>
      <c r="AQ1" s="53" t="s">
        <v>227</v>
      </c>
      <c r="AR1" s="53" t="s">
        <v>228</v>
      </c>
      <c r="AS1" s="53" t="s">
        <v>229</v>
      </c>
      <c r="AT1" s="53" t="s">
        <v>230</v>
      </c>
      <c r="AU1" s="53" t="s">
        <v>231</v>
      </c>
      <c r="AV1" s="53" t="s">
        <v>232</v>
      </c>
      <c r="AW1" s="53" t="s">
        <v>233</v>
      </c>
      <c r="AX1" s="53" t="s">
        <v>234</v>
      </c>
      <c r="AY1" s="53" t="s">
        <v>235</v>
      </c>
      <c r="AZ1" s="53" t="s">
        <v>236</v>
      </c>
      <c r="BA1" s="53" t="s">
        <v>237</v>
      </c>
      <c r="BB1" s="53" t="s">
        <v>238</v>
      </c>
      <c r="BC1" s="53" t="s">
        <v>239</v>
      </c>
      <c r="BD1" s="53" t="s">
        <v>47</v>
      </c>
    </row>
    <row r="2" spans="1:56" x14ac:dyDescent="0.25">
      <c r="A2" t="s">
        <v>4164</v>
      </c>
      <c r="B2" t="s">
        <v>45</v>
      </c>
      <c r="C2" t="s">
        <v>92</v>
      </c>
      <c r="D2">
        <v>17354</v>
      </c>
      <c r="E2">
        <v>64.941000000000003</v>
      </c>
      <c r="F2">
        <v>59</v>
      </c>
      <c r="G2">
        <v>65</v>
      </c>
      <c r="H2">
        <v>62</v>
      </c>
      <c r="I2">
        <v>65</v>
      </c>
      <c r="J2">
        <v>63</v>
      </c>
      <c r="K2">
        <v>62</v>
      </c>
      <c r="L2">
        <v>66</v>
      </c>
      <c r="M2">
        <v>63</v>
      </c>
      <c r="N2">
        <v>63</v>
      </c>
      <c r="O2">
        <v>64</v>
      </c>
      <c r="P2">
        <v>64</v>
      </c>
      <c r="Q2">
        <v>65</v>
      </c>
      <c r="R2">
        <v>66</v>
      </c>
      <c r="S2">
        <v>66</v>
      </c>
      <c r="T2">
        <v>66</v>
      </c>
      <c r="U2">
        <v>66</v>
      </c>
      <c r="V2">
        <v>66</v>
      </c>
      <c r="W2">
        <v>66</v>
      </c>
      <c r="X2">
        <v>65</v>
      </c>
      <c r="Y2">
        <v>66</v>
      </c>
      <c r="Z2">
        <v>66</v>
      </c>
      <c r="AA2">
        <v>65</v>
      </c>
      <c r="AB2">
        <v>67</v>
      </c>
      <c r="AC2">
        <v>66</v>
      </c>
      <c r="AD2">
        <v>64</v>
      </c>
      <c r="AE2">
        <v>65</v>
      </c>
      <c r="AF2">
        <v>64</v>
      </c>
      <c r="AG2">
        <v>64</v>
      </c>
      <c r="AH2">
        <v>65</v>
      </c>
      <c r="AI2">
        <v>64</v>
      </c>
      <c r="AJ2">
        <v>65</v>
      </c>
      <c r="AK2">
        <v>65</v>
      </c>
      <c r="AL2">
        <v>65</v>
      </c>
      <c r="AM2">
        <v>64</v>
      </c>
      <c r="AN2">
        <v>64</v>
      </c>
      <c r="AO2">
        <v>63</v>
      </c>
      <c r="AP2">
        <v>63</v>
      </c>
      <c r="AQ2">
        <v>65</v>
      </c>
      <c r="AR2">
        <v>64</v>
      </c>
      <c r="AS2">
        <v>65</v>
      </c>
      <c r="AT2">
        <v>66</v>
      </c>
      <c r="AU2">
        <v>65</v>
      </c>
      <c r="AV2">
        <v>67</v>
      </c>
      <c r="AW2">
        <v>66</v>
      </c>
      <c r="AX2">
        <v>67</v>
      </c>
      <c r="AY2">
        <v>67</v>
      </c>
      <c r="AZ2">
        <v>67</v>
      </c>
      <c r="BA2">
        <v>67</v>
      </c>
      <c r="BB2">
        <v>66</v>
      </c>
      <c r="BC2">
        <v>67</v>
      </c>
      <c r="BD2">
        <v>66</v>
      </c>
    </row>
    <row r="3" spans="1:56" x14ac:dyDescent="0.25">
      <c r="A3" t="s">
        <v>4165</v>
      </c>
      <c r="B3" t="s">
        <v>110</v>
      </c>
      <c r="C3" t="s">
        <v>92</v>
      </c>
      <c r="D3">
        <v>4755</v>
      </c>
      <c r="E3">
        <v>63.176000000000002</v>
      </c>
      <c r="F3">
        <v>57</v>
      </c>
      <c r="G3">
        <v>61</v>
      </c>
      <c r="H3">
        <v>59</v>
      </c>
      <c r="I3">
        <v>61</v>
      </c>
      <c r="J3">
        <v>59</v>
      </c>
      <c r="K3">
        <v>59</v>
      </c>
      <c r="L3">
        <v>64</v>
      </c>
      <c r="M3">
        <v>60</v>
      </c>
      <c r="N3">
        <v>59</v>
      </c>
      <c r="O3">
        <v>61</v>
      </c>
      <c r="P3">
        <v>61</v>
      </c>
      <c r="Q3">
        <v>62</v>
      </c>
      <c r="R3">
        <v>63</v>
      </c>
      <c r="S3">
        <v>63</v>
      </c>
      <c r="T3">
        <v>62</v>
      </c>
      <c r="U3">
        <v>64</v>
      </c>
      <c r="V3">
        <v>63</v>
      </c>
      <c r="W3">
        <v>63</v>
      </c>
      <c r="X3">
        <v>63</v>
      </c>
      <c r="Y3">
        <v>63</v>
      </c>
      <c r="Z3">
        <v>63</v>
      </c>
      <c r="AA3">
        <v>63</v>
      </c>
      <c r="AB3">
        <v>63</v>
      </c>
      <c r="AC3">
        <v>63</v>
      </c>
      <c r="AD3">
        <v>61</v>
      </c>
      <c r="AE3">
        <v>62</v>
      </c>
      <c r="AF3">
        <v>63</v>
      </c>
      <c r="AG3">
        <v>63</v>
      </c>
      <c r="AH3">
        <v>63</v>
      </c>
      <c r="AI3">
        <v>62</v>
      </c>
      <c r="AJ3">
        <v>65</v>
      </c>
      <c r="AK3">
        <v>65</v>
      </c>
      <c r="AL3">
        <v>65</v>
      </c>
      <c r="AM3">
        <v>64</v>
      </c>
      <c r="AN3">
        <v>64</v>
      </c>
      <c r="AO3">
        <v>62</v>
      </c>
      <c r="AP3">
        <v>63</v>
      </c>
      <c r="AQ3">
        <v>64</v>
      </c>
      <c r="AR3">
        <v>62</v>
      </c>
      <c r="AS3">
        <v>65</v>
      </c>
      <c r="AT3">
        <v>64</v>
      </c>
      <c r="AU3">
        <v>65</v>
      </c>
      <c r="AV3">
        <v>67</v>
      </c>
      <c r="AW3">
        <v>65</v>
      </c>
      <c r="AX3">
        <v>66</v>
      </c>
      <c r="AY3">
        <v>67</v>
      </c>
      <c r="AZ3">
        <v>68</v>
      </c>
      <c r="BA3">
        <v>66</v>
      </c>
      <c r="BB3">
        <v>67</v>
      </c>
      <c r="BC3">
        <v>68</v>
      </c>
      <c r="BD3">
        <v>67</v>
      </c>
    </row>
    <row r="4" spans="1:56" x14ac:dyDescent="0.25">
      <c r="A4" t="s">
        <v>4166</v>
      </c>
      <c r="B4" t="s">
        <v>111</v>
      </c>
      <c r="C4" t="s">
        <v>92</v>
      </c>
      <c r="D4">
        <v>61</v>
      </c>
      <c r="E4">
        <v>82.49</v>
      </c>
      <c r="F4">
        <v>75</v>
      </c>
      <c r="G4">
        <v>85</v>
      </c>
      <c r="H4">
        <v>77</v>
      </c>
      <c r="I4">
        <v>77</v>
      </c>
      <c r="J4">
        <v>82</v>
      </c>
      <c r="K4">
        <v>83</v>
      </c>
      <c r="L4">
        <v>82</v>
      </c>
      <c r="M4">
        <v>78</v>
      </c>
      <c r="N4">
        <v>76</v>
      </c>
      <c r="O4">
        <v>80</v>
      </c>
      <c r="P4">
        <v>79</v>
      </c>
      <c r="Q4">
        <v>84</v>
      </c>
      <c r="R4">
        <v>75</v>
      </c>
      <c r="S4">
        <v>79</v>
      </c>
      <c r="T4">
        <v>82</v>
      </c>
      <c r="U4">
        <v>88</v>
      </c>
      <c r="V4">
        <v>77</v>
      </c>
      <c r="W4">
        <v>71</v>
      </c>
      <c r="X4">
        <v>73</v>
      </c>
      <c r="Y4">
        <v>79</v>
      </c>
      <c r="Z4">
        <v>86</v>
      </c>
      <c r="AA4">
        <v>79</v>
      </c>
      <c r="AB4">
        <v>86</v>
      </c>
      <c r="AC4">
        <v>86</v>
      </c>
      <c r="AD4">
        <v>80</v>
      </c>
      <c r="AE4">
        <v>86</v>
      </c>
      <c r="AF4">
        <v>84</v>
      </c>
      <c r="AG4">
        <v>85</v>
      </c>
      <c r="AH4">
        <v>87</v>
      </c>
      <c r="AI4">
        <v>85</v>
      </c>
      <c r="AJ4">
        <v>92</v>
      </c>
      <c r="AK4">
        <v>83</v>
      </c>
      <c r="AL4">
        <v>85</v>
      </c>
      <c r="AM4">
        <v>82</v>
      </c>
      <c r="AN4">
        <v>82</v>
      </c>
      <c r="AO4">
        <v>87</v>
      </c>
      <c r="AP4">
        <v>86</v>
      </c>
      <c r="AQ4">
        <v>81</v>
      </c>
      <c r="AR4">
        <v>74</v>
      </c>
      <c r="AS4">
        <v>83</v>
      </c>
      <c r="AT4">
        <v>87</v>
      </c>
      <c r="AU4">
        <v>79</v>
      </c>
      <c r="AV4">
        <v>85</v>
      </c>
      <c r="AW4">
        <v>83</v>
      </c>
      <c r="AX4">
        <v>89</v>
      </c>
      <c r="AY4">
        <v>91</v>
      </c>
      <c r="AZ4">
        <v>82</v>
      </c>
      <c r="BA4">
        <v>92</v>
      </c>
      <c r="BB4">
        <v>93</v>
      </c>
      <c r="BC4">
        <v>82</v>
      </c>
      <c r="BD4">
        <v>83</v>
      </c>
    </row>
    <row r="5" spans="1:56" x14ac:dyDescent="0.25">
      <c r="A5" t="s">
        <v>4167</v>
      </c>
      <c r="B5" t="s">
        <v>112</v>
      </c>
      <c r="C5" t="s">
        <v>92</v>
      </c>
      <c r="D5">
        <v>181</v>
      </c>
      <c r="E5">
        <v>64.430999999999997</v>
      </c>
      <c r="F5">
        <v>50</v>
      </c>
      <c r="G5">
        <v>60</v>
      </c>
      <c r="H5">
        <v>60</v>
      </c>
      <c r="I5">
        <v>59</v>
      </c>
      <c r="J5">
        <v>62</v>
      </c>
      <c r="K5">
        <v>58</v>
      </c>
      <c r="L5">
        <v>66</v>
      </c>
      <c r="M5">
        <v>63</v>
      </c>
      <c r="N5">
        <v>62</v>
      </c>
      <c r="O5">
        <v>66</v>
      </c>
      <c r="P5">
        <v>62</v>
      </c>
      <c r="Q5">
        <v>66</v>
      </c>
      <c r="R5">
        <v>65</v>
      </c>
      <c r="S5">
        <v>63</v>
      </c>
      <c r="T5">
        <v>56</v>
      </c>
      <c r="U5">
        <v>62</v>
      </c>
      <c r="V5">
        <v>63</v>
      </c>
      <c r="W5">
        <v>60</v>
      </c>
      <c r="X5">
        <v>69</v>
      </c>
      <c r="Y5">
        <v>63</v>
      </c>
      <c r="Z5">
        <v>66</v>
      </c>
      <c r="AA5">
        <v>63</v>
      </c>
      <c r="AB5">
        <v>62</v>
      </c>
      <c r="AC5">
        <v>62</v>
      </c>
      <c r="AD5">
        <v>58</v>
      </c>
      <c r="AE5">
        <v>63</v>
      </c>
      <c r="AF5">
        <v>61</v>
      </c>
      <c r="AG5">
        <v>64</v>
      </c>
      <c r="AH5">
        <v>61</v>
      </c>
      <c r="AI5">
        <v>60</v>
      </c>
      <c r="AJ5">
        <v>63</v>
      </c>
      <c r="AK5">
        <v>66</v>
      </c>
      <c r="AL5">
        <v>63</v>
      </c>
      <c r="AM5">
        <v>68</v>
      </c>
      <c r="AN5">
        <v>67</v>
      </c>
      <c r="AO5">
        <v>63</v>
      </c>
      <c r="AP5">
        <v>65</v>
      </c>
      <c r="AQ5">
        <v>67</v>
      </c>
      <c r="AR5">
        <v>65</v>
      </c>
      <c r="AS5">
        <v>75</v>
      </c>
      <c r="AT5">
        <v>69</v>
      </c>
      <c r="AU5">
        <v>68</v>
      </c>
      <c r="AV5">
        <v>76</v>
      </c>
      <c r="AW5">
        <v>75</v>
      </c>
      <c r="AX5">
        <v>68</v>
      </c>
      <c r="AY5">
        <v>63</v>
      </c>
      <c r="AZ5">
        <v>66</v>
      </c>
      <c r="BA5">
        <v>75</v>
      </c>
      <c r="BB5">
        <v>73</v>
      </c>
      <c r="BC5">
        <v>70</v>
      </c>
      <c r="BD5">
        <v>66</v>
      </c>
    </row>
    <row r="6" spans="1:56" x14ac:dyDescent="0.25">
      <c r="A6" t="s">
        <v>4168</v>
      </c>
      <c r="B6" t="s">
        <v>113</v>
      </c>
      <c r="C6" t="s">
        <v>92</v>
      </c>
      <c r="D6">
        <v>94</v>
      </c>
      <c r="E6">
        <v>74.528999999999996</v>
      </c>
      <c r="F6">
        <v>64</v>
      </c>
      <c r="G6">
        <v>75</v>
      </c>
      <c r="H6">
        <v>69</v>
      </c>
      <c r="I6">
        <v>79</v>
      </c>
      <c r="J6">
        <v>75</v>
      </c>
      <c r="K6">
        <v>81</v>
      </c>
      <c r="L6">
        <v>71</v>
      </c>
      <c r="M6">
        <v>79</v>
      </c>
      <c r="N6">
        <v>74</v>
      </c>
      <c r="O6">
        <v>82</v>
      </c>
      <c r="P6">
        <v>77</v>
      </c>
      <c r="Q6">
        <v>86</v>
      </c>
      <c r="R6">
        <v>77</v>
      </c>
      <c r="S6">
        <v>76</v>
      </c>
      <c r="T6">
        <v>83</v>
      </c>
      <c r="U6">
        <v>78</v>
      </c>
      <c r="V6">
        <v>77</v>
      </c>
      <c r="W6">
        <v>81</v>
      </c>
      <c r="X6">
        <v>71</v>
      </c>
      <c r="Y6">
        <v>80</v>
      </c>
      <c r="Z6">
        <v>77</v>
      </c>
      <c r="AA6">
        <v>69</v>
      </c>
      <c r="AB6">
        <v>78</v>
      </c>
      <c r="AC6">
        <v>74</v>
      </c>
      <c r="AD6">
        <v>74</v>
      </c>
      <c r="AE6">
        <v>78</v>
      </c>
      <c r="AF6">
        <v>74</v>
      </c>
      <c r="AG6">
        <v>75</v>
      </c>
      <c r="AH6">
        <v>77</v>
      </c>
      <c r="AI6">
        <v>75</v>
      </c>
      <c r="AJ6">
        <v>77</v>
      </c>
      <c r="AK6">
        <v>73</v>
      </c>
      <c r="AL6">
        <v>76</v>
      </c>
      <c r="AM6">
        <v>73</v>
      </c>
      <c r="AN6">
        <v>82</v>
      </c>
      <c r="AO6">
        <v>73</v>
      </c>
      <c r="AP6">
        <v>77</v>
      </c>
      <c r="AQ6">
        <v>69</v>
      </c>
      <c r="AR6">
        <v>71</v>
      </c>
      <c r="AS6">
        <v>62</v>
      </c>
      <c r="AT6">
        <v>64</v>
      </c>
      <c r="AU6">
        <v>75</v>
      </c>
      <c r="AV6">
        <v>72</v>
      </c>
      <c r="AW6">
        <v>73</v>
      </c>
      <c r="AX6">
        <v>78</v>
      </c>
      <c r="AY6">
        <v>72</v>
      </c>
      <c r="AZ6">
        <v>73</v>
      </c>
      <c r="BA6">
        <v>63</v>
      </c>
      <c r="BB6">
        <v>67</v>
      </c>
      <c r="BC6">
        <v>78</v>
      </c>
      <c r="BD6">
        <v>67</v>
      </c>
    </row>
    <row r="7" spans="1:56" x14ac:dyDescent="0.25">
      <c r="A7" t="s">
        <v>4169</v>
      </c>
      <c r="B7" t="s">
        <v>114</v>
      </c>
      <c r="C7" t="s">
        <v>92</v>
      </c>
      <c r="D7">
        <v>159</v>
      </c>
      <c r="E7">
        <v>63.078000000000003</v>
      </c>
      <c r="F7">
        <v>63</v>
      </c>
      <c r="G7">
        <v>67</v>
      </c>
      <c r="H7">
        <v>66</v>
      </c>
      <c r="I7">
        <v>65</v>
      </c>
      <c r="J7">
        <v>61</v>
      </c>
      <c r="K7">
        <v>66</v>
      </c>
      <c r="L7">
        <v>65</v>
      </c>
      <c r="M7">
        <v>60</v>
      </c>
      <c r="N7">
        <v>59</v>
      </c>
      <c r="O7">
        <v>56</v>
      </c>
      <c r="P7">
        <v>57</v>
      </c>
      <c r="Q7">
        <v>65</v>
      </c>
      <c r="R7">
        <v>65</v>
      </c>
      <c r="S7">
        <v>64</v>
      </c>
      <c r="T7">
        <v>61</v>
      </c>
      <c r="U7">
        <v>64</v>
      </c>
      <c r="V7">
        <v>66</v>
      </c>
      <c r="W7">
        <v>59</v>
      </c>
      <c r="X7">
        <v>66</v>
      </c>
      <c r="Y7">
        <v>62</v>
      </c>
      <c r="Z7">
        <v>60</v>
      </c>
      <c r="AA7">
        <v>65</v>
      </c>
      <c r="AB7">
        <v>63</v>
      </c>
      <c r="AC7">
        <v>61</v>
      </c>
      <c r="AD7">
        <v>67</v>
      </c>
      <c r="AE7">
        <v>63</v>
      </c>
      <c r="AF7">
        <v>67</v>
      </c>
      <c r="AG7">
        <v>58</v>
      </c>
      <c r="AH7">
        <v>61</v>
      </c>
      <c r="AI7">
        <v>58</v>
      </c>
      <c r="AJ7">
        <v>68</v>
      </c>
      <c r="AK7">
        <v>55</v>
      </c>
      <c r="AL7">
        <v>67</v>
      </c>
      <c r="AM7">
        <v>60</v>
      </c>
      <c r="AN7">
        <v>67</v>
      </c>
      <c r="AO7">
        <v>65</v>
      </c>
      <c r="AP7">
        <v>60</v>
      </c>
      <c r="AQ7">
        <v>65</v>
      </c>
      <c r="AR7">
        <v>59</v>
      </c>
      <c r="AS7">
        <v>63</v>
      </c>
      <c r="AT7">
        <v>68</v>
      </c>
      <c r="AU7">
        <v>63</v>
      </c>
      <c r="AV7">
        <v>64</v>
      </c>
      <c r="AW7">
        <v>61</v>
      </c>
      <c r="AX7">
        <v>67</v>
      </c>
      <c r="AY7">
        <v>61</v>
      </c>
      <c r="AZ7">
        <v>65</v>
      </c>
      <c r="BA7">
        <v>62</v>
      </c>
      <c r="BB7">
        <v>62</v>
      </c>
      <c r="BC7">
        <v>67</v>
      </c>
      <c r="BD7">
        <v>68</v>
      </c>
    </row>
    <row r="8" spans="1:56" x14ac:dyDescent="0.25">
      <c r="A8" t="s">
        <v>4170</v>
      </c>
      <c r="B8" t="s">
        <v>115</v>
      </c>
      <c r="C8" t="s">
        <v>92</v>
      </c>
      <c r="D8">
        <v>101</v>
      </c>
      <c r="E8">
        <v>61.234999999999999</v>
      </c>
      <c r="F8">
        <v>55</v>
      </c>
      <c r="G8">
        <v>65</v>
      </c>
      <c r="H8">
        <v>65</v>
      </c>
      <c r="I8">
        <v>58</v>
      </c>
      <c r="J8">
        <v>56</v>
      </c>
      <c r="K8">
        <v>62</v>
      </c>
      <c r="L8">
        <v>61</v>
      </c>
      <c r="M8">
        <v>55</v>
      </c>
      <c r="N8">
        <v>56</v>
      </c>
      <c r="O8">
        <v>57</v>
      </c>
      <c r="P8">
        <v>55</v>
      </c>
      <c r="Q8">
        <v>65</v>
      </c>
      <c r="R8">
        <v>63</v>
      </c>
      <c r="S8">
        <v>62</v>
      </c>
      <c r="T8">
        <v>60</v>
      </c>
      <c r="U8">
        <v>64</v>
      </c>
      <c r="V8">
        <v>63</v>
      </c>
      <c r="W8">
        <v>57</v>
      </c>
      <c r="X8">
        <v>64</v>
      </c>
      <c r="Y8">
        <v>59</v>
      </c>
      <c r="Z8">
        <v>58</v>
      </c>
      <c r="AA8">
        <v>63</v>
      </c>
      <c r="AB8">
        <v>63</v>
      </c>
      <c r="AC8">
        <v>58</v>
      </c>
      <c r="AD8">
        <v>66</v>
      </c>
      <c r="AE8">
        <v>62</v>
      </c>
      <c r="AF8">
        <v>65</v>
      </c>
      <c r="AG8">
        <v>53</v>
      </c>
      <c r="AH8">
        <v>57</v>
      </c>
      <c r="AI8">
        <v>52</v>
      </c>
      <c r="AJ8">
        <v>69</v>
      </c>
      <c r="AK8">
        <v>54</v>
      </c>
      <c r="AL8">
        <v>68</v>
      </c>
      <c r="AM8">
        <v>60</v>
      </c>
      <c r="AN8">
        <v>68</v>
      </c>
      <c r="AO8">
        <v>64</v>
      </c>
      <c r="AP8">
        <v>59</v>
      </c>
      <c r="AQ8">
        <v>64</v>
      </c>
      <c r="AR8">
        <v>62</v>
      </c>
      <c r="AS8">
        <v>63</v>
      </c>
      <c r="AT8">
        <v>67</v>
      </c>
      <c r="AU8">
        <v>62</v>
      </c>
      <c r="AV8">
        <v>63</v>
      </c>
      <c r="AW8">
        <v>56</v>
      </c>
      <c r="AX8">
        <v>64</v>
      </c>
      <c r="AY8">
        <v>60</v>
      </c>
      <c r="AZ8">
        <v>63</v>
      </c>
      <c r="BA8">
        <v>62</v>
      </c>
      <c r="BB8">
        <v>65</v>
      </c>
      <c r="BC8">
        <v>65</v>
      </c>
      <c r="BD8">
        <v>66</v>
      </c>
    </row>
    <row r="9" spans="1:56" x14ac:dyDescent="0.25">
      <c r="A9" t="s">
        <v>4171</v>
      </c>
      <c r="B9" t="s">
        <v>116</v>
      </c>
      <c r="C9" t="s">
        <v>92</v>
      </c>
      <c r="D9">
        <v>112</v>
      </c>
      <c r="E9">
        <v>69.412000000000006</v>
      </c>
      <c r="F9">
        <v>71</v>
      </c>
      <c r="G9">
        <v>66</v>
      </c>
      <c r="H9">
        <v>61</v>
      </c>
      <c r="I9">
        <v>66</v>
      </c>
      <c r="J9">
        <v>69</v>
      </c>
      <c r="K9">
        <v>68</v>
      </c>
      <c r="L9">
        <v>71</v>
      </c>
      <c r="M9">
        <v>67</v>
      </c>
      <c r="N9">
        <v>71</v>
      </c>
      <c r="O9">
        <v>71</v>
      </c>
      <c r="P9">
        <v>73</v>
      </c>
      <c r="Q9">
        <v>72</v>
      </c>
      <c r="R9">
        <v>66</v>
      </c>
      <c r="S9">
        <v>72</v>
      </c>
      <c r="T9">
        <v>70</v>
      </c>
      <c r="U9">
        <v>74</v>
      </c>
      <c r="V9">
        <v>69</v>
      </c>
      <c r="W9">
        <v>71</v>
      </c>
      <c r="X9">
        <v>67</v>
      </c>
      <c r="Y9">
        <v>70</v>
      </c>
      <c r="Z9">
        <v>71</v>
      </c>
      <c r="AA9">
        <v>67</v>
      </c>
      <c r="AB9">
        <v>65</v>
      </c>
      <c r="AC9">
        <v>70</v>
      </c>
      <c r="AD9">
        <v>61</v>
      </c>
      <c r="AE9">
        <v>62</v>
      </c>
      <c r="AF9">
        <v>69</v>
      </c>
      <c r="AG9">
        <v>73</v>
      </c>
      <c r="AH9">
        <v>73</v>
      </c>
      <c r="AI9">
        <v>66</v>
      </c>
      <c r="AJ9">
        <v>69</v>
      </c>
      <c r="AK9">
        <v>66</v>
      </c>
      <c r="AL9">
        <v>72</v>
      </c>
      <c r="AM9">
        <v>69</v>
      </c>
      <c r="AN9">
        <v>74</v>
      </c>
      <c r="AO9">
        <v>65</v>
      </c>
      <c r="AP9">
        <v>60</v>
      </c>
      <c r="AQ9">
        <v>71</v>
      </c>
      <c r="AR9">
        <v>69</v>
      </c>
      <c r="AS9">
        <v>72</v>
      </c>
      <c r="AT9">
        <v>65</v>
      </c>
      <c r="AU9">
        <v>70</v>
      </c>
      <c r="AV9">
        <v>71</v>
      </c>
      <c r="AW9">
        <v>64</v>
      </c>
      <c r="AX9">
        <v>76</v>
      </c>
      <c r="AY9">
        <v>77</v>
      </c>
      <c r="AZ9">
        <v>75</v>
      </c>
      <c r="BA9">
        <v>76</v>
      </c>
      <c r="BB9">
        <v>69</v>
      </c>
      <c r="BC9">
        <v>74</v>
      </c>
      <c r="BD9">
        <v>74</v>
      </c>
    </row>
    <row r="10" spans="1:56" x14ac:dyDescent="0.25">
      <c r="A10" t="s">
        <v>4172</v>
      </c>
      <c r="B10" t="s">
        <v>117</v>
      </c>
      <c r="C10" t="s">
        <v>92</v>
      </c>
      <c r="D10">
        <v>114</v>
      </c>
      <c r="E10">
        <v>61.667000000000002</v>
      </c>
      <c r="F10">
        <v>55</v>
      </c>
      <c r="G10">
        <v>59</v>
      </c>
      <c r="H10">
        <v>59</v>
      </c>
      <c r="I10">
        <v>55</v>
      </c>
      <c r="J10">
        <v>58</v>
      </c>
      <c r="K10">
        <v>62</v>
      </c>
      <c r="L10">
        <v>61</v>
      </c>
      <c r="M10">
        <v>51</v>
      </c>
      <c r="N10">
        <v>54</v>
      </c>
      <c r="O10">
        <v>57</v>
      </c>
      <c r="P10">
        <v>62</v>
      </c>
      <c r="Q10">
        <v>63</v>
      </c>
      <c r="R10">
        <v>63</v>
      </c>
      <c r="S10">
        <v>58</v>
      </c>
      <c r="T10">
        <v>57</v>
      </c>
      <c r="U10">
        <v>63</v>
      </c>
      <c r="V10">
        <v>66</v>
      </c>
      <c r="W10">
        <v>65</v>
      </c>
      <c r="X10">
        <v>63</v>
      </c>
      <c r="Y10">
        <v>64</v>
      </c>
      <c r="Z10">
        <v>68</v>
      </c>
      <c r="AA10">
        <v>62</v>
      </c>
      <c r="AB10">
        <v>64</v>
      </c>
      <c r="AC10">
        <v>64</v>
      </c>
      <c r="AD10">
        <v>57</v>
      </c>
      <c r="AE10">
        <v>58</v>
      </c>
      <c r="AF10">
        <v>65</v>
      </c>
      <c r="AG10">
        <v>56</v>
      </c>
      <c r="AH10">
        <v>59</v>
      </c>
      <c r="AI10">
        <v>59</v>
      </c>
      <c r="AJ10">
        <v>60</v>
      </c>
      <c r="AK10">
        <v>65</v>
      </c>
      <c r="AL10">
        <v>65</v>
      </c>
      <c r="AM10">
        <v>61</v>
      </c>
      <c r="AN10">
        <v>55</v>
      </c>
      <c r="AO10">
        <v>58</v>
      </c>
      <c r="AP10">
        <v>54</v>
      </c>
      <c r="AQ10">
        <v>59</v>
      </c>
      <c r="AR10">
        <v>65</v>
      </c>
      <c r="AS10">
        <v>66</v>
      </c>
      <c r="AT10">
        <v>67</v>
      </c>
      <c r="AU10">
        <v>67</v>
      </c>
      <c r="AV10">
        <v>74</v>
      </c>
      <c r="AW10">
        <v>72</v>
      </c>
      <c r="AX10">
        <v>65</v>
      </c>
      <c r="AY10">
        <v>71</v>
      </c>
      <c r="AZ10">
        <v>69</v>
      </c>
      <c r="BA10">
        <v>57</v>
      </c>
      <c r="BB10">
        <v>63</v>
      </c>
      <c r="BC10">
        <v>59</v>
      </c>
      <c r="BD10">
        <v>66</v>
      </c>
    </row>
    <row r="11" spans="1:56" x14ac:dyDescent="0.25">
      <c r="A11" t="s">
        <v>4173</v>
      </c>
      <c r="B11" t="s">
        <v>118</v>
      </c>
      <c r="C11" t="s">
        <v>92</v>
      </c>
      <c r="D11">
        <v>106</v>
      </c>
      <c r="E11">
        <v>63.039000000000001</v>
      </c>
      <c r="F11">
        <v>58</v>
      </c>
      <c r="G11">
        <v>59</v>
      </c>
      <c r="H11">
        <v>56</v>
      </c>
      <c r="I11">
        <v>62</v>
      </c>
      <c r="J11">
        <v>61</v>
      </c>
      <c r="K11">
        <v>57</v>
      </c>
      <c r="L11">
        <v>69</v>
      </c>
      <c r="M11">
        <v>61</v>
      </c>
      <c r="N11">
        <v>63</v>
      </c>
      <c r="O11">
        <v>60</v>
      </c>
      <c r="P11">
        <v>62</v>
      </c>
      <c r="Q11">
        <v>66</v>
      </c>
      <c r="R11">
        <v>61</v>
      </c>
      <c r="S11">
        <v>64</v>
      </c>
      <c r="T11">
        <v>65</v>
      </c>
      <c r="U11">
        <v>58</v>
      </c>
      <c r="V11">
        <v>58</v>
      </c>
      <c r="W11">
        <v>56</v>
      </c>
      <c r="X11">
        <v>66</v>
      </c>
      <c r="Y11">
        <v>65</v>
      </c>
      <c r="Z11">
        <v>64</v>
      </c>
      <c r="AA11">
        <v>58</v>
      </c>
      <c r="AB11">
        <v>63</v>
      </c>
      <c r="AC11">
        <v>58</v>
      </c>
      <c r="AD11">
        <v>57</v>
      </c>
      <c r="AE11">
        <v>64</v>
      </c>
      <c r="AF11">
        <v>62</v>
      </c>
      <c r="AG11">
        <v>60</v>
      </c>
      <c r="AH11">
        <v>59</v>
      </c>
      <c r="AI11">
        <v>59</v>
      </c>
      <c r="AJ11">
        <v>67</v>
      </c>
      <c r="AK11">
        <v>61</v>
      </c>
      <c r="AL11">
        <v>63</v>
      </c>
      <c r="AM11">
        <v>65</v>
      </c>
      <c r="AN11">
        <v>59</v>
      </c>
      <c r="AO11">
        <v>63</v>
      </c>
      <c r="AP11">
        <v>60</v>
      </c>
      <c r="AQ11">
        <v>64</v>
      </c>
      <c r="AR11">
        <v>63</v>
      </c>
      <c r="AS11">
        <v>66</v>
      </c>
      <c r="AT11">
        <v>64</v>
      </c>
      <c r="AU11">
        <v>67</v>
      </c>
      <c r="AV11">
        <v>78</v>
      </c>
      <c r="AW11">
        <v>67</v>
      </c>
      <c r="AX11">
        <v>67</v>
      </c>
      <c r="AY11">
        <v>65</v>
      </c>
      <c r="AZ11">
        <v>65</v>
      </c>
      <c r="BA11">
        <v>69</v>
      </c>
      <c r="BB11">
        <v>69</v>
      </c>
      <c r="BC11">
        <v>74</v>
      </c>
      <c r="BD11">
        <v>68</v>
      </c>
    </row>
    <row r="12" spans="1:56" x14ac:dyDescent="0.25">
      <c r="A12" t="s">
        <v>4174</v>
      </c>
      <c r="B12" t="s">
        <v>119</v>
      </c>
      <c r="C12" t="s">
        <v>92</v>
      </c>
      <c r="D12">
        <v>200</v>
      </c>
      <c r="E12">
        <v>58.706000000000003</v>
      </c>
      <c r="F12">
        <v>50</v>
      </c>
      <c r="G12">
        <v>64</v>
      </c>
      <c r="H12">
        <v>60</v>
      </c>
      <c r="I12">
        <v>55</v>
      </c>
      <c r="J12">
        <v>57</v>
      </c>
      <c r="K12">
        <v>53</v>
      </c>
      <c r="L12">
        <v>64</v>
      </c>
      <c r="M12">
        <v>59</v>
      </c>
      <c r="N12">
        <v>54</v>
      </c>
      <c r="O12">
        <v>57</v>
      </c>
      <c r="P12">
        <v>59</v>
      </c>
      <c r="Q12">
        <v>59</v>
      </c>
      <c r="R12">
        <v>59</v>
      </c>
      <c r="S12">
        <v>58</v>
      </c>
      <c r="T12">
        <v>55</v>
      </c>
      <c r="U12">
        <v>58</v>
      </c>
      <c r="V12">
        <v>55</v>
      </c>
      <c r="W12">
        <v>59</v>
      </c>
      <c r="X12">
        <v>62</v>
      </c>
      <c r="Y12">
        <v>57</v>
      </c>
      <c r="Z12">
        <v>60</v>
      </c>
      <c r="AA12">
        <v>58</v>
      </c>
      <c r="AB12">
        <v>59</v>
      </c>
      <c r="AC12">
        <v>52</v>
      </c>
      <c r="AD12">
        <v>55</v>
      </c>
      <c r="AE12">
        <v>56</v>
      </c>
      <c r="AF12">
        <v>61</v>
      </c>
      <c r="AG12">
        <v>56</v>
      </c>
      <c r="AH12">
        <v>61</v>
      </c>
      <c r="AI12">
        <v>56</v>
      </c>
      <c r="AJ12">
        <v>60</v>
      </c>
      <c r="AK12">
        <v>54</v>
      </c>
      <c r="AL12">
        <v>58</v>
      </c>
      <c r="AM12">
        <v>56</v>
      </c>
      <c r="AN12">
        <v>62</v>
      </c>
      <c r="AO12">
        <v>56</v>
      </c>
      <c r="AP12">
        <v>61</v>
      </c>
      <c r="AQ12">
        <v>57</v>
      </c>
      <c r="AR12">
        <v>55</v>
      </c>
      <c r="AS12">
        <v>58</v>
      </c>
      <c r="AT12">
        <v>55</v>
      </c>
      <c r="AU12">
        <v>56</v>
      </c>
      <c r="AV12">
        <v>67</v>
      </c>
      <c r="AW12">
        <v>67</v>
      </c>
      <c r="AX12">
        <v>69</v>
      </c>
      <c r="AY12">
        <v>60</v>
      </c>
      <c r="AZ12">
        <v>67</v>
      </c>
      <c r="BA12">
        <v>60</v>
      </c>
      <c r="BB12">
        <v>59</v>
      </c>
      <c r="BC12">
        <v>61</v>
      </c>
      <c r="BD12">
        <v>68</v>
      </c>
    </row>
    <row r="13" spans="1:56" x14ac:dyDescent="0.25">
      <c r="A13" t="s">
        <v>4175</v>
      </c>
      <c r="B13" t="s">
        <v>120</v>
      </c>
      <c r="C13" t="s">
        <v>92</v>
      </c>
      <c r="D13">
        <v>55</v>
      </c>
      <c r="E13">
        <v>64.02</v>
      </c>
      <c r="F13">
        <v>54</v>
      </c>
      <c r="G13">
        <v>68</v>
      </c>
      <c r="H13">
        <v>53</v>
      </c>
      <c r="I13">
        <v>68</v>
      </c>
      <c r="J13">
        <v>63</v>
      </c>
      <c r="K13">
        <v>68</v>
      </c>
      <c r="L13">
        <v>71</v>
      </c>
      <c r="M13">
        <v>68</v>
      </c>
      <c r="N13">
        <v>54</v>
      </c>
      <c r="O13">
        <v>77</v>
      </c>
      <c r="P13">
        <v>61</v>
      </c>
      <c r="Q13">
        <v>67</v>
      </c>
      <c r="R13">
        <v>70</v>
      </c>
      <c r="S13">
        <v>66</v>
      </c>
      <c r="T13">
        <v>73</v>
      </c>
      <c r="U13">
        <v>73</v>
      </c>
      <c r="V13">
        <v>66</v>
      </c>
      <c r="W13">
        <v>66</v>
      </c>
      <c r="X13">
        <v>64</v>
      </c>
      <c r="Y13">
        <v>70</v>
      </c>
      <c r="Z13">
        <v>68</v>
      </c>
      <c r="AA13">
        <v>72</v>
      </c>
      <c r="AB13">
        <v>74</v>
      </c>
      <c r="AC13">
        <v>63</v>
      </c>
      <c r="AD13">
        <v>54</v>
      </c>
      <c r="AE13">
        <v>59</v>
      </c>
      <c r="AF13">
        <v>50</v>
      </c>
      <c r="AG13">
        <v>59</v>
      </c>
      <c r="AH13">
        <v>67</v>
      </c>
      <c r="AI13">
        <v>59</v>
      </c>
      <c r="AJ13">
        <v>53</v>
      </c>
      <c r="AK13">
        <v>63</v>
      </c>
      <c r="AL13">
        <v>53</v>
      </c>
      <c r="AM13">
        <v>52</v>
      </c>
      <c r="AN13">
        <v>56</v>
      </c>
      <c r="AO13">
        <v>59</v>
      </c>
      <c r="AP13">
        <v>58</v>
      </c>
      <c r="AQ13">
        <v>68</v>
      </c>
      <c r="AR13">
        <v>58</v>
      </c>
      <c r="AS13">
        <v>69</v>
      </c>
      <c r="AT13">
        <v>65</v>
      </c>
      <c r="AU13">
        <v>74</v>
      </c>
      <c r="AV13">
        <v>66</v>
      </c>
      <c r="AW13">
        <v>71</v>
      </c>
      <c r="AX13">
        <v>68</v>
      </c>
      <c r="AY13">
        <v>60</v>
      </c>
      <c r="AZ13">
        <v>58</v>
      </c>
      <c r="BA13">
        <v>58</v>
      </c>
      <c r="BB13">
        <v>69</v>
      </c>
      <c r="BC13">
        <v>73</v>
      </c>
      <c r="BD13">
        <v>69</v>
      </c>
    </row>
    <row r="14" spans="1:56" x14ac:dyDescent="0.25">
      <c r="A14" t="s">
        <v>4176</v>
      </c>
      <c r="B14" t="s">
        <v>121</v>
      </c>
      <c r="C14" t="s">
        <v>92</v>
      </c>
      <c r="D14">
        <v>351</v>
      </c>
      <c r="E14">
        <v>59.843000000000004</v>
      </c>
      <c r="F14">
        <v>53</v>
      </c>
      <c r="G14">
        <v>58</v>
      </c>
      <c r="H14">
        <v>53</v>
      </c>
      <c r="I14">
        <v>58</v>
      </c>
      <c r="J14">
        <v>56</v>
      </c>
      <c r="K14">
        <v>54</v>
      </c>
      <c r="L14">
        <v>62</v>
      </c>
      <c r="M14">
        <v>56</v>
      </c>
      <c r="N14">
        <v>54</v>
      </c>
      <c r="O14">
        <v>59</v>
      </c>
      <c r="P14">
        <v>59</v>
      </c>
      <c r="Q14">
        <v>58</v>
      </c>
      <c r="R14">
        <v>57</v>
      </c>
      <c r="S14">
        <v>55</v>
      </c>
      <c r="T14">
        <v>58</v>
      </c>
      <c r="U14">
        <v>59</v>
      </c>
      <c r="V14">
        <v>60</v>
      </c>
      <c r="W14">
        <v>59</v>
      </c>
      <c r="X14">
        <v>59</v>
      </c>
      <c r="Y14">
        <v>57</v>
      </c>
      <c r="Z14">
        <v>59</v>
      </c>
      <c r="AA14">
        <v>59</v>
      </c>
      <c r="AB14">
        <v>60</v>
      </c>
      <c r="AC14">
        <v>62</v>
      </c>
      <c r="AD14">
        <v>57</v>
      </c>
      <c r="AE14">
        <v>58</v>
      </c>
      <c r="AF14">
        <v>59</v>
      </c>
      <c r="AG14">
        <v>57</v>
      </c>
      <c r="AH14">
        <v>59</v>
      </c>
      <c r="AI14">
        <v>60</v>
      </c>
      <c r="AJ14">
        <v>61</v>
      </c>
      <c r="AK14">
        <v>59</v>
      </c>
      <c r="AL14">
        <v>65</v>
      </c>
      <c r="AM14">
        <v>61</v>
      </c>
      <c r="AN14">
        <v>61</v>
      </c>
      <c r="AO14">
        <v>59</v>
      </c>
      <c r="AP14">
        <v>58</v>
      </c>
      <c r="AQ14">
        <v>56</v>
      </c>
      <c r="AR14">
        <v>55</v>
      </c>
      <c r="AS14">
        <v>63</v>
      </c>
      <c r="AT14">
        <v>62</v>
      </c>
      <c r="AU14">
        <v>62</v>
      </c>
      <c r="AV14">
        <v>71</v>
      </c>
      <c r="AW14">
        <v>59</v>
      </c>
      <c r="AX14">
        <v>66</v>
      </c>
      <c r="AY14">
        <v>69</v>
      </c>
      <c r="AZ14">
        <v>70</v>
      </c>
      <c r="BA14">
        <v>65</v>
      </c>
      <c r="BB14">
        <v>67</v>
      </c>
      <c r="BC14">
        <v>68</v>
      </c>
      <c r="BD14">
        <v>61</v>
      </c>
    </row>
    <row r="15" spans="1:56" x14ac:dyDescent="0.25">
      <c r="A15" t="s">
        <v>4177</v>
      </c>
      <c r="B15" t="s">
        <v>122</v>
      </c>
      <c r="C15" t="s">
        <v>92</v>
      </c>
      <c r="D15">
        <v>208</v>
      </c>
      <c r="E15">
        <v>72.156999999999996</v>
      </c>
      <c r="F15">
        <v>65</v>
      </c>
      <c r="G15">
        <v>71</v>
      </c>
      <c r="H15">
        <v>65</v>
      </c>
      <c r="I15">
        <v>68</v>
      </c>
      <c r="J15">
        <v>71</v>
      </c>
      <c r="K15">
        <v>69</v>
      </c>
      <c r="L15">
        <v>70</v>
      </c>
      <c r="M15">
        <v>70</v>
      </c>
      <c r="N15">
        <v>72</v>
      </c>
      <c r="O15">
        <v>69</v>
      </c>
      <c r="P15">
        <v>66</v>
      </c>
      <c r="Q15">
        <v>69</v>
      </c>
      <c r="R15">
        <v>75</v>
      </c>
      <c r="S15">
        <v>77</v>
      </c>
      <c r="T15">
        <v>69</v>
      </c>
      <c r="U15">
        <v>76</v>
      </c>
      <c r="V15">
        <v>66</v>
      </c>
      <c r="W15">
        <v>69</v>
      </c>
      <c r="X15">
        <v>69</v>
      </c>
      <c r="Y15">
        <v>74</v>
      </c>
      <c r="Z15">
        <v>72</v>
      </c>
      <c r="AA15">
        <v>73</v>
      </c>
      <c r="AB15">
        <v>71</v>
      </c>
      <c r="AC15">
        <v>73</v>
      </c>
      <c r="AD15">
        <v>71</v>
      </c>
      <c r="AE15">
        <v>75</v>
      </c>
      <c r="AF15">
        <v>71</v>
      </c>
      <c r="AG15">
        <v>74</v>
      </c>
      <c r="AH15">
        <v>73</v>
      </c>
      <c r="AI15">
        <v>75</v>
      </c>
      <c r="AJ15">
        <v>78</v>
      </c>
      <c r="AK15">
        <v>77</v>
      </c>
      <c r="AL15">
        <v>72</v>
      </c>
      <c r="AM15">
        <v>73</v>
      </c>
      <c r="AN15">
        <v>70</v>
      </c>
      <c r="AO15">
        <v>70</v>
      </c>
      <c r="AP15">
        <v>68</v>
      </c>
      <c r="AQ15">
        <v>75</v>
      </c>
      <c r="AR15">
        <v>71</v>
      </c>
      <c r="AS15">
        <v>71</v>
      </c>
      <c r="AT15">
        <v>73</v>
      </c>
      <c r="AU15">
        <v>74</v>
      </c>
      <c r="AV15">
        <v>78</v>
      </c>
      <c r="AW15">
        <v>76</v>
      </c>
      <c r="AX15">
        <v>75</v>
      </c>
      <c r="AY15">
        <v>72</v>
      </c>
      <c r="AZ15">
        <v>73</v>
      </c>
      <c r="BA15">
        <v>77</v>
      </c>
      <c r="BB15">
        <v>77</v>
      </c>
      <c r="BC15">
        <v>79</v>
      </c>
      <c r="BD15">
        <v>73</v>
      </c>
    </row>
    <row r="16" spans="1:56" x14ac:dyDescent="0.25">
      <c r="A16" t="s">
        <v>4178</v>
      </c>
      <c r="B16" t="s">
        <v>123</v>
      </c>
      <c r="C16" t="s">
        <v>92</v>
      </c>
      <c r="D16">
        <v>184</v>
      </c>
      <c r="E16">
        <v>66.332999999999998</v>
      </c>
      <c r="F16">
        <v>54</v>
      </c>
      <c r="G16">
        <v>53</v>
      </c>
      <c r="H16">
        <v>61</v>
      </c>
      <c r="I16">
        <v>60</v>
      </c>
      <c r="J16">
        <v>54</v>
      </c>
      <c r="K16">
        <v>54</v>
      </c>
      <c r="L16">
        <v>56</v>
      </c>
      <c r="M16">
        <v>58</v>
      </c>
      <c r="N16">
        <v>67</v>
      </c>
      <c r="O16">
        <v>61</v>
      </c>
      <c r="P16">
        <v>70</v>
      </c>
      <c r="Q16">
        <v>66</v>
      </c>
      <c r="R16">
        <v>69</v>
      </c>
      <c r="S16">
        <v>65</v>
      </c>
      <c r="T16">
        <v>71</v>
      </c>
      <c r="U16">
        <v>67</v>
      </c>
      <c r="V16">
        <v>64</v>
      </c>
      <c r="W16">
        <v>67</v>
      </c>
      <c r="X16">
        <v>69</v>
      </c>
      <c r="Y16">
        <v>65</v>
      </c>
      <c r="Z16">
        <v>65</v>
      </c>
      <c r="AA16">
        <v>60</v>
      </c>
      <c r="AB16">
        <v>63</v>
      </c>
      <c r="AC16">
        <v>69</v>
      </c>
      <c r="AD16">
        <v>58</v>
      </c>
      <c r="AE16">
        <v>68</v>
      </c>
      <c r="AF16">
        <v>69</v>
      </c>
      <c r="AG16">
        <v>69</v>
      </c>
      <c r="AH16">
        <v>66</v>
      </c>
      <c r="AI16">
        <v>69</v>
      </c>
      <c r="AJ16">
        <v>65</v>
      </c>
      <c r="AK16">
        <v>72</v>
      </c>
      <c r="AL16">
        <v>66</v>
      </c>
      <c r="AM16">
        <v>68</v>
      </c>
      <c r="AN16">
        <v>65</v>
      </c>
      <c r="AO16">
        <v>69</v>
      </c>
      <c r="AP16">
        <v>67</v>
      </c>
      <c r="AQ16">
        <v>65</v>
      </c>
      <c r="AR16">
        <v>65</v>
      </c>
      <c r="AS16">
        <v>74</v>
      </c>
      <c r="AT16">
        <v>70</v>
      </c>
      <c r="AU16">
        <v>69</v>
      </c>
      <c r="AV16">
        <v>65</v>
      </c>
      <c r="AW16">
        <v>70</v>
      </c>
      <c r="AX16">
        <v>70</v>
      </c>
      <c r="AY16">
        <v>72</v>
      </c>
      <c r="AZ16">
        <v>75</v>
      </c>
      <c r="BA16">
        <v>77</v>
      </c>
      <c r="BB16">
        <v>74</v>
      </c>
      <c r="BC16">
        <v>77</v>
      </c>
      <c r="BD16">
        <v>81</v>
      </c>
    </row>
    <row r="17" spans="1:56" x14ac:dyDescent="0.25">
      <c r="A17" t="s">
        <v>4179</v>
      </c>
      <c r="B17" t="s">
        <v>124</v>
      </c>
      <c r="C17" t="s">
        <v>92</v>
      </c>
      <c r="D17">
        <v>825</v>
      </c>
      <c r="E17">
        <v>63.686</v>
      </c>
      <c r="F17">
        <v>59</v>
      </c>
      <c r="G17">
        <v>56</v>
      </c>
      <c r="H17">
        <v>56</v>
      </c>
      <c r="I17">
        <v>61</v>
      </c>
      <c r="J17">
        <v>54</v>
      </c>
      <c r="K17">
        <v>56</v>
      </c>
      <c r="L17">
        <v>62</v>
      </c>
      <c r="M17">
        <v>59</v>
      </c>
      <c r="N17">
        <v>56</v>
      </c>
      <c r="O17">
        <v>59</v>
      </c>
      <c r="P17">
        <v>60</v>
      </c>
      <c r="Q17">
        <v>63</v>
      </c>
      <c r="R17">
        <v>62</v>
      </c>
      <c r="S17">
        <v>60</v>
      </c>
      <c r="T17">
        <v>62</v>
      </c>
      <c r="U17">
        <v>65</v>
      </c>
      <c r="V17">
        <v>62</v>
      </c>
      <c r="W17">
        <v>61</v>
      </c>
      <c r="X17">
        <v>61</v>
      </c>
      <c r="Y17">
        <v>65</v>
      </c>
      <c r="Z17">
        <v>64</v>
      </c>
      <c r="AA17">
        <v>61</v>
      </c>
      <c r="AB17">
        <v>65</v>
      </c>
      <c r="AC17">
        <v>62</v>
      </c>
      <c r="AD17">
        <v>63</v>
      </c>
      <c r="AE17">
        <v>62</v>
      </c>
      <c r="AF17">
        <v>60</v>
      </c>
      <c r="AG17">
        <v>63</v>
      </c>
      <c r="AH17">
        <v>66</v>
      </c>
      <c r="AI17">
        <v>62</v>
      </c>
      <c r="AJ17">
        <v>66</v>
      </c>
      <c r="AK17">
        <v>67</v>
      </c>
      <c r="AL17">
        <v>68</v>
      </c>
      <c r="AM17">
        <v>66</v>
      </c>
      <c r="AN17">
        <v>66</v>
      </c>
      <c r="AO17">
        <v>62</v>
      </c>
      <c r="AP17">
        <v>65</v>
      </c>
      <c r="AQ17">
        <v>66</v>
      </c>
      <c r="AR17">
        <v>64</v>
      </c>
      <c r="AS17">
        <v>66</v>
      </c>
      <c r="AT17">
        <v>65</v>
      </c>
      <c r="AU17">
        <v>68</v>
      </c>
      <c r="AV17">
        <v>68</v>
      </c>
      <c r="AW17">
        <v>67</v>
      </c>
      <c r="AX17">
        <v>72</v>
      </c>
      <c r="AY17">
        <v>71</v>
      </c>
      <c r="AZ17">
        <v>71</v>
      </c>
      <c r="BA17">
        <v>71</v>
      </c>
      <c r="BB17">
        <v>70</v>
      </c>
      <c r="BC17">
        <v>71</v>
      </c>
      <c r="BD17">
        <v>71</v>
      </c>
    </row>
    <row r="18" spans="1:56" x14ac:dyDescent="0.25">
      <c r="A18" t="s">
        <v>4180</v>
      </c>
      <c r="B18" t="s">
        <v>125</v>
      </c>
      <c r="C18" t="s">
        <v>92</v>
      </c>
      <c r="D18">
        <v>563</v>
      </c>
      <c r="E18">
        <v>54.686</v>
      </c>
      <c r="F18">
        <v>49</v>
      </c>
      <c r="G18">
        <v>55</v>
      </c>
      <c r="H18">
        <v>53</v>
      </c>
      <c r="I18">
        <v>54</v>
      </c>
      <c r="J18">
        <v>52</v>
      </c>
      <c r="K18">
        <v>54</v>
      </c>
      <c r="L18">
        <v>56</v>
      </c>
      <c r="M18">
        <v>50</v>
      </c>
      <c r="N18">
        <v>48</v>
      </c>
      <c r="O18">
        <v>48</v>
      </c>
      <c r="P18">
        <v>51</v>
      </c>
      <c r="Q18">
        <v>52</v>
      </c>
      <c r="R18">
        <v>52</v>
      </c>
      <c r="S18">
        <v>54</v>
      </c>
      <c r="T18">
        <v>54</v>
      </c>
      <c r="U18">
        <v>53</v>
      </c>
      <c r="V18">
        <v>55</v>
      </c>
      <c r="W18">
        <v>53</v>
      </c>
      <c r="X18">
        <v>54</v>
      </c>
      <c r="Y18">
        <v>53</v>
      </c>
      <c r="Z18">
        <v>57</v>
      </c>
      <c r="AA18">
        <v>56</v>
      </c>
      <c r="AB18">
        <v>54</v>
      </c>
      <c r="AC18">
        <v>57</v>
      </c>
      <c r="AD18">
        <v>52</v>
      </c>
      <c r="AE18">
        <v>52</v>
      </c>
      <c r="AF18">
        <v>55</v>
      </c>
      <c r="AG18">
        <v>56</v>
      </c>
      <c r="AH18">
        <v>54</v>
      </c>
      <c r="AI18">
        <v>56</v>
      </c>
      <c r="AJ18">
        <v>55</v>
      </c>
      <c r="AK18">
        <v>59</v>
      </c>
      <c r="AL18">
        <v>56</v>
      </c>
      <c r="AM18">
        <v>58</v>
      </c>
      <c r="AN18">
        <v>55</v>
      </c>
      <c r="AO18">
        <v>54</v>
      </c>
      <c r="AP18">
        <v>58</v>
      </c>
      <c r="AQ18">
        <v>55</v>
      </c>
      <c r="AR18">
        <v>55</v>
      </c>
      <c r="AS18">
        <v>55</v>
      </c>
      <c r="AT18">
        <v>56</v>
      </c>
      <c r="AU18">
        <v>57</v>
      </c>
      <c r="AV18">
        <v>58</v>
      </c>
      <c r="AW18">
        <v>54</v>
      </c>
      <c r="AX18">
        <v>55</v>
      </c>
      <c r="AY18">
        <v>60</v>
      </c>
      <c r="AZ18">
        <v>63</v>
      </c>
      <c r="BA18">
        <v>56</v>
      </c>
      <c r="BB18">
        <v>59</v>
      </c>
      <c r="BC18">
        <v>56</v>
      </c>
      <c r="BD18">
        <v>56</v>
      </c>
    </row>
    <row r="19" spans="1:56" x14ac:dyDescent="0.25">
      <c r="A19" t="s">
        <v>4181</v>
      </c>
      <c r="B19" t="s">
        <v>71</v>
      </c>
      <c r="C19" t="s">
        <v>92</v>
      </c>
      <c r="D19">
        <v>350</v>
      </c>
      <c r="E19">
        <v>52.470999999999997</v>
      </c>
      <c r="F19">
        <v>52</v>
      </c>
      <c r="G19">
        <v>54</v>
      </c>
      <c r="H19">
        <v>49</v>
      </c>
      <c r="I19">
        <v>56</v>
      </c>
      <c r="J19">
        <v>51</v>
      </c>
      <c r="K19">
        <v>51</v>
      </c>
      <c r="L19">
        <v>55</v>
      </c>
      <c r="M19">
        <v>49</v>
      </c>
      <c r="N19">
        <v>47</v>
      </c>
      <c r="O19">
        <v>45</v>
      </c>
      <c r="P19">
        <v>49</v>
      </c>
      <c r="Q19">
        <v>50</v>
      </c>
      <c r="R19">
        <v>49</v>
      </c>
      <c r="S19">
        <v>52</v>
      </c>
      <c r="T19">
        <v>52</v>
      </c>
      <c r="U19">
        <v>52</v>
      </c>
      <c r="V19">
        <v>50</v>
      </c>
      <c r="W19">
        <v>51</v>
      </c>
      <c r="X19">
        <v>50</v>
      </c>
      <c r="Y19">
        <v>53</v>
      </c>
      <c r="Z19">
        <v>55</v>
      </c>
      <c r="AA19">
        <v>53</v>
      </c>
      <c r="AB19">
        <v>50</v>
      </c>
      <c r="AC19">
        <v>54</v>
      </c>
      <c r="AD19">
        <v>50</v>
      </c>
      <c r="AE19">
        <v>49</v>
      </c>
      <c r="AF19">
        <v>51</v>
      </c>
      <c r="AG19">
        <v>54</v>
      </c>
      <c r="AH19">
        <v>54</v>
      </c>
      <c r="AI19">
        <v>55</v>
      </c>
      <c r="AJ19">
        <v>51</v>
      </c>
      <c r="AK19">
        <v>56</v>
      </c>
      <c r="AL19">
        <v>55</v>
      </c>
      <c r="AM19">
        <v>56</v>
      </c>
      <c r="AN19">
        <v>52</v>
      </c>
      <c r="AO19">
        <v>51</v>
      </c>
      <c r="AP19">
        <v>57</v>
      </c>
      <c r="AQ19">
        <v>50</v>
      </c>
      <c r="AR19">
        <v>52</v>
      </c>
      <c r="AS19">
        <v>53</v>
      </c>
      <c r="AT19">
        <v>51</v>
      </c>
      <c r="AU19">
        <v>54</v>
      </c>
      <c r="AV19">
        <v>57</v>
      </c>
      <c r="AW19">
        <v>52</v>
      </c>
      <c r="AX19">
        <v>50</v>
      </c>
      <c r="AY19">
        <v>57</v>
      </c>
      <c r="AZ19">
        <v>61</v>
      </c>
      <c r="BA19">
        <v>53</v>
      </c>
      <c r="BB19">
        <v>57</v>
      </c>
      <c r="BC19">
        <v>55</v>
      </c>
      <c r="BD19">
        <v>54</v>
      </c>
    </row>
    <row r="20" spans="1:56" x14ac:dyDescent="0.25">
      <c r="A20" t="s">
        <v>4182</v>
      </c>
      <c r="B20" t="s">
        <v>127</v>
      </c>
      <c r="C20" t="s">
        <v>92</v>
      </c>
      <c r="D20">
        <v>213</v>
      </c>
      <c r="E20">
        <v>57.881999999999998</v>
      </c>
      <c r="F20">
        <v>44</v>
      </c>
      <c r="G20">
        <v>56</v>
      </c>
      <c r="H20">
        <v>58</v>
      </c>
      <c r="I20">
        <v>51</v>
      </c>
      <c r="J20">
        <v>54</v>
      </c>
      <c r="K20">
        <v>57</v>
      </c>
      <c r="L20">
        <v>58</v>
      </c>
      <c r="M20">
        <v>52</v>
      </c>
      <c r="N20">
        <v>48</v>
      </c>
      <c r="O20">
        <v>51</v>
      </c>
      <c r="P20">
        <v>54</v>
      </c>
      <c r="Q20">
        <v>56</v>
      </c>
      <c r="R20">
        <v>56</v>
      </c>
      <c r="S20">
        <v>57</v>
      </c>
      <c r="T20">
        <v>56</v>
      </c>
      <c r="U20">
        <v>54</v>
      </c>
      <c r="V20">
        <v>61</v>
      </c>
      <c r="W20">
        <v>56</v>
      </c>
      <c r="X20">
        <v>59</v>
      </c>
      <c r="Y20">
        <v>53</v>
      </c>
      <c r="Z20">
        <v>60</v>
      </c>
      <c r="AA20">
        <v>60</v>
      </c>
      <c r="AB20">
        <v>60</v>
      </c>
      <c r="AC20">
        <v>61</v>
      </c>
      <c r="AD20">
        <v>55</v>
      </c>
      <c r="AE20">
        <v>57</v>
      </c>
      <c r="AF20">
        <v>60</v>
      </c>
      <c r="AG20">
        <v>61</v>
      </c>
      <c r="AH20">
        <v>54</v>
      </c>
      <c r="AI20">
        <v>57</v>
      </c>
      <c r="AJ20">
        <v>62</v>
      </c>
      <c r="AK20">
        <v>62</v>
      </c>
      <c r="AL20">
        <v>59</v>
      </c>
      <c r="AM20">
        <v>62</v>
      </c>
      <c r="AN20">
        <v>58</v>
      </c>
      <c r="AO20">
        <v>57</v>
      </c>
      <c r="AP20">
        <v>59</v>
      </c>
      <c r="AQ20">
        <v>62</v>
      </c>
      <c r="AR20">
        <v>60</v>
      </c>
      <c r="AS20">
        <v>58</v>
      </c>
      <c r="AT20">
        <v>63</v>
      </c>
      <c r="AU20">
        <v>62</v>
      </c>
      <c r="AV20">
        <v>60</v>
      </c>
      <c r="AW20">
        <v>57</v>
      </c>
      <c r="AX20">
        <v>64</v>
      </c>
      <c r="AY20">
        <v>65</v>
      </c>
      <c r="AZ20">
        <v>67</v>
      </c>
      <c r="BA20">
        <v>60</v>
      </c>
      <c r="BB20">
        <v>62</v>
      </c>
      <c r="BC20">
        <v>57</v>
      </c>
      <c r="BD20">
        <v>60</v>
      </c>
    </row>
    <row r="21" spans="1:56" x14ac:dyDescent="0.25">
      <c r="A21" t="s">
        <v>4183</v>
      </c>
      <c r="B21" t="s">
        <v>128</v>
      </c>
      <c r="C21" t="s">
        <v>92</v>
      </c>
      <c r="D21">
        <v>784</v>
      </c>
      <c r="E21">
        <v>62.548999999999999</v>
      </c>
      <c r="F21">
        <v>57</v>
      </c>
      <c r="G21">
        <v>65</v>
      </c>
      <c r="H21">
        <v>60</v>
      </c>
      <c r="I21">
        <v>61</v>
      </c>
      <c r="J21">
        <v>57</v>
      </c>
      <c r="K21">
        <v>59</v>
      </c>
      <c r="L21">
        <v>64</v>
      </c>
      <c r="M21">
        <v>63</v>
      </c>
      <c r="N21">
        <v>60</v>
      </c>
      <c r="O21">
        <v>63</v>
      </c>
      <c r="P21">
        <v>60</v>
      </c>
      <c r="Q21">
        <v>61</v>
      </c>
      <c r="R21">
        <v>64</v>
      </c>
      <c r="S21">
        <v>64</v>
      </c>
      <c r="T21">
        <v>63</v>
      </c>
      <c r="U21">
        <v>65</v>
      </c>
      <c r="V21">
        <v>64</v>
      </c>
      <c r="W21">
        <v>66</v>
      </c>
      <c r="X21">
        <v>64</v>
      </c>
      <c r="Y21">
        <v>62</v>
      </c>
      <c r="Z21">
        <v>63</v>
      </c>
      <c r="AA21">
        <v>63</v>
      </c>
      <c r="AB21">
        <v>64</v>
      </c>
      <c r="AC21">
        <v>65</v>
      </c>
      <c r="AD21">
        <v>62</v>
      </c>
      <c r="AE21">
        <v>62</v>
      </c>
      <c r="AF21">
        <v>64</v>
      </c>
      <c r="AG21">
        <v>62</v>
      </c>
      <c r="AH21">
        <v>63</v>
      </c>
      <c r="AI21">
        <v>62</v>
      </c>
      <c r="AJ21">
        <v>63</v>
      </c>
      <c r="AK21">
        <v>64</v>
      </c>
      <c r="AL21">
        <v>64</v>
      </c>
      <c r="AM21">
        <v>65</v>
      </c>
      <c r="AN21">
        <v>65</v>
      </c>
      <c r="AO21">
        <v>62</v>
      </c>
      <c r="AP21">
        <v>62</v>
      </c>
      <c r="AQ21">
        <v>63</v>
      </c>
      <c r="AR21">
        <v>60</v>
      </c>
      <c r="AS21">
        <v>61</v>
      </c>
      <c r="AT21">
        <v>60</v>
      </c>
      <c r="AU21">
        <v>61</v>
      </c>
      <c r="AV21">
        <v>63</v>
      </c>
      <c r="AW21">
        <v>62</v>
      </c>
      <c r="AX21">
        <v>61</v>
      </c>
      <c r="AY21">
        <v>64</v>
      </c>
      <c r="AZ21">
        <v>64</v>
      </c>
      <c r="BA21">
        <v>64</v>
      </c>
      <c r="BB21">
        <v>66</v>
      </c>
      <c r="BC21">
        <v>63</v>
      </c>
      <c r="BD21">
        <v>61</v>
      </c>
    </row>
    <row r="22" spans="1:56" x14ac:dyDescent="0.25">
      <c r="A22" t="s">
        <v>4184</v>
      </c>
      <c r="B22" t="s">
        <v>72</v>
      </c>
      <c r="C22" t="s">
        <v>92</v>
      </c>
      <c r="D22">
        <v>103</v>
      </c>
      <c r="E22">
        <v>57.274999999999999</v>
      </c>
      <c r="F22">
        <v>53</v>
      </c>
      <c r="G22">
        <v>54</v>
      </c>
      <c r="H22">
        <v>52</v>
      </c>
      <c r="I22">
        <v>59</v>
      </c>
      <c r="J22">
        <v>53</v>
      </c>
      <c r="K22">
        <v>49</v>
      </c>
      <c r="L22">
        <v>62</v>
      </c>
      <c r="M22">
        <v>59</v>
      </c>
      <c r="N22">
        <v>55</v>
      </c>
      <c r="O22">
        <v>60</v>
      </c>
      <c r="P22">
        <v>50</v>
      </c>
      <c r="Q22">
        <v>57</v>
      </c>
      <c r="R22">
        <v>61</v>
      </c>
      <c r="S22">
        <v>61</v>
      </c>
      <c r="T22">
        <v>55</v>
      </c>
      <c r="U22">
        <v>66</v>
      </c>
      <c r="V22">
        <v>59</v>
      </c>
      <c r="W22">
        <v>57</v>
      </c>
      <c r="X22">
        <v>53</v>
      </c>
      <c r="Y22">
        <v>68</v>
      </c>
      <c r="Z22">
        <v>57</v>
      </c>
      <c r="AA22">
        <v>57</v>
      </c>
      <c r="AB22">
        <v>53</v>
      </c>
      <c r="AC22">
        <v>51</v>
      </c>
      <c r="AD22">
        <v>58</v>
      </c>
      <c r="AE22">
        <v>51</v>
      </c>
      <c r="AF22">
        <v>54</v>
      </c>
      <c r="AG22">
        <v>58</v>
      </c>
      <c r="AH22">
        <v>54</v>
      </c>
      <c r="AI22">
        <v>57</v>
      </c>
      <c r="AJ22">
        <v>55</v>
      </c>
      <c r="AK22">
        <v>71</v>
      </c>
      <c r="AL22">
        <v>57</v>
      </c>
      <c r="AM22">
        <v>48</v>
      </c>
      <c r="AN22">
        <v>55</v>
      </c>
      <c r="AO22">
        <v>55</v>
      </c>
      <c r="AP22">
        <v>50</v>
      </c>
      <c r="AQ22">
        <v>48</v>
      </c>
      <c r="AR22">
        <v>56</v>
      </c>
      <c r="AS22">
        <v>57</v>
      </c>
      <c r="AT22">
        <v>66</v>
      </c>
      <c r="AU22">
        <v>61</v>
      </c>
      <c r="AV22">
        <v>50</v>
      </c>
      <c r="AW22">
        <v>57</v>
      </c>
      <c r="AX22">
        <v>58</v>
      </c>
      <c r="AY22">
        <v>71</v>
      </c>
      <c r="AZ22">
        <v>58</v>
      </c>
      <c r="BA22">
        <v>61</v>
      </c>
      <c r="BB22">
        <v>59</v>
      </c>
      <c r="BC22">
        <v>70</v>
      </c>
      <c r="BD22">
        <v>65</v>
      </c>
    </row>
    <row r="23" spans="1:56" x14ac:dyDescent="0.25">
      <c r="A23" t="s">
        <v>4185</v>
      </c>
      <c r="B23" t="s">
        <v>240</v>
      </c>
      <c r="C23" t="s">
        <v>92</v>
      </c>
      <c r="D23">
        <v>42</v>
      </c>
      <c r="E23">
        <v>63.863</v>
      </c>
      <c r="F23">
        <v>35</v>
      </c>
      <c r="G23">
        <v>52</v>
      </c>
      <c r="H23">
        <v>56</v>
      </c>
      <c r="I23">
        <v>49</v>
      </c>
      <c r="J23">
        <v>59</v>
      </c>
      <c r="K23">
        <v>64</v>
      </c>
      <c r="L23">
        <v>68</v>
      </c>
      <c r="M23">
        <v>57</v>
      </c>
      <c r="N23">
        <v>65</v>
      </c>
      <c r="O23">
        <v>52</v>
      </c>
      <c r="P23">
        <v>72</v>
      </c>
      <c r="Q23">
        <v>61</v>
      </c>
      <c r="R23">
        <v>68</v>
      </c>
      <c r="S23">
        <v>81</v>
      </c>
      <c r="T23">
        <v>74</v>
      </c>
      <c r="U23">
        <v>66</v>
      </c>
      <c r="V23">
        <v>60</v>
      </c>
      <c r="W23">
        <v>53</v>
      </c>
      <c r="X23">
        <v>69</v>
      </c>
      <c r="Y23">
        <v>57</v>
      </c>
      <c r="Z23">
        <v>57</v>
      </c>
      <c r="AA23">
        <v>68</v>
      </c>
      <c r="AB23">
        <v>75</v>
      </c>
      <c r="AC23">
        <v>73</v>
      </c>
      <c r="AD23">
        <v>63</v>
      </c>
      <c r="AE23">
        <v>60</v>
      </c>
      <c r="AF23">
        <v>63</v>
      </c>
      <c r="AG23">
        <v>66</v>
      </c>
      <c r="AH23">
        <v>68</v>
      </c>
      <c r="AI23">
        <v>63</v>
      </c>
      <c r="AJ23">
        <v>76</v>
      </c>
      <c r="AK23">
        <v>69</v>
      </c>
      <c r="AL23">
        <v>69</v>
      </c>
      <c r="AM23">
        <v>69</v>
      </c>
      <c r="AN23">
        <v>74</v>
      </c>
      <c r="AO23">
        <v>57</v>
      </c>
      <c r="AP23">
        <v>68</v>
      </c>
      <c r="AQ23">
        <v>65</v>
      </c>
      <c r="AR23">
        <v>59</v>
      </c>
      <c r="AS23">
        <v>55</v>
      </c>
      <c r="AT23">
        <v>70</v>
      </c>
      <c r="AU23">
        <v>71</v>
      </c>
      <c r="AV23">
        <v>70</v>
      </c>
      <c r="AW23">
        <v>65</v>
      </c>
      <c r="AX23">
        <v>70</v>
      </c>
      <c r="AY23">
        <v>78</v>
      </c>
      <c r="AZ23">
        <v>70</v>
      </c>
      <c r="BA23">
        <v>63</v>
      </c>
      <c r="BB23">
        <v>56</v>
      </c>
      <c r="BC23">
        <v>60</v>
      </c>
      <c r="BD23">
        <v>49</v>
      </c>
    </row>
    <row r="24" spans="1:56" x14ac:dyDescent="0.25">
      <c r="A24" t="s">
        <v>4186</v>
      </c>
      <c r="B24" t="s">
        <v>129</v>
      </c>
      <c r="C24" t="s">
        <v>92</v>
      </c>
      <c r="D24">
        <v>74</v>
      </c>
      <c r="E24">
        <v>66.745000000000005</v>
      </c>
      <c r="F24">
        <v>76</v>
      </c>
      <c r="G24">
        <v>73</v>
      </c>
      <c r="H24">
        <v>72</v>
      </c>
      <c r="I24">
        <v>73</v>
      </c>
      <c r="J24">
        <v>66</v>
      </c>
      <c r="K24">
        <v>66</v>
      </c>
      <c r="L24">
        <v>71</v>
      </c>
      <c r="M24">
        <v>55</v>
      </c>
      <c r="N24">
        <v>65</v>
      </c>
      <c r="O24">
        <v>68</v>
      </c>
      <c r="P24">
        <v>72</v>
      </c>
      <c r="Q24">
        <v>63</v>
      </c>
      <c r="R24">
        <v>75</v>
      </c>
      <c r="S24">
        <v>68</v>
      </c>
      <c r="T24">
        <v>60</v>
      </c>
      <c r="U24">
        <v>66</v>
      </c>
      <c r="V24">
        <v>61</v>
      </c>
      <c r="W24">
        <v>66</v>
      </c>
      <c r="X24">
        <v>70</v>
      </c>
      <c r="Y24">
        <v>67</v>
      </c>
      <c r="Z24">
        <v>61</v>
      </c>
      <c r="AA24">
        <v>54</v>
      </c>
      <c r="AB24">
        <v>58</v>
      </c>
      <c r="AC24">
        <v>62</v>
      </c>
      <c r="AD24">
        <v>57</v>
      </c>
      <c r="AE24">
        <v>61</v>
      </c>
      <c r="AF24">
        <v>71</v>
      </c>
      <c r="AG24">
        <v>55</v>
      </c>
      <c r="AH24">
        <v>64</v>
      </c>
      <c r="AI24">
        <v>60</v>
      </c>
      <c r="AJ24">
        <v>65</v>
      </c>
      <c r="AK24">
        <v>74</v>
      </c>
      <c r="AL24">
        <v>72</v>
      </c>
      <c r="AM24">
        <v>71</v>
      </c>
      <c r="AN24">
        <v>63</v>
      </c>
      <c r="AO24">
        <v>65</v>
      </c>
      <c r="AP24">
        <v>62</v>
      </c>
      <c r="AQ24">
        <v>68</v>
      </c>
      <c r="AR24">
        <v>72</v>
      </c>
      <c r="AS24">
        <v>68</v>
      </c>
      <c r="AT24">
        <v>59</v>
      </c>
      <c r="AU24">
        <v>60</v>
      </c>
      <c r="AV24">
        <v>71</v>
      </c>
      <c r="AW24">
        <v>70</v>
      </c>
      <c r="AX24">
        <v>63</v>
      </c>
      <c r="AY24">
        <v>75</v>
      </c>
      <c r="AZ24">
        <v>71</v>
      </c>
      <c r="BA24">
        <v>78</v>
      </c>
      <c r="BB24">
        <v>73</v>
      </c>
      <c r="BC24">
        <v>72</v>
      </c>
      <c r="BD24">
        <v>76</v>
      </c>
    </row>
    <row r="25" spans="1:56" x14ac:dyDescent="0.25">
      <c r="A25" t="s">
        <v>4187</v>
      </c>
      <c r="B25" t="s">
        <v>241</v>
      </c>
      <c r="C25" t="s">
        <v>92</v>
      </c>
      <c r="D25">
        <v>137</v>
      </c>
      <c r="E25">
        <v>56.372999999999998</v>
      </c>
      <c r="F25">
        <v>70</v>
      </c>
      <c r="G25">
        <v>51</v>
      </c>
      <c r="H25">
        <v>43</v>
      </c>
      <c r="I25">
        <v>65</v>
      </c>
      <c r="J25">
        <v>53</v>
      </c>
      <c r="K25">
        <v>60</v>
      </c>
      <c r="L25">
        <v>53</v>
      </c>
      <c r="M25">
        <v>48</v>
      </c>
      <c r="N25">
        <v>45</v>
      </c>
      <c r="O25">
        <v>49</v>
      </c>
      <c r="P25">
        <v>46</v>
      </c>
      <c r="Q25">
        <v>44</v>
      </c>
      <c r="R25">
        <v>50</v>
      </c>
      <c r="S25">
        <v>46</v>
      </c>
      <c r="T25">
        <v>52</v>
      </c>
      <c r="U25">
        <v>58</v>
      </c>
      <c r="V25">
        <v>57</v>
      </c>
      <c r="W25">
        <v>58</v>
      </c>
      <c r="X25">
        <v>57</v>
      </c>
      <c r="Y25">
        <v>59</v>
      </c>
      <c r="Z25">
        <v>56</v>
      </c>
      <c r="AA25">
        <v>66</v>
      </c>
      <c r="AB25">
        <v>55</v>
      </c>
      <c r="AC25">
        <v>53</v>
      </c>
      <c r="AD25">
        <v>63</v>
      </c>
      <c r="AE25">
        <v>53</v>
      </c>
      <c r="AF25">
        <v>60</v>
      </c>
      <c r="AG25">
        <v>62</v>
      </c>
      <c r="AH25">
        <v>55</v>
      </c>
      <c r="AI25">
        <v>55</v>
      </c>
      <c r="AJ25">
        <v>59</v>
      </c>
      <c r="AK25">
        <v>56</v>
      </c>
      <c r="AL25">
        <v>55</v>
      </c>
      <c r="AM25">
        <v>51</v>
      </c>
      <c r="AN25">
        <v>53</v>
      </c>
      <c r="AO25">
        <v>52</v>
      </c>
      <c r="AP25">
        <v>59</v>
      </c>
      <c r="AQ25">
        <v>55</v>
      </c>
      <c r="AR25">
        <v>59</v>
      </c>
      <c r="AS25">
        <v>62</v>
      </c>
      <c r="AT25">
        <v>59</v>
      </c>
      <c r="AU25">
        <v>59</v>
      </c>
      <c r="AV25">
        <v>65</v>
      </c>
      <c r="AW25">
        <v>60</v>
      </c>
      <c r="AX25">
        <v>60</v>
      </c>
      <c r="AY25">
        <v>60</v>
      </c>
      <c r="AZ25">
        <v>63</v>
      </c>
      <c r="BA25">
        <v>58</v>
      </c>
      <c r="BB25">
        <v>57</v>
      </c>
      <c r="BC25">
        <v>64</v>
      </c>
      <c r="BD25">
        <v>67</v>
      </c>
    </row>
    <row r="26" spans="1:56" x14ac:dyDescent="0.25">
      <c r="A26" t="s">
        <v>4188</v>
      </c>
      <c r="B26" t="s">
        <v>242</v>
      </c>
      <c r="C26" t="s">
        <v>92</v>
      </c>
      <c r="D26">
        <v>65</v>
      </c>
      <c r="E26">
        <v>58.49</v>
      </c>
      <c r="F26">
        <v>61</v>
      </c>
      <c r="G26">
        <v>53</v>
      </c>
      <c r="H26">
        <v>61</v>
      </c>
      <c r="I26">
        <v>52</v>
      </c>
      <c r="J26">
        <v>52</v>
      </c>
      <c r="K26">
        <v>36</v>
      </c>
      <c r="L26">
        <v>48</v>
      </c>
      <c r="M26">
        <v>63</v>
      </c>
      <c r="N26">
        <v>58</v>
      </c>
      <c r="O26">
        <v>51</v>
      </c>
      <c r="P26">
        <v>63</v>
      </c>
      <c r="Q26">
        <v>61</v>
      </c>
      <c r="R26">
        <v>59</v>
      </c>
      <c r="S26">
        <v>65</v>
      </c>
      <c r="T26">
        <v>55</v>
      </c>
      <c r="U26">
        <v>70</v>
      </c>
      <c r="V26">
        <v>68</v>
      </c>
      <c r="W26">
        <v>64</v>
      </c>
      <c r="X26">
        <v>67</v>
      </c>
      <c r="Y26">
        <v>65</v>
      </c>
      <c r="Z26">
        <v>66</v>
      </c>
      <c r="AA26">
        <v>63</v>
      </c>
      <c r="AB26">
        <v>57</v>
      </c>
      <c r="AC26">
        <v>52</v>
      </c>
      <c r="AD26">
        <v>56</v>
      </c>
      <c r="AE26">
        <v>46</v>
      </c>
      <c r="AF26">
        <v>52</v>
      </c>
      <c r="AG26">
        <v>70</v>
      </c>
      <c r="AH26">
        <v>66</v>
      </c>
      <c r="AI26">
        <v>68</v>
      </c>
      <c r="AJ26">
        <v>61</v>
      </c>
      <c r="AK26">
        <v>59</v>
      </c>
      <c r="AL26">
        <v>53</v>
      </c>
      <c r="AM26">
        <v>62</v>
      </c>
      <c r="AN26">
        <v>49</v>
      </c>
      <c r="AO26">
        <v>69</v>
      </c>
      <c r="AP26">
        <v>53</v>
      </c>
      <c r="AQ26">
        <v>61</v>
      </c>
      <c r="AR26">
        <v>55</v>
      </c>
      <c r="AS26">
        <v>51</v>
      </c>
      <c r="AT26">
        <v>64</v>
      </c>
      <c r="AU26">
        <v>60</v>
      </c>
      <c r="AV26">
        <v>56</v>
      </c>
      <c r="AW26">
        <v>60</v>
      </c>
      <c r="AX26">
        <v>48</v>
      </c>
      <c r="AY26">
        <v>61</v>
      </c>
      <c r="AZ26">
        <v>62</v>
      </c>
      <c r="BA26">
        <v>51</v>
      </c>
      <c r="BB26">
        <v>57</v>
      </c>
      <c r="BC26">
        <v>59</v>
      </c>
      <c r="BD26">
        <v>64</v>
      </c>
    </row>
    <row r="27" spans="1:56" x14ac:dyDescent="0.25">
      <c r="A27" t="s">
        <v>4189</v>
      </c>
      <c r="B27" t="s">
        <v>132</v>
      </c>
      <c r="C27" t="s">
        <v>92</v>
      </c>
      <c r="D27">
        <v>124</v>
      </c>
      <c r="E27">
        <v>69.569000000000003</v>
      </c>
      <c r="F27">
        <v>68</v>
      </c>
      <c r="G27">
        <v>76</v>
      </c>
      <c r="H27">
        <v>76</v>
      </c>
      <c r="I27">
        <v>78</v>
      </c>
      <c r="J27">
        <v>70</v>
      </c>
      <c r="K27">
        <v>71</v>
      </c>
      <c r="L27">
        <v>75</v>
      </c>
      <c r="M27">
        <v>74</v>
      </c>
      <c r="N27">
        <v>63</v>
      </c>
      <c r="O27">
        <v>68</v>
      </c>
      <c r="P27">
        <v>64</v>
      </c>
      <c r="Q27">
        <v>72</v>
      </c>
      <c r="R27">
        <v>70</v>
      </c>
      <c r="S27">
        <v>66</v>
      </c>
      <c r="T27">
        <v>77</v>
      </c>
      <c r="U27">
        <v>74</v>
      </c>
      <c r="V27">
        <v>74</v>
      </c>
      <c r="W27">
        <v>79</v>
      </c>
      <c r="X27">
        <v>76</v>
      </c>
      <c r="Y27">
        <v>76</v>
      </c>
      <c r="Z27">
        <v>75</v>
      </c>
      <c r="AA27">
        <v>70</v>
      </c>
      <c r="AB27">
        <v>76</v>
      </c>
      <c r="AC27">
        <v>75</v>
      </c>
      <c r="AD27">
        <v>69</v>
      </c>
      <c r="AE27">
        <v>75</v>
      </c>
      <c r="AF27">
        <v>78</v>
      </c>
      <c r="AG27">
        <v>67</v>
      </c>
      <c r="AH27">
        <v>69</v>
      </c>
      <c r="AI27">
        <v>62</v>
      </c>
      <c r="AJ27">
        <v>70</v>
      </c>
      <c r="AK27">
        <v>66</v>
      </c>
      <c r="AL27">
        <v>73</v>
      </c>
      <c r="AM27">
        <v>66</v>
      </c>
      <c r="AN27">
        <v>70</v>
      </c>
      <c r="AO27">
        <v>63</v>
      </c>
      <c r="AP27">
        <v>71</v>
      </c>
      <c r="AQ27">
        <v>69</v>
      </c>
      <c r="AR27">
        <v>72</v>
      </c>
      <c r="AS27">
        <v>73</v>
      </c>
      <c r="AT27">
        <v>70</v>
      </c>
      <c r="AU27">
        <v>61</v>
      </c>
      <c r="AV27">
        <v>60</v>
      </c>
      <c r="AW27">
        <v>61</v>
      </c>
      <c r="AX27">
        <v>66</v>
      </c>
      <c r="AY27">
        <v>63</v>
      </c>
      <c r="AZ27">
        <v>65</v>
      </c>
      <c r="BA27">
        <v>55</v>
      </c>
      <c r="BB27">
        <v>59</v>
      </c>
      <c r="BC27">
        <v>65</v>
      </c>
      <c r="BD27">
        <v>67</v>
      </c>
    </row>
    <row r="28" spans="1:56" x14ac:dyDescent="0.25">
      <c r="A28" t="s">
        <v>4190</v>
      </c>
      <c r="B28" t="s">
        <v>243</v>
      </c>
      <c r="C28" t="s">
        <v>92</v>
      </c>
      <c r="D28">
        <v>184</v>
      </c>
      <c r="E28">
        <v>78.843000000000004</v>
      </c>
      <c r="F28">
        <v>47</v>
      </c>
      <c r="G28">
        <v>72</v>
      </c>
      <c r="H28">
        <v>65</v>
      </c>
      <c r="I28">
        <v>67</v>
      </c>
      <c r="J28">
        <v>65</v>
      </c>
      <c r="K28">
        <v>73</v>
      </c>
      <c r="L28">
        <v>75</v>
      </c>
      <c r="M28">
        <v>72</v>
      </c>
      <c r="N28">
        <v>77</v>
      </c>
      <c r="O28">
        <v>79</v>
      </c>
      <c r="P28">
        <v>72</v>
      </c>
      <c r="Q28">
        <v>76</v>
      </c>
      <c r="R28">
        <v>79</v>
      </c>
      <c r="S28">
        <v>78</v>
      </c>
      <c r="T28">
        <v>81</v>
      </c>
      <c r="U28">
        <v>80</v>
      </c>
      <c r="V28">
        <v>80</v>
      </c>
      <c r="W28">
        <v>83</v>
      </c>
      <c r="X28">
        <v>73</v>
      </c>
      <c r="Y28">
        <v>75</v>
      </c>
      <c r="Z28">
        <v>72</v>
      </c>
      <c r="AA28">
        <v>77</v>
      </c>
      <c r="AB28">
        <v>76</v>
      </c>
      <c r="AC28">
        <v>75</v>
      </c>
      <c r="AD28">
        <v>75</v>
      </c>
      <c r="AE28">
        <v>81</v>
      </c>
      <c r="AF28">
        <v>84</v>
      </c>
      <c r="AG28">
        <v>78</v>
      </c>
      <c r="AH28">
        <v>79</v>
      </c>
      <c r="AI28">
        <v>80</v>
      </c>
      <c r="AJ28">
        <v>81</v>
      </c>
      <c r="AK28">
        <v>85</v>
      </c>
      <c r="AL28">
        <v>89</v>
      </c>
      <c r="AM28">
        <v>85</v>
      </c>
      <c r="AN28">
        <v>87</v>
      </c>
      <c r="AO28">
        <v>81</v>
      </c>
      <c r="AP28">
        <v>86</v>
      </c>
      <c r="AQ28">
        <v>86</v>
      </c>
      <c r="AR28">
        <v>81</v>
      </c>
      <c r="AS28">
        <v>86</v>
      </c>
      <c r="AT28">
        <v>82</v>
      </c>
      <c r="AU28">
        <v>82</v>
      </c>
      <c r="AV28">
        <v>83</v>
      </c>
      <c r="AW28">
        <v>86</v>
      </c>
      <c r="AX28">
        <v>81</v>
      </c>
      <c r="AY28">
        <v>88</v>
      </c>
      <c r="AZ28">
        <v>83</v>
      </c>
      <c r="BA28">
        <v>90</v>
      </c>
      <c r="BB28">
        <v>83</v>
      </c>
      <c r="BC28">
        <v>87</v>
      </c>
      <c r="BD28">
        <v>83</v>
      </c>
    </row>
    <row r="29" spans="1:56" x14ac:dyDescent="0.25">
      <c r="A29" t="s">
        <v>4191</v>
      </c>
      <c r="B29" t="s">
        <v>37</v>
      </c>
      <c r="C29" t="s">
        <v>92</v>
      </c>
      <c r="D29">
        <v>1152</v>
      </c>
      <c r="E29">
        <v>79.686000000000007</v>
      </c>
      <c r="F29">
        <v>82</v>
      </c>
      <c r="G29">
        <v>85</v>
      </c>
      <c r="H29">
        <v>84</v>
      </c>
      <c r="I29">
        <v>82</v>
      </c>
      <c r="J29">
        <v>84</v>
      </c>
      <c r="K29">
        <v>80</v>
      </c>
      <c r="L29">
        <v>81</v>
      </c>
      <c r="M29">
        <v>79</v>
      </c>
      <c r="N29">
        <v>81</v>
      </c>
      <c r="O29">
        <v>79</v>
      </c>
      <c r="P29">
        <v>80</v>
      </c>
      <c r="Q29">
        <v>80</v>
      </c>
      <c r="R29">
        <v>82</v>
      </c>
      <c r="S29">
        <v>81</v>
      </c>
      <c r="T29">
        <v>80</v>
      </c>
      <c r="U29">
        <v>80</v>
      </c>
      <c r="V29">
        <v>81</v>
      </c>
      <c r="W29">
        <v>81</v>
      </c>
      <c r="X29">
        <v>80</v>
      </c>
      <c r="Y29">
        <v>80</v>
      </c>
      <c r="Z29">
        <v>78</v>
      </c>
      <c r="AA29">
        <v>79</v>
      </c>
      <c r="AB29">
        <v>80</v>
      </c>
      <c r="AC29">
        <v>79</v>
      </c>
      <c r="AD29">
        <v>76</v>
      </c>
      <c r="AE29">
        <v>78</v>
      </c>
      <c r="AF29">
        <v>78</v>
      </c>
      <c r="AG29">
        <v>76</v>
      </c>
      <c r="AH29">
        <v>78</v>
      </c>
      <c r="AI29">
        <v>78</v>
      </c>
      <c r="AJ29">
        <v>79</v>
      </c>
      <c r="AK29">
        <v>79</v>
      </c>
      <c r="AL29">
        <v>79</v>
      </c>
      <c r="AM29">
        <v>79</v>
      </c>
      <c r="AN29">
        <v>79</v>
      </c>
      <c r="AO29">
        <v>77</v>
      </c>
      <c r="AP29">
        <v>78</v>
      </c>
      <c r="AQ29">
        <v>79</v>
      </c>
      <c r="AR29">
        <v>78</v>
      </c>
      <c r="AS29">
        <v>79</v>
      </c>
      <c r="AT29">
        <v>80</v>
      </c>
      <c r="AU29">
        <v>80</v>
      </c>
      <c r="AV29">
        <v>80</v>
      </c>
      <c r="AW29">
        <v>80</v>
      </c>
      <c r="AX29">
        <v>81</v>
      </c>
      <c r="AY29">
        <v>80</v>
      </c>
      <c r="AZ29">
        <v>78</v>
      </c>
      <c r="BA29">
        <v>79</v>
      </c>
      <c r="BB29">
        <v>80</v>
      </c>
      <c r="BC29">
        <v>79</v>
      </c>
      <c r="BD29">
        <v>79</v>
      </c>
    </row>
    <row r="30" spans="1:56" x14ac:dyDescent="0.25">
      <c r="A30" t="s">
        <v>4192</v>
      </c>
      <c r="B30" t="s">
        <v>134</v>
      </c>
      <c r="C30" t="s">
        <v>92</v>
      </c>
      <c r="D30">
        <v>373</v>
      </c>
      <c r="E30">
        <v>79.98</v>
      </c>
      <c r="F30">
        <v>82</v>
      </c>
      <c r="G30">
        <v>83</v>
      </c>
      <c r="H30">
        <v>85</v>
      </c>
      <c r="I30">
        <v>84</v>
      </c>
      <c r="J30">
        <v>85</v>
      </c>
      <c r="K30">
        <v>82</v>
      </c>
      <c r="L30">
        <v>81</v>
      </c>
      <c r="M30">
        <v>79</v>
      </c>
      <c r="N30">
        <v>80</v>
      </c>
      <c r="O30">
        <v>80</v>
      </c>
      <c r="P30">
        <v>79</v>
      </c>
      <c r="Q30">
        <v>83</v>
      </c>
      <c r="R30">
        <v>83</v>
      </c>
      <c r="S30">
        <v>83</v>
      </c>
      <c r="T30">
        <v>80</v>
      </c>
      <c r="U30">
        <v>80</v>
      </c>
      <c r="V30">
        <v>79</v>
      </c>
      <c r="W30">
        <v>81</v>
      </c>
      <c r="X30">
        <v>79</v>
      </c>
      <c r="Y30">
        <v>80</v>
      </c>
      <c r="Z30">
        <v>78</v>
      </c>
      <c r="AA30">
        <v>78</v>
      </c>
      <c r="AB30">
        <v>80</v>
      </c>
      <c r="AC30">
        <v>77</v>
      </c>
      <c r="AD30">
        <v>77</v>
      </c>
      <c r="AE30">
        <v>78</v>
      </c>
      <c r="AF30">
        <v>78</v>
      </c>
      <c r="AG30">
        <v>74</v>
      </c>
      <c r="AH30">
        <v>77</v>
      </c>
      <c r="AI30">
        <v>77</v>
      </c>
      <c r="AJ30">
        <v>77</v>
      </c>
      <c r="AK30">
        <v>77</v>
      </c>
      <c r="AL30">
        <v>76</v>
      </c>
      <c r="AM30">
        <v>78</v>
      </c>
      <c r="AN30">
        <v>78</v>
      </c>
      <c r="AO30">
        <v>75</v>
      </c>
      <c r="AP30">
        <v>75</v>
      </c>
      <c r="AQ30">
        <v>76</v>
      </c>
      <c r="AR30">
        <v>80</v>
      </c>
      <c r="AS30">
        <v>79</v>
      </c>
      <c r="AT30">
        <v>79</v>
      </c>
      <c r="AU30">
        <v>79</v>
      </c>
      <c r="AV30">
        <v>82</v>
      </c>
      <c r="AW30">
        <v>80</v>
      </c>
      <c r="AX30">
        <v>82</v>
      </c>
      <c r="AY30">
        <v>81</v>
      </c>
      <c r="AZ30">
        <v>78</v>
      </c>
      <c r="BA30">
        <v>85</v>
      </c>
      <c r="BB30">
        <v>85</v>
      </c>
      <c r="BC30">
        <v>89</v>
      </c>
      <c r="BD30">
        <v>86</v>
      </c>
    </row>
    <row r="31" spans="1:56" x14ac:dyDescent="0.25">
      <c r="A31" t="s">
        <v>4193</v>
      </c>
      <c r="B31" t="s">
        <v>135</v>
      </c>
      <c r="C31" t="s">
        <v>92</v>
      </c>
      <c r="D31">
        <v>159</v>
      </c>
      <c r="E31">
        <v>86.804000000000002</v>
      </c>
      <c r="F31">
        <v>85</v>
      </c>
      <c r="G31">
        <v>96</v>
      </c>
      <c r="H31">
        <v>91</v>
      </c>
      <c r="I31">
        <v>85</v>
      </c>
      <c r="J31">
        <v>91</v>
      </c>
      <c r="K31">
        <v>83</v>
      </c>
      <c r="L31">
        <v>86</v>
      </c>
      <c r="M31">
        <v>88</v>
      </c>
      <c r="N31">
        <v>88</v>
      </c>
      <c r="O31">
        <v>88</v>
      </c>
      <c r="P31">
        <v>86</v>
      </c>
      <c r="Q31">
        <v>87</v>
      </c>
      <c r="R31">
        <v>87</v>
      </c>
      <c r="S31">
        <v>88</v>
      </c>
      <c r="T31">
        <v>90</v>
      </c>
      <c r="U31">
        <v>82</v>
      </c>
      <c r="V31">
        <v>90</v>
      </c>
      <c r="W31">
        <v>90</v>
      </c>
      <c r="X31">
        <v>89</v>
      </c>
      <c r="Y31">
        <v>85</v>
      </c>
      <c r="Z31">
        <v>81</v>
      </c>
      <c r="AA31">
        <v>88</v>
      </c>
      <c r="AB31">
        <v>86</v>
      </c>
      <c r="AC31">
        <v>87</v>
      </c>
      <c r="AD31">
        <v>85</v>
      </c>
      <c r="AE31">
        <v>84</v>
      </c>
      <c r="AF31">
        <v>86</v>
      </c>
      <c r="AG31">
        <v>86</v>
      </c>
      <c r="AH31">
        <v>85</v>
      </c>
      <c r="AI31">
        <v>83</v>
      </c>
      <c r="AJ31">
        <v>88</v>
      </c>
      <c r="AK31">
        <v>83</v>
      </c>
      <c r="AL31">
        <v>87</v>
      </c>
      <c r="AM31">
        <v>87</v>
      </c>
      <c r="AN31">
        <v>88</v>
      </c>
      <c r="AO31">
        <v>88</v>
      </c>
      <c r="AP31">
        <v>91</v>
      </c>
      <c r="AQ31">
        <v>93</v>
      </c>
      <c r="AR31">
        <v>85</v>
      </c>
      <c r="AS31">
        <v>92</v>
      </c>
      <c r="AT31">
        <v>89</v>
      </c>
      <c r="AU31">
        <v>90</v>
      </c>
      <c r="AV31">
        <v>88</v>
      </c>
      <c r="AW31">
        <v>85</v>
      </c>
      <c r="AX31">
        <v>87</v>
      </c>
      <c r="AY31">
        <v>78</v>
      </c>
      <c r="AZ31">
        <v>82</v>
      </c>
      <c r="BA31">
        <v>86</v>
      </c>
      <c r="BB31">
        <v>87</v>
      </c>
      <c r="BC31">
        <v>80</v>
      </c>
      <c r="BD31">
        <v>87</v>
      </c>
    </row>
    <row r="32" spans="1:56" x14ac:dyDescent="0.25">
      <c r="A32" t="s">
        <v>4194</v>
      </c>
      <c r="B32" t="s">
        <v>136</v>
      </c>
      <c r="C32" t="s">
        <v>92</v>
      </c>
      <c r="D32">
        <v>436</v>
      </c>
      <c r="E32">
        <v>76.960999999999999</v>
      </c>
      <c r="F32">
        <v>83</v>
      </c>
      <c r="G32">
        <v>84</v>
      </c>
      <c r="H32">
        <v>80</v>
      </c>
      <c r="I32">
        <v>78</v>
      </c>
      <c r="J32">
        <v>79</v>
      </c>
      <c r="K32">
        <v>76</v>
      </c>
      <c r="L32">
        <v>78</v>
      </c>
      <c r="M32">
        <v>73</v>
      </c>
      <c r="N32">
        <v>78</v>
      </c>
      <c r="O32">
        <v>75</v>
      </c>
      <c r="P32">
        <v>77</v>
      </c>
      <c r="Q32">
        <v>76</v>
      </c>
      <c r="R32">
        <v>77</v>
      </c>
      <c r="S32">
        <v>75</v>
      </c>
      <c r="T32">
        <v>77</v>
      </c>
      <c r="U32">
        <v>77</v>
      </c>
      <c r="V32">
        <v>80</v>
      </c>
      <c r="W32">
        <v>77</v>
      </c>
      <c r="X32">
        <v>77</v>
      </c>
      <c r="Y32">
        <v>79</v>
      </c>
      <c r="Z32">
        <v>77</v>
      </c>
      <c r="AA32">
        <v>75</v>
      </c>
      <c r="AB32">
        <v>79</v>
      </c>
      <c r="AC32">
        <v>77</v>
      </c>
      <c r="AD32">
        <v>72</v>
      </c>
      <c r="AE32">
        <v>76</v>
      </c>
      <c r="AF32">
        <v>74</v>
      </c>
      <c r="AG32">
        <v>71</v>
      </c>
      <c r="AH32">
        <v>76</v>
      </c>
      <c r="AI32">
        <v>79</v>
      </c>
      <c r="AJ32">
        <v>79</v>
      </c>
      <c r="AK32">
        <v>78</v>
      </c>
      <c r="AL32">
        <v>78</v>
      </c>
      <c r="AM32">
        <v>76</v>
      </c>
      <c r="AN32">
        <v>77</v>
      </c>
      <c r="AO32">
        <v>76</v>
      </c>
      <c r="AP32">
        <v>78</v>
      </c>
      <c r="AQ32">
        <v>75</v>
      </c>
      <c r="AR32">
        <v>74</v>
      </c>
      <c r="AS32">
        <v>76</v>
      </c>
      <c r="AT32">
        <v>76</v>
      </c>
      <c r="AU32">
        <v>79</v>
      </c>
      <c r="AV32">
        <v>75</v>
      </c>
      <c r="AW32">
        <v>76</v>
      </c>
      <c r="AX32">
        <v>76</v>
      </c>
      <c r="AY32">
        <v>79</v>
      </c>
      <c r="AZ32">
        <v>77</v>
      </c>
      <c r="BA32">
        <v>77</v>
      </c>
      <c r="BB32">
        <v>79</v>
      </c>
      <c r="BC32">
        <v>75</v>
      </c>
      <c r="BD32">
        <v>77</v>
      </c>
    </row>
    <row r="33" spans="1:56" x14ac:dyDescent="0.25">
      <c r="A33" t="s">
        <v>4195</v>
      </c>
      <c r="B33" t="s">
        <v>38</v>
      </c>
      <c r="C33" t="s">
        <v>92</v>
      </c>
      <c r="D33">
        <v>3546</v>
      </c>
      <c r="E33">
        <v>63.569000000000003</v>
      </c>
      <c r="F33">
        <v>60</v>
      </c>
      <c r="G33">
        <v>63</v>
      </c>
      <c r="H33">
        <v>59</v>
      </c>
      <c r="I33">
        <v>65</v>
      </c>
      <c r="J33">
        <v>63</v>
      </c>
      <c r="K33">
        <v>61</v>
      </c>
      <c r="L33">
        <v>65</v>
      </c>
      <c r="M33">
        <v>63</v>
      </c>
      <c r="N33">
        <v>62</v>
      </c>
      <c r="O33">
        <v>64</v>
      </c>
      <c r="P33">
        <v>62</v>
      </c>
      <c r="Q33">
        <v>64</v>
      </c>
      <c r="R33">
        <v>64</v>
      </c>
      <c r="S33">
        <v>63</v>
      </c>
      <c r="T33">
        <v>64</v>
      </c>
      <c r="U33">
        <v>63</v>
      </c>
      <c r="V33">
        <v>63</v>
      </c>
      <c r="W33">
        <v>64</v>
      </c>
      <c r="X33">
        <v>62</v>
      </c>
      <c r="Y33">
        <v>63</v>
      </c>
      <c r="Z33">
        <v>63</v>
      </c>
      <c r="AA33">
        <v>63</v>
      </c>
      <c r="AB33">
        <v>65</v>
      </c>
      <c r="AC33">
        <v>65</v>
      </c>
      <c r="AD33">
        <v>62</v>
      </c>
      <c r="AE33">
        <v>64</v>
      </c>
      <c r="AF33">
        <v>63</v>
      </c>
      <c r="AG33">
        <v>62</v>
      </c>
      <c r="AH33">
        <v>63</v>
      </c>
      <c r="AI33">
        <v>62</v>
      </c>
      <c r="AJ33">
        <v>64</v>
      </c>
      <c r="AK33">
        <v>63</v>
      </c>
      <c r="AL33">
        <v>64</v>
      </c>
      <c r="AM33">
        <v>63</v>
      </c>
      <c r="AN33">
        <v>62</v>
      </c>
      <c r="AO33">
        <v>63</v>
      </c>
      <c r="AP33">
        <v>64</v>
      </c>
      <c r="AQ33">
        <v>64</v>
      </c>
      <c r="AR33">
        <v>61</v>
      </c>
      <c r="AS33">
        <v>64</v>
      </c>
      <c r="AT33">
        <v>64</v>
      </c>
      <c r="AU33">
        <v>66</v>
      </c>
      <c r="AV33">
        <v>65</v>
      </c>
      <c r="AW33">
        <v>65</v>
      </c>
      <c r="AX33">
        <v>65</v>
      </c>
      <c r="AY33">
        <v>64</v>
      </c>
      <c r="AZ33">
        <v>67</v>
      </c>
      <c r="BA33">
        <v>66</v>
      </c>
      <c r="BB33">
        <v>65</v>
      </c>
      <c r="BC33">
        <v>67</v>
      </c>
      <c r="BD33">
        <v>67</v>
      </c>
    </row>
    <row r="34" spans="1:56" x14ac:dyDescent="0.25">
      <c r="A34" t="s">
        <v>4196</v>
      </c>
      <c r="B34" t="s">
        <v>137</v>
      </c>
      <c r="C34" t="s">
        <v>92</v>
      </c>
      <c r="D34">
        <v>1740</v>
      </c>
      <c r="E34">
        <v>62.941000000000003</v>
      </c>
      <c r="F34">
        <v>64</v>
      </c>
      <c r="G34">
        <v>65</v>
      </c>
      <c r="H34">
        <v>59</v>
      </c>
      <c r="I34">
        <v>66</v>
      </c>
      <c r="J34">
        <v>62</v>
      </c>
      <c r="K34">
        <v>59</v>
      </c>
      <c r="L34">
        <v>65</v>
      </c>
      <c r="M34">
        <v>61</v>
      </c>
      <c r="N34">
        <v>59</v>
      </c>
      <c r="O34">
        <v>64</v>
      </c>
      <c r="P34">
        <v>61</v>
      </c>
      <c r="Q34">
        <v>63</v>
      </c>
      <c r="R34">
        <v>63</v>
      </c>
      <c r="S34">
        <v>63</v>
      </c>
      <c r="T34">
        <v>64</v>
      </c>
      <c r="U34">
        <v>62</v>
      </c>
      <c r="V34">
        <v>64</v>
      </c>
      <c r="W34">
        <v>62</v>
      </c>
      <c r="X34">
        <v>63</v>
      </c>
      <c r="Y34">
        <v>61</v>
      </c>
      <c r="Z34">
        <v>64</v>
      </c>
      <c r="AA34">
        <v>63</v>
      </c>
      <c r="AB34">
        <v>64</v>
      </c>
      <c r="AC34">
        <v>64</v>
      </c>
      <c r="AD34">
        <v>61</v>
      </c>
      <c r="AE34">
        <v>62</v>
      </c>
      <c r="AF34">
        <v>62</v>
      </c>
      <c r="AG34">
        <v>62</v>
      </c>
      <c r="AH34">
        <v>63</v>
      </c>
      <c r="AI34">
        <v>61</v>
      </c>
      <c r="AJ34">
        <v>63</v>
      </c>
      <c r="AK34">
        <v>63</v>
      </c>
      <c r="AL34">
        <v>63</v>
      </c>
      <c r="AM34">
        <v>62</v>
      </c>
      <c r="AN34">
        <v>61</v>
      </c>
      <c r="AO34">
        <v>61</v>
      </c>
      <c r="AP34">
        <v>64</v>
      </c>
      <c r="AQ34">
        <v>63</v>
      </c>
      <c r="AR34">
        <v>60</v>
      </c>
      <c r="AS34">
        <v>63</v>
      </c>
      <c r="AT34">
        <v>63</v>
      </c>
      <c r="AU34">
        <v>65</v>
      </c>
      <c r="AV34">
        <v>65</v>
      </c>
      <c r="AW34">
        <v>64</v>
      </c>
      <c r="AX34">
        <v>64</v>
      </c>
      <c r="AY34">
        <v>63</v>
      </c>
      <c r="AZ34">
        <v>65</v>
      </c>
      <c r="BA34">
        <v>65</v>
      </c>
      <c r="BB34">
        <v>65</v>
      </c>
      <c r="BC34">
        <v>67</v>
      </c>
      <c r="BD34">
        <v>65</v>
      </c>
    </row>
    <row r="35" spans="1:56" x14ac:dyDescent="0.25">
      <c r="A35" t="s">
        <v>4197</v>
      </c>
      <c r="B35" t="s">
        <v>138</v>
      </c>
      <c r="C35" t="s">
        <v>92</v>
      </c>
      <c r="D35">
        <v>1806</v>
      </c>
      <c r="E35">
        <v>63.314</v>
      </c>
      <c r="F35">
        <v>56</v>
      </c>
      <c r="G35">
        <v>61</v>
      </c>
      <c r="H35">
        <v>57</v>
      </c>
      <c r="I35">
        <v>62</v>
      </c>
      <c r="J35">
        <v>63</v>
      </c>
      <c r="K35">
        <v>61</v>
      </c>
      <c r="L35">
        <v>63</v>
      </c>
      <c r="M35">
        <v>62</v>
      </c>
      <c r="N35">
        <v>64</v>
      </c>
      <c r="O35">
        <v>65</v>
      </c>
      <c r="P35">
        <v>62</v>
      </c>
      <c r="Q35">
        <v>63</v>
      </c>
      <c r="R35">
        <v>64</v>
      </c>
      <c r="S35">
        <v>64</v>
      </c>
      <c r="T35">
        <v>63</v>
      </c>
      <c r="U35">
        <v>62</v>
      </c>
      <c r="V35">
        <v>62</v>
      </c>
      <c r="W35">
        <v>64</v>
      </c>
      <c r="X35">
        <v>61</v>
      </c>
      <c r="Y35">
        <v>63</v>
      </c>
      <c r="Z35">
        <v>63</v>
      </c>
      <c r="AA35">
        <v>62</v>
      </c>
      <c r="AB35">
        <v>64</v>
      </c>
      <c r="AC35">
        <v>64</v>
      </c>
      <c r="AD35">
        <v>64</v>
      </c>
      <c r="AE35">
        <v>66</v>
      </c>
      <c r="AF35">
        <v>63</v>
      </c>
      <c r="AG35">
        <v>63</v>
      </c>
      <c r="AH35">
        <v>62</v>
      </c>
      <c r="AI35">
        <v>62</v>
      </c>
      <c r="AJ35">
        <v>64</v>
      </c>
      <c r="AK35">
        <v>63</v>
      </c>
      <c r="AL35">
        <v>63</v>
      </c>
      <c r="AM35">
        <v>63</v>
      </c>
      <c r="AN35">
        <v>61</v>
      </c>
      <c r="AO35">
        <v>63</v>
      </c>
      <c r="AP35">
        <v>63</v>
      </c>
      <c r="AQ35">
        <v>63</v>
      </c>
      <c r="AR35">
        <v>61</v>
      </c>
      <c r="AS35">
        <v>65</v>
      </c>
      <c r="AT35">
        <v>64</v>
      </c>
      <c r="AU35">
        <v>66</v>
      </c>
      <c r="AV35">
        <v>64</v>
      </c>
      <c r="AW35">
        <v>64</v>
      </c>
      <c r="AX35">
        <v>65</v>
      </c>
      <c r="AY35">
        <v>65</v>
      </c>
      <c r="AZ35">
        <v>67</v>
      </c>
      <c r="BA35">
        <v>68</v>
      </c>
      <c r="BB35">
        <v>66</v>
      </c>
      <c r="BC35">
        <v>68</v>
      </c>
      <c r="BD35">
        <v>68</v>
      </c>
    </row>
    <row r="36" spans="1:56" x14ac:dyDescent="0.25">
      <c r="A36" t="s">
        <v>4198</v>
      </c>
      <c r="B36" t="s">
        <v>139</v>
      </c>
      <c r="C36" t="s">
        <v>92</v>
      </c>
      <c r="D36">
        <v>7988</v>
      </c>
      <c r="E36">
        <v>64.510000000000005</v>
      </c>
      <c r="F36">
        <v>57</v>
      </c>
      <c r="G36">
        <v>64</v>
      </c>
      <c r="H36">
        <v>61</v>
      </c>
      <c r="I36">
        <v>65</v>
      </c>
      <c r="J36">
        <v>64</v>
      </c>
      <c r="K36">
        <v>63</v>
      </c>
      <c r="L36">
        <v>65</v>
      </c>
      <c r="M36">
        <v>63</v>
      </c>
      <c r="N36">
        <v>64</v>
      </c>
      <c r="O36">
        <v>65</v>
      </c>
      <c r="P36">
        <v>65</v>
      </c>
      <c r="Q36">
        <v>66</v>
      </c>
      <c r="R36">
        <v>67</v>
      </c>
      <c r="S36">
        <v>66</v>
      </c>
      <c r="T36">
        <v>67</v>
      </c>
      <c r="U36">
        <v>67</v>
      </c>
      <c r="V36">
        <v>67</v>
      </c>
      <c r="W36">
        <v>66</v>
      </c>
      <c r="X36">
        <v>65</v>
      </c>
      <c r="Y36">
        <v>66</v>
      </c>
      <c r="Z36">
        <v>66</v>
      </c>
      <c r="AA36">
        <v>66</v>
      </c>
      <c r="AB36">
        <v>68</v>
      </c>
      <c r="AC36">
        <v>66</v>
      </c>
      <c r="AD36">
        <v>64</v>
      </c>
      <c r="AE36">
        <v>65</v>
      </c>
      <c r="AF36">
        <v>63</v>
      </c>
      <c r="AG36">
        <v>63</v>
      </c>
      <c r="AH36">
        <v>64</v>
      </c>
      <c r="AI36">
        <v>63</v>
      </c>
      <c r="AJ36">
        <v>63</v>
      </c>
      <c r="AK36">
        <v>64</v>
      </c>
      <c r="AL36">
        <v>63</v>
      </c>
      <c r="AM36">
        <v>63</v>
      </c>
      <c r="AN36">
        <v>63</v>
      </c>
      <c r="AO36">
        <v>62</v>
      </c>
      <c r="AP36">
        <v>62</v>
      </c>
      <c r="AQ36">
        <v>64</v>
      </c>
      <c r="AR36">
        <v>64</v>
      </c>
      <c r="AS36">
        <v>64</v>
      </c>
      <c r="AT36">
        <v>65</v>
      </c>
      <c r="AU36">
        <v>64</v>
      </c>
      <c r="AV36">
        <v>66</v>
      </c>
      <c r="AW36">
        <v>65</v>
      </c>
      <c r="AX36">
        <v>66</v>
      </c>
      <c r="AY36">
        <v>65</v>
      </c>
      <c r="AZ36">
        <v>66</v>
      </c>
      <c r="BA36">
        <v>65</v>
      </c>
      <c r="BB36">
        <v>65</v>
      </c>
      <c r="BC36">
        <v>65</v>
      </c>
      <c r="BD36">
        <v>65</v>
      </c>
    </row>
    <row r="37" spans="1:56" x14ac:dyDescent="0.25">
      <c r="A37" t="s">
        <v>4199</v>
      </c>
      <c r="B37" t="s">
        <v>140</v>
      </c>
      <c r="C37" t="s">
        <v>92</v>
      </c>
      <c r="D37">
        <v>1027</v>
      </c>
      <c r="E37">
        <v>78.078000000000003</v>
      </c>
      <c r="F37">
        <v>66</v>
      </c>
      <c r="G37">
        <v>73</v>
      </c>
      <c r="H37">
        <v>72</v>
      </c>
      <c r="I37">
        <v>76</v>
      </c>
      <c r="J37">
        <v>72</v>
      </c>
      <c r="K37">
        <v>71</v>
      </c>
      <c r="L37">
        <v>75</v>
      </c>
      <c r="M37">
        <v>72</v>
      </c>
      <c r="N37">
        <v>77</v>
      </c>
      <c r="O37">
        <v>79</v>
      </c>
      <c r="P37">
        <v>79</v>
      </c>
      <c r="Q37">
        <v>79</v>
      </c>
      <c r="R37">
        <v>82</v>
      </c>
      <c r="S37">
        <v>80</v>
      </c>
      <c r="T37">
        <v>81</v>
      </c>
      <c r="U37">
        <v>80</v>
      </c>
      <c r="V37">
        <v>81</v>
      </c>
      <c r="W37">
        <v>80</v>
      </c>
      <c r="X37">
        <v>77</v>
      </c>
      <c r="Y37">
        <v>80</v>
      </c>
      <c r="Z37">
        <v>79</v>
      </c>
      <c r="AA37">
        <v>79</v>
      </c>
      <c r="AB37">
        <v>81</v>
      </c>
      <c r="AC37">
        <v>81</v>
      </c>
      <c r="AD37">
        <v>76</v>
      </c>
      <c r="AE37">
        <v>79</v>
      </c>
      <c r="AF37">
        <v>78</v>
      </c>
      <c r="AG37">
        <v>78</v>
      </c>
      <c r="AH37">
        <v>78</v>
      </c>
      <c r="AI37">
        <v>78</v>
      </c>
      <c r="AJ37">
        <v>78</v>
      </c>
      <c r="AK37">
        <v>79</v>
      </c>
      <c r="AL37">
        <v>78</v>
      </c>
      <c r="AM37">
        <v>79</v>
      </c>
      <c r="AN37">
        <v>79</v>
      </c>
      <c r="AO37">
        <v>77</v>
      </c>
      <c r="AP37">
        <v>79</v>
      </c>
      <c r="AQ37">
        <v>80</v>
      </c>
      <c r="AR37">
        <v>78</v>
      </c>
      <c r="AS37">
        <v>79</v>
      </c>
      <c r="AT37">
        <v>82</v>
      </c>
      <c r="AU37">
        <v>78</v>
      </c>
      <c r="AV37">
        <v>80</v>
      </c>
      <c r="AW37">
        <v>79</v>
      </c>
      <c r="AX37">
        <v>81</v>
      </c>
      <c r="AY37">
        <v>82</v>
      </c>
      <c r="AZ37">
        <v>81</v>
      </c>
      <c r="BA37">
        <v>78</v>
      </c>
      <c r="BB37">
        <v>81</v>
      </c>
      <c r="BC37">
        <v>79</v>
      </c>
      <c r="BD37">
        <v>76</v>
      </c>
    </row>
    <row r="38" spans="1:56" x14ac:dyDescent="0.25">
      <c r="A38" t="s">
        <v>4200</v>
      </c>
      <c r="B38" t="s">
        <v>141</v>
      </c>
      <c r="C38" t="s">
        <v>92</v>
      </c>
      <c r="D38">
        <v>503</v>
      </c>
      <c r="E38">
        <v>83.98</v>
      </c>
      <c r="F38">
        <v>73</v>
      </c>
      <c r="G38">
        <v>82</v>
      </c>
      <c r="H38">
        <v>80</v>
      </c>
      <c r="I38">
        <v>81</v>
      </c>
      <c r="J38">
        <v>81</v>
      </c>
      <c r="K38">
        <v>82</v>
      </c>
      <c r="L38">
        <v>82</v>
      </c>
      <c r="M38">
        <v>80</v>
      </c>
      <c r="N38">
        <v>83</v>
      </c>
      <c r="O38">
        <v>83</v>
      </c>
      <c r="P38">
        <v>84</v>
      </c>
      <c r="Q38">
        <v>84</v>
      </c>
      <c r="R38">
        <v>87</v>
      </c>
      <c r="S38">
        <v>85</v>
      </c>
      <c r="T38">
        <v>86</v>
      </c>
      <c r="U38">
        <v>86</v>
      </c>
      <c r="V38">
        <v>87</v>
      </c>
      <c r="W38">
        <v>85</v>
      </c>
      <c r="X38">
        <v>84</v>
      </c>
      <c r="Y38">
        <v>86</v>
      </c>
      <c r="Z38">
        <v>86</v>
      </c>
      <c r="AA38">
        <v>84</v>
      </c>
      <c r="AB38">
        <v>87</v>
      </c>
      <c r="AC38">
        <v>88</v>
      </c>
      <c r="AD38">
        <v>85</v>
      </c>
      <c r="AE38">
        <v>86</v>
      </c>
      <c r="AF38">
        <v>84</v>
      </c>
      <c r="AG38">
        <v>85</v>
      </c>
      <c r="AH38">
        <v>85</v>
      </c>
      <c r="AI38">
        <v>84</v>
      </c>
      <c r="AJ38">
        <v>81</v>
      </c>
      <c r="AK38">
        <v>82</v>
      </c>
      <c r="AL38">
        <v>84</v>
      </c>
      <c r="AM38">
        <v>83</v>
      </c>
      <c r="AN38">
        <v>85</v>
      </c>
      <c r="AO38">
        <v>84</v>
      </c>
      <c r="AP38">
        <v>85</v>
      </c>
      <c r="AQ38">
        <v>85</v>
      </c>
      <c r="AR38">
        <v>81</v>
      </c>
      <c r="AS38">
        <v>84</v>
      </c>
      <c r="AT38">
        <v>89</v>
      </c>
      <c r="AU38">
        <v>83</v>
      </c>
      <c r="AV38">
        <v>86</v>
      </c>
      <c r="AW38">
        <v>86</v>
      </c>
      <c r="AX38">
        <v>86</v>
      </c>
      <c r="AY38">
        <v>85</v>
      </c>
      <c r="AZ38">
        <v>87</v>
      </c>
      <c r="BA38">
        <v>83</v>
      </c>
      <c r="BB38">
        <v>85</v>
      </c>
      <c r="BC38">
        <v>83</v>
      </c>
      <c r="BD38">
        <v>81</v>
      </c>
    </row>
    <row r="39" spans="1:56" x14ac:dyDescent="0.25">
      <c r="A39" t="s">
        <v>4201</v>
      </c>
      <c r="B39" t="s">
        <v>142</v>
      </c>
      <c r="C39" t="s">
        <v>92</v>
      </c>
      <c r="D39">
        <v>472</v>
      </c>
      <c r="E39">
        <v>73.215999999999994</v>
      </c>
      <c r="F39">
        <v>67</v>
      </c>
      <c r="G39">
        <v>69</v>
      </c>
      <c r="H39">
        <v>67</v>
      </c>
      <c r="I39">
        <v>73</v>
      </c>
      <c r="J39">
        <v>63</v>
      </c>
      <c r="K39">
        <v>62</v>
      </c>
      <c r="L39">
        <v>71</v>
      </c>
      <c r="M39">
        <v>65</v>
      </c>
      <c r="N39">
        <v>69</v>
      </c>
      <c r="O39">
        <v>76</v>
      </c>
      <c r="P39">
        <v>73</v>
      </c>
      <c r="Q39">
        <v>74</v>
      </c>
      <c r="R39">
        <v>79</v>
      </c>
      <c r="S39">
        <v>74</v>
      </c>
      <c r="T39">
        <v>75</v>
      </c>
      <c r="U39">
        <v>75</v>
      </c>
      <c r="V39">
        <v>74</v>
      </c>
      <c r="W39">
        <v>75</v>
      </c>
      <c r="X39">
        <v>72</v>
      </c>
      <c r="Y39">
        <v>76</v>
      </c>
      <c r="Z39">
        <v>73</v>
      </c>
      <c r="AA39">
        <v>75</v>
      </c>
      <c r="AB39">
        <v>75</v>
      </c>
      <c r="AC39">
        <v>73</v>
      </c>
      <c r="AD39">
        <v>68</v>
      </c>
      <c r="AE39">
        <v>74</v>
      </c>
      <c r="AF39">
        <v>73</v>
      </c>
      <c r="AG39">
        <v>71</v>
      </c>
      <c r="AH39">
        <v>71</v>
      </c>
      <c r="AI39">
        <v>72</v>
      </c>
      <c r="AJ39">
        <v>76</v>
      </c>
      <c r="AK39">
        <v>75</v>
      </c>
      <c r="AL39">
        <v>74</v>
      </c>
      <c r="AM39">
        <v>77</v>
      </c>
      <c r="AN39">
        <v>76</v>
      </c>
      <c r="AO39">
        <v>72</v>
      </c>
      <c r="AP39">
        <v>74</v>
      </c>
      <c r="AQ39">
        <v>77</v>
      </c>
      <c r="AR39">
        <v>75</v>
      </c>
      <c r="AS39">
        <v>74</v>
      </c>
      <c r="AT39">
        <v>77</v>
      </c>
      <c r="AU39">
        <v>74</v>
      </c>
      <c r="AV39">
        <v>75</v>
      </c>
      <c r="AW39">
        <v>75</v>
      </c>
      <c r="AX39">
        <v>75</v>
      </c>
      <c r="AY39">
        <v>79</v>
      </c>
      <c r="AZ39">
        <v>75</v>
      </c>
      <c r="BA39">
        <v>73</v>
      </c>
      <c r="BB39">
        <v>77</v>
      </c>
      <c r="BC39">
        <v>77</v>
      </c>
      <c r="BD39">
        <v>73</v>
      </c>
    </row>
    <row r="40" spans="1:56" x14ac:dyDescent="0.25">
      <c r="A40" t="s">
        <v>4202</v>
      </c>
      <c r="B40" t="s">
        <v>143</v>
      </c>
      <c r="C40" t="s">
        <v>92</v>
      </c>
      <c r="D40">
        <v>1553</v>
      </c>
      <c r="E40">
        <v>70.765000000000001</v>
      </c>
      <c r="F40">
        <v>71</v>
      </c>
      <c r="G40">
        <v>70</v>
      </c>
      <c r="H40">
        <v>65</v>
      </c>
      <c r="I40">
        <v>68</v>
      </c>
      <c r="J40">
        <v>77</v>
      </c>
      <c r="K40">
        <v>72</v>
      </c>
      <c r="L40">
        <v>76</v>
      </c>
      <c r="M40">
        <v>70</v>
      </c>
      <c r="N40">
        <v>68</v>
      </c>
      <c r="O40">
        <v>70</v>
      </c>
      <c r="P40">
        <v>69</v>
      </c>
      <c r="Q40">
        <v>69</v>
      </c>
      <c r="R40">
        <v>72</v>
      </c>
      <c r="S40">
        <v>74</v>
      </c>
      <c r="T40">
        <v>68</v>
      </c>
      <c r="U40">
        <v>70</v>
      </c>
      <c r="V40">
        <v>71</v>
      </c>
      <c r="W40">
        <v>71</v>
      </c>
      <c r="X40">
        <v>72</v>
      </c>
      <c r="Y40">
        <v>71</v>
      </c>
      <c r="Z40">
        <v>71</v>
      </c>
      <c r="AA40">
        <v>74</v>
      </c>
      <c r="AB40">
        <v>73</v>
      </c>
      <c r="AC40">
        <v>71</v>
      </c>
      <c r="AD40">
        <v>68</v>
      </c>
      <c r="AE40">
        <v>72</v>
      </c>
      <c r="AF40">
        <v>70</v>
      </c>
      <c r="AG40">
        <v>68</v>
      </c>
      <c r="AH40">
        <v>70</v>
      </c>
      <c r="AI40">
        <v>69</v>
      </c>
      <c r="AJ40">
        <v>71</v>
      </c>
      <c r="AK40">
        <v>72</v>
      </c>
      <c r="AL40">
        <v>71</v>
      </c>
      <c r="AM40">
        <v>70</v>
      </c>
      <c r="AN40">
        <v>68</v>
      </c>
      <c r="AO40">
        <v>68</v>
      </c>
      <c r="AP40">
        <v>66</v>
      </c>
      <c r="AQ40">
        <v>68</v>
      </c>
      <c r="AR40">
        <v>67</v>
      </c>
      <c r="AS40">
        <v>67</v>
      </c>
      <c r="AT40">
        <v>70</v>
      </c>
      <c r="AU40">
        <v>70</v>
      </c>
      <c r="AV40">
        <v>71</v>
      </c>
      <c r="AW40">
        <v>70</v>
      </c>
      <c r="AX40">
        <v>74</v>
      </c>
      <c r="AY40">
        <v>73</v>
      </c>
      <c r="AZ40">
        <v>74</v>
      </c>
      <c r="BA40">
        <v>76</v>
      </c>
      <c r="BB40">
        <v>73</v>
      </c>
      <c r="BC40">
        <v>76</v>
      </c>
      <c r="BD40">
        <v>74</v>
      </c>
    </row>
    <row r="41" spans="1:56" x14ac:dyDescent="0.25">
      <c r="A41" t="s">
        <v>4203</v>
      </c>
      <c r="B41" t="s">
        <v>144</v>
      </c>
      <c r="C41" t="s">
        <v>92</v>
      </c>
      <c r="D41">
        <v>1012</v>
      </c>
      <c r="E41">
        <v>71.510000000000005</v>
      </c>
      <c r="F41">
        <v>60</v>
      </c>
      <c r="G41">
        <v>69</v>
      </c>
      <c r="H41">
        <v>64</v>
      </c>
      <c r="I41">
        <v>69</v>
      </c>
      <c r="J41">
        <v>81</v>
      </c>
      <c r="K41">
        <v>76</v>
      </c>
      <c r="L41">
        <v>78</v>
      </c>
      <c r="M41">
        <v>70</v>
      </c>
      <c r="N41">
        <v>67</v>
      </c>
      <c r="O41">
        <v>69</v>
      </c>
      <c r="P41">
        <v>69</v>
      </c>
      <c r="Q41">
        <v>68</v>
      </c>
      <c r="R41">
        <v>72</v>
      </c>
      <c r="S41">
        <v>75</v>
      </c>
      <c r="T41">
        <v>68</v>
      </c>
      <c r="U41">
        <v>72</v>
      </c>
      <c r="V41">
        <v>70</v>
      </c>
      <c r="W41">
        <v>71</v>
      </c>
      <c r="X41">
        <v>73</v>
      </c>
      <c r="Y41">
        <v>72</v>
      </c>
      <c r="Z41">
        <v>72</v>
      </c>
      <c r="AA41">
        <v>74</v>
      </c>
      <c r="AB41">
        <v>72</v>
      </c>
      <c r="AC41">
        <v>71</v>
      </c>
      <c r="AD41">
        <v>69</v>
      </c>
      <c r="AE41">
        <v>73</v>
      </c>
      <c r="AF41">
        <v>70</v>
      </c>
      <c r="AG41">
        <v>70</v>
      </c>
      <c r="AH41">
        <v>69</v>
      </c>
      <c r="AI41">
        <v>70</v>
      </c>
      <c r="AJ41">
        <v>72</v>
      </c>
      <c r="AK41">
        <v>74</v>
      </c>
      <c r="AL41">
        <v>72</v>
      </c>
      <c r="AM41">
        <v>71</v>
      </c>
      <c r="AN41">
        <v>70</v>
      </c>
      <c r="AO41">
        <v>70</v>
      </c>
      <c r="AP41">
        <v>67</v>
      </c>
      <c r="AQ41">
        <v>69</v>
      </c>
      <c r="AR41">
        <v>67</v>
      </c>
      <c r="AS41">
        <v>68</v>
      </c>
      <c r="AT41">
        <v>74</v>
      </c>
      <c r="AU41">
        <v>72</v>
      </c>
      <c r="AV41">
        <v>73</v>
      </c>
      <c r="AW41">
        <v>72</v>
      </c>
      <c r="AX41">
        <v>76</v>
      </c>
      <c r="AY41">
        <v>76</v>
      </c>
      <c r="AZ41">
        <v>77</v>
      </c>
      <c r="BA41">
        <v>77</v>
      </c>
      <c r="BB41">
        <v>74</v>
      </c>
      <c r="BC41">
        <v>77</v>
      </c>
      <c r="BD41">
        <v>76</v>
      </c>
    </row>
    <row r="42" spans="1:56" x14ac:dyDescent="0.25">
      <c r="A42" t="s">
        <v>4204</v>
      </c>
      <c r="B42" t="s">
        <v>145</v>
      </c>
      <c r="C42" t="s">
        <v>92</v>
      </c>
      <c r="D42">
        <v>541</v>
      </c>
      <c r="E42">
        <v>69.097999999999999</v>
      </c>
      <c r="F42">
        <v>78</v>
      </c>
      <c r="G42">
        <v>71</v>
      </c>
      <c r="H42">
        <v>67</v>
      </c>
      <c r="I42">
        <v>67</v>
      </c>
      <c r="J42">
        <v>72</v>
      </c>
      <c r="K42">
        <v>66</v>
      </c>
      <c r="L42">
        <v>72</v>
      </c>
      <c r="M42">
        <v>69</v>
      </c>
      <c r="N42">
        <v>69</v>
      </c>
      <c r="O42">
        <v>72</v>
      </c>
      <c r="P42">
        <v>69</v>
      </c>
      <c r="Q42">
        <v>70</v>
      </c>
      <c r="R42">
        <v>72</v>
      </c>
      <c r="S42">
        <v>70</v>
      </c>
      <c r="T42">
        <v>68</v>
      </c>
      <c r="U42">
        <v>68</v>
      </c>
      <c r="V42">
        <v>72</v>
      </c>
      <c r="W42">
        <v>71</v>
      </c>
      <c r="X42">
        <v>70</v>
      </c>
      <c r="Y42">
        <v>67</v>
      </c>
      <c r="Z42">
        <v>68</v>
      </c>
      <c r="AA42">
        <v>72</v>
      </c>
      <c r="AB42">
        <v>75</v>
      </c>
      <c r="AC42">
        <v>70</v>
      </c>
      <c r="AD42">
        <v>67</v>
      </c>
      <c r="AE42">
        <v>69</v>
      </c>
      <c r="AF42">
        <v>69</v>
      </c>
      <c r="AG42">
        <v>66</v>
      </c>
      <c r="AH42">
        <v>70</v>
      </c>
      <c r="AI42">
        <v>67</v>
      </c>
      <c r="AJ42">
        <v>70</v>
      </c>
      <c r="AK42">
        <v>69</v>
      </c>
      <c r="AL42">
        <v>68</v>
      </c>
      <c r="AM42">
        <v>67</v>
      </c>
      <c r="AN42">
        <v>66</v>
      </c>
      <c r="AO42">
        <v>65</v>
      </c>
      <c r="AP42">
        <v>65</v>
      </c>
      <c r="AQ42">
        <v>67</v>
      </c>
      <c r="AR42">
        <v>66</v>
      </c>
      <c r="AS42">
        <v>67</v>
      </c>
      <c r="AT42">
        <v>64</v>
      </c>
      <c r="AU42">
        <v>66</v>
      </c>
      <c r="AV42">
        <v>69</v>
      </c>
      <c r="AW42">
        <v>66</v>
      </c>
      <c r="AX42">
        <v>70</v>
      </c>
      <c r="AY42">
        <v>69</v>
      </c>
      <c r="AZ42">
        <v>67</v>
      </c>
      <c r="BA42">
        <v>72</v>
      </c>
      <c r="BB42">
        <v>73</v>
      </c>
      <c r="BC42">
        <v>74</v>
      </c>
      <c r="BD42">
        <v>71</v>
      </c>
    </row>
    <row r="43" spans="1:56" x14ac:dyDescent="0.25">
      <c r="A43" t="s">
        <v>4205</v>
      </c>
      <c r="B43" t="s">
        <v>146</v>
      </c>
      <c r="C43" t="s">
        <v>92</v>
      </c>
      <c r="D43">
        <v>62</v>
      </c>
      <c r="E43">
        <v>56.98</v>
      </c>
      <c r="F43">
        <v>64</v>
      </c>
      <c r="G43">
        <v>70</v>
      </c>
      <c r="H43">
        <v>67</v>
      </c>
      <c r="I43">
        <v>61</v>
      </c>
      <c r="J43">
        <v>65</v>
      </c>
      <c r="K43">
        <v>65</v>
      </c>
      <c r="L43">
        <v>58</v>
      </c>
      <c r="M43">
        <v>52</v>
      </c>
      <c r="N43">
        <v>59</v>
      </c>
      <c r="O43">
        <v>55</v>
      </c>
      <c r="P43">
        <v>57</v>
      </c>
      <c r="Q43">
        <v>65</v>
      </c>
      <c r="R43">
        <v>60</v>
      </c>
      <c r="S43">
        <v>56</v>
      </c>
      <c r="T43">
        <v>53</v>
      </c>
      <c r="U43">
        <v>49</v>
      </c>
      <c r="V43">
        <v>62</v>
      </c>
      <c r="W43">
        <v>59</v>
      </c>
      <c r="X43">
        <v>58</v>
      </c>
      <c r="Y43">
        <v>55</v>
      </c>
      <c r="Z43">
        <v>50</v>
      </c>
      <c r="AA43">
        <v>57</v>
      </c>
      <c r="AB43">
        <v>67</v>
      </c>
      <c r="AC43">
        <v>59</v>
      </c>
      <c r="AD43">
        <v>62</v>
      </c>
      <c r="AE43">
        <v>49</v>
      </c>
      <c r="AF43">
        <v>56</v>
      </c>
      <c r="AG43">
        <v>57</v>
      </c>
      <c r="AH43">
        <v>53</v>
      </c>
      <c r="AI43">
        <v>56</v>
      </c>
      <c r="AJ43">
        <v>53</v>
      </c>
      <c r="AK43">
        <v>56</v>
      </c>
      <c r="AL43">
        <v>54</v>
      </c>
      <c r="AM43">
        <v>49</v>
      </c>
      <c r="AN43">
        <v>57</v>
      </c>
      <c r="AO43">
        <v>55</v>
      </c>
      <c r="AP43">
        <v>52</v>
      </c>
      <c r="AQ43">
        <v>49</v>
      </c>
      <c r="AR43">
        <v>52</v>
      </c>
      <c r="AS43">
        <v>55</v>
      </c>
      <c r="AT43">
        <v>55</v>
      </c>
      <c r="AU43">
        <v>60</v>
      </c>
      <c r="AV43">
        <v>57</v>
      </c>
      <c r="AW43">
        <v>60</v>
      </c>
      <c r="AX43">
        <v>57</v>
      </c>
      <c r="AY43">
        <v>59</v>
      </c>
      <c r="AZ43">
        <v>48</v>
      </c>
      <c r="BA43">
        <v>59</v>
      </c>
      <c r="BB43">
        <v>53</v>
      </c>
      <c r="BC43">
        <v>55</v>
      </c>
      <c r="BD43">
        <v>55</v>
      </c>
    </row>
    <row r="44" spans="1:56" x14ac:dyDescent="0.25">
      <c r="A44" t="s">
        <v>4206</v>
      </c>
      <c r="B44" t="s">
        <v>147</v>
      </c>
      <c r="C44" t="s">
        <v>92</v>
      </c>
      <c r="D44">
        <v>81</v>
      </c>
      <c r="E44">
        <v>58.372999999999998</v>
      </c>
      <c r="F44">
        <v>49</v>
      </c>
      <c r="G44">
        <v>62</v>
      </c>
      <c r="H44">
        <v>61</v>
      </c>
      <c r="I44">
        <v>66</v>
      </c>
      <c r="J44">
        <v>59</v>
      </c>
      <c r="K44">
        <v>63</v>
      </c>
      <c r="L44">
        <v>58</v>
      </c>
      <c r="M44">
        <v>54</v>
      </c>
      <c r="N44">
        <v>50</v>
      </c>
      <c r="O44">
        <v>53</v>
      </c>
      <c r="P44">
        <v>50</v>
      </c>
      <c r="Q44">
        <v>56</v>
      </c>
      <c r="R44">
        <v>49</v>
      </c>
      <c r="S44">
        <v>54</v>
      </c>
      <c r="T44">
        <v>58</v>
      </c>
      <c r="U44">
        <v>59</v>
      </c>
      <c r="V44">
        <v>66</v>
      </c>
      <c r="W44">
        <v>70</v>
      </c>
      <c r="X44">
        <v>61</v>
      </c>
      <c r="Y44">
        <v>60</v>
      </c>
      <c r="Z44">
        <v>59</v>
      </c>
      <c r="AA44">
        <v>66</v>
      </c>
      <c r="AB44">
        <v>61</v>
      </c>
      <c r="AC44">
        <v>58</v>
      </c>
      <c r="AD44">
        <v>58</v>
      </c>
      <c r="AE44">
        <v>57</v>
      </c>
      <c r="AF44">
        <v>57</v>
      </c>
      <c r="AG44">
        <v>60</v>
      </c>
      <c r="AH44">
        <v>49</v>
      </c>
      <c r="AI44">
        <v>62</v>
      </c>
      <c r="AJ44">
        <v>63</v>
      </c>
      <c r="AK44">
        <v>50</v>
      </c>
      <c r="AL44">
        <v>62</v>
      </c>
      <c r="AM44">
        <v>77</v>
      </c>
      <c r="AN44">
        <v>54</v>
      </c>
      <c r="AO44">
        <v>59</v>
      </c>
      <c r="AP44">
        <v>60</v>
      </c>
      <c r="AQ44">
        <v>61</v>
      </c>
      <c r="AR44">
        <v>66</v>
      </c>
      <c r="AS44">
        <v>53</v>
      </c>
      <c r="AT44">
        <v>56</v>
      </c>
      <c r="AU44">
        <v>59</v>
      </c>
      <c r="AV44">
        <v>57</v>
      </c>
      <c r="AW44">
        <v>58</v>
      </c>
      <c r="AX44">
        <v>55</v>
      </c>
      <c r="AY44">
        <v>60</v>
      </c>
      <c r="AZ44">
        <v>53</v>
      </c>
      <c r="BA44">
        <v>66</v>
      </c>
      <c r="BB44">
        <v>56</v>
      </c>
      <c r="BC44">
        <v>56</v>
      </c>
      <c r="BD44">
        <v>51</v>
      </c>
    </row>
    <row r="45" spans="1:56" x14ac:dyDescent="0.25">
      <c r="A45" t="s">
        <v>4207</v>
      </c>
      <c r="B45" t="s">
        <v>148</v>
      </c>
      <c r="C45" t="s">
        <v>92</v>
      </c>
      <c r="D45">
        <v>564</v>
      </c>
      <c r="E45">
        <v>48.706000000000003</v>
      </c>
      <c r="F45">
        <v>46</v>
      </c>
      <c r="G45">
        <v>57</v>
      </c>
      <c r="H45">
        <v>46</v>
      </c>
      <c r="I45">
        <v>51</v>
      </c>
      <c r="J45">
        <v>52</v>
      </c>
      <c r="K45">
        <v>51</v>
      </c>
      <c r="L45">
        <v>52</v>
      </c>
      <c r="M45">
        <v>48</v>
      </c>
      <c r="N45">
        <v>48</v>
      </c>
      <c r="O45">
        <v>51</v>
      </c>
      <c r="P45">
        <v>54</v>
      </c>
      <c r="Q45">
        <v>51</v>
      </c>
      <c r="R45">
        <v>52</v>
      </c>
      <c r="S45">
        <v>49</v>
      </c>
      <c r="T45">
        <v>53</v>
      </c>
      <c r="U45">
        <v>51</v>
      </c>
      <c r="V45">
        <v>49</v>
      </c>
      <c r="W45">
        <v>49</v>
      </c>
      <c r="X45">
        <v>50</v>
      </c>
      <c r="Y45">
        <v>53</v>
      </c>
      <c r="Z45">
        <v>52</v>
      </c>
      <c r="AA45">
        <v>55</v>
      </c>
      <c r="AB45">
        <v>50</v>
      </c>
      <c r="AC45">
        <v>49</v>
      </c>
      <c r="AD45">
        <v>49</v>
      </c>
      <c r="AE45">
        <v>48</v>
      </c>
      <c r="AF45">
        <v>47</v>
      </c>
      <c r="AG45">
        <v>43</v>
      </c>
      <c r="AH45">
        <v>45</v>
      </c>
      <c r="AI45">
        <v>41</v>
      </c>
      <c r="AJ45">
        <v>46</v>
      </c>
      <c r="AK45">
        <v>45</v>
      </c>
      <c r="AL45">
        <v>45</v>
      </c>
      <c r="AM45">
        <v>44</v>
      </c>
      <c r="AN45">
        <v>50</v>
      </c>
      <c r="AO45">
        <v>48</v>
      </c>
      <c r="AP45">
        <v>44</v>
      </c>
      <c r="AQ45">
        <v>49</v>
      </c>
      <c r="AR45">
        <v>49</v>
      </c>
      <c r="AS45">
        <v>51</v>
      </c>
      <c r="AT45">
        <v>50</v>
      </c>
      <c r="AU45">
        <v>45</v>
      </c>
      <c r="AV45">
        <v>50</v>
      </c>
      <c r="AW45">
        <v>49</v>
      </c>
      <c r="AX45">
        <v>47</v>
      </c>
      <c r="AY45">
        <v>46</v>
      </c>
      <c r="AZ45">
        <v>50</v>
      </c>
      <c r="BA45">
        <v>45</v>
      </c>
      <c r="BB45">
        <v>44</v>
      </c>
      <c r="BC45">
        <v>48</v>
      </c>
      <c r="BD45">
        <v>47</v>
      </c>
    </row>
    <row r="46" spans="1:56" x14ac:dyDescent="0.25">
      <c r="A46" t="s">
        <v>4208</v>
      </c>
      <c r="B46" t="s">
        <v>149</v>
      </c>
      <c r="C46" t="s">
        <v>92</v>
      </c>
      <c r="D46">
        <v>48</v>
      </c>
      <c r="E46">
        <v>52.411999999999999</v>
      </c>
      <c r="F46">
        <v>41</v>
      </c>
      <c r="G46">
        <v>44</v>
      </c>
      <c r="H46">
        <v>46</v>
      </c>
      <c r="I46">
        <v>51</v>
      </c>
      <c r="J46">
        <v>47</v>
      </c>
      <c r="K46">
        <v>41</v>
      </c>
      <c r="L46">
        <v>52</v>
      </c>
      <c r="M46">
        <v>45</v>
      </c>
      <c r="N46">
        <v>49</v>
      </c>
      <c r="O46">
        <v>52</v>
      </c>
      <c r="P46">
        <v>46</v>
      </c>
      <c r="Q46">
        <v>52</v>
      </c>
      <c r="R46">
        <v>58</v>
      </c>
      <c r="S46">
        <v>61</v>
      </c>
      <c r="T46">
        <v>57</v>
      </c>
      <c r="U46">
        <v>54</v>
      </c>
      <c r="V46">
        <v>53</v>
      </c>
      <c r="W46">
        <v>56</v>
      </c>
      <c r="X46">
        <v>58</v>
      </c>
      <c r="Y46">
        <v>47</v>
      </c>
      <c r="Z46">
        <v>48</v>
      </c>
      <c r="AA46">
        <v>50</v>
      </c>
      <c r="AB46">
        <v>57</v>
      </c>
      <c r="AC46">
        <v>52</v>
      </c>
      <c r="AD46">
        <v>53</v>
      </c>
      <c r="AE46">
        <v>47</v>
      </c>
      <c r="AF46">
        <v>39</v>
      </c>
      <c r="AG46">
        <v>48</v>
      </c>
      <c r="AH46">
        <v>41</v>
      </c>
      <c r="AI46">
        <v>48</v>
      </c>
      <c r="AJ46">
        <v>67</v>
      </c>
      <c r="AK46">
        <v>66</v>
      </c>
      <c r="AL46">
        <v>63</v>
      </c>
      <c r="AM46">
        <v>43</v>
      </c>
      <c r="AN46">
        <v>65</v>
      </c>
      <c r="AO46">
        <v>63</v>
      </c>
      <c r="AP46">
        <v>65</v>
      </c>
      <c r="AQ46">
        <v>63</v>
      </c>
      <c r="AR46">
        <v>52</v>
      </c>
      <c r="AS46">
        <v>56</v>
      </c>
      <c r="AT46">
        <v>46</v>
      </c>
      <c r="AU46">
        <v>51</v>
      </c>
      <c r="AV46">
        <v>52</v>
      </c>
      <c r="AW46">
        <v>58</v>
      </c>
      <c r="AX46">
        <v>54</v>
      </c>
      <c r="AY46">
        <v>45</v>
      </c>
      <c r="AZ46">
        <v>54</v>
      </c>
      <c r="BA46">
        <v>57</v>
      </c>
      <c r="BB46">
        <v>59</v>
      </c>
      <c r="BC46">
        <v>53</v>
      </c>
      <c r="BD46">
        <v>48</v>
      </c>
    </row>
    <row r="47" spans="1:56" x14ac:dyDescent="0.25">
      <c r="A47" t="s">
        <v>4209</v>
      </c>
      <c r="B47" t="s">
        <v>150</v>
      </c>
      <c r="C47" t="s">
        <v>92</v>
      </c>
      <c r="D47">
        <v>769</v>
      </c>
      <c r="E47">
        <v>63.529000000000003</v>
      </c>
      <c r="F47">
        <v>53</v>
      </c>
      <c r="G47">
        <v>65</v>
      </c>
      <c r="H47">
        <v>61</v>
      </c>
      <c r="I47">
        <v>69</v>
      </c>
      <c r="J47">
        <v>67</v>
      </c>
      <c r="K47">
        <v>62</v>
      </c>
      <c r="L47">
        <v>65</v>
      </c>
      <c r="M47">
        <v>64</v>
      </c>
      <c r="N47">
        <v>68</v>
      </c>
      <c r="O47">
        <v>69</v>
      </c>
      <c r="P47">
        <v>70</v>
      </c>
      <c r="Q47">
        <v>68</v>
      </c>
      <c r="R47">
        <v>69</v>
      </c>
      <c r="S47">
        <v>69</v>
      </c>
      <c r="T47">
        <v>69</v>
      </c>
      <c r="U47">
        <v>68</v>
      </c>
      <c r="V47">
        <v>70</v>
      </c>
      <c r="W47">
        <v>69</v>
      </c>
      <c r="X47">
        <v>69</v>
      </c>
      <c r="Y47">
        <v>67</v>
      </c>
      <c r="Z47">
        <v>67</v>
      </c>
      <c r="AA47">
        <v>66</v>
      </c>
      <c r="AB47">
        <v>67</v>
      </c>
      <c r="AC47">
        <v>64</v>
      </c>
      <c r="AD47">
        <v>60</v>
      </c>
      <c r="AE47">
        <v>63</v>
      </c>
      <c r="AF47">
        <v>63</v>
      </c>
      <c r="AG47">
        <v>60</v>
      </c>
      <c r="AH47">
        <v>63</v>
      </c>
      <c r="AI47">
        <v>62</v>
      </c>
      <c r="AJ47">
        <v>58</v>
      </c>
      <c r="AK47">
        <v>61</v>
      </c>
      <c r="AL47">
        <v>57</v>
      </c>
      <c r="AM47">
        <v>59</v>
      </c>
      <c r="AN47">
        <v>56</v>
      </c>
      <c r="AO47">
        <v>57</v>
      </c>
      <c r="AP47">
        <v>59</v>
      </c>
      <c r="AQ47">
        <v>59</v>
      </c>
      <c r="AR47">
        <v>62</v>
      </c>
      <c r="AS47">
        <v>60</v>
      </c>
      <c r="AT47">
        <v>60</v>
      </c>
      <c r="AU47">
        <v>63</v>
      </c>
      <c r="AV47">
        <v>66</v>
      </c>
      <c r="AW47">
        <v>63</v>
      </c>
      <c r="AX47">
        <v>60</v>
      </c>
      <c r="AY47">
        <v>62</v>
      </c>
      <c r="AZ47">
        <v>64</v>
      </c>
      <c r="BA47">
        <v>62</v>
      </c>
      <c r="BB47">
        <v>62</v>
      </c>
      <c r="BC47">
        <v>61</v>
      </c>
      <c r="BD47">
        <v>63</v>
      </c>
    </row>
    <row r="48" spans="1:56" x14ac:dyDescent="0.25">
      <c r="A48" t="s">
        <v>4210</v>
      </c>
      <c r="B48" t="s">
        <v>151</v>
      </c>
      <c r="C48" t="s">
        <v>92</v>
      </c>
      <c r="D48">
        <v>366</v>
      </c>
      <c r="E48">
        <v>73.117999999999995</v>
      </c>
      <c r="F48">
        <v>61</v>
      </c>
      <c r="G48">
        <v>75</v>
      </c>
      <c r="H48">
        <v>69</v>
      </c>
      <c r="I48">
        <v>78</v>
      </c>
      <c r="J48">
        <v>79</v>
      </c>
      <c r="K48">
        <v>76</v>
      </c>
      <c r="L48">
        <v>77</v>
      </c>
      <c r="M48">
        <v>74</v>
      </c>
      <c r="N48">
        <v>79</v>
      </c>
      <c r="O48">
        <v>80</v>
      </c>
      <c r="P48">
        <v>81</v>
      </c>
      <c r="Q48">
        <v>79</v>
      </c>
      <c r="R48">
        <v>80</v>
      </c>
      <c r="S48">
        <v>80</v>
      </c>
      <c r="T48">
        <v>79</v>
      </c>
      <c r="U48">
        <v>81</v>
      </c>
      <c r="V48">
        <v>79</v>
      </c>
      <c r="W48">
        <v>78</v>
      </c>
      <c r="X48">
        <v>80</v>
      </c>
      <c r="Y48">
        <v>77</v>
      </c>
      <c r="Z48">
        <v>77</v>
      </c>
      <c r="AA48">
        <v>74</v>
      </c>
      <c r="AB48">
        <v>77</v>
      </c>
      <c r="AC48">
        <v>74</v>
      </c>
      <c r="AD48">
        <v>68</v>
      </c>
      <c r="AE48">
        <v>72</v>
      </c>
      <c r="AF48">
        <v>72</v>
      </c>
      <c r="AG48">
        <v>69</v>
      </c>
      <c r="AH48">
        <v>72</v>
      </c>
      <c r="AI48">
        <v>72</v>
      </c>
      <c r="AJ48">
        <v>66</v>
      </c>
      <c r="AK48">
        <v>70</v>
      </c>
      <c r="AL48">
        <v>67</v>
      </c>
      <c r="AM48">
        <v>69</v>
      </c>
      <c r="AN48">
        <v>66</v>
      </c>
      <c r="AO48">
        <v>65</v>
      </c>
      <c r="AP48">
        <v>68</v>
      </c>
      <c r="AQ48">
        <v>66</v>
      </c>
      <c r="AR48">
        <v>71</v>
      </c>
      <c r="AS48">
        <v>69</v>
      </c>
      <c r="AT48">
        <v>68</v>
      </c>
      <c r="AU48">
        <v>72</v>
      </c>
      <c r="AV48">
        <v>72</v>
      </c>
      <c r="AW48">
        <v>69</v>
      </c>
      <c r="AX48">
        <v>69</v>
      </c>
      <c r="AY48">
        <v>69</v>
      </c>
      <c r="AZ48">
        <v>70</v>
      </c>
      <c r="BA48">
        <v>74</v>
      </c>
      <c r="BB48">
        <v>75</v>
      </c>
      <c r="BC48">
        <v>73</v>
      </c>
      <c r="BD48">
        <v>72</v>
      </c>
    </row>
    <row r="49" spans="1:56" x14ac:dyDescent="0.25">
      <c r="A49" t="s">
        <v>4211</v>
      </c>
      <c r="B49" t="s">
        <v>152</v>
      </c>
      <c r="C49" t="s">
        <v>92</v>
      </c>
      <c r="D49">
        <v>46</v>
      </c>
      <c r="E49">
        <v>38.686</v>
      </c>
      <c r="F49">
        <v>30</v>
      </c>
      <c r="G49">
        <v>37</v>
      </c>
      <c r="H49">
        <v>40</v>
      </c>
      <c r="I49">
        <v>40</v>
      </c>
      <c r="J49">
        <v>22</v>
      </c>
      <c r="K49">
        <v>24</v>
      </c>
      <c r="L49">
        <v>32</v>
      </c>
      <c r="M49">
        <v>28</v>
      </c>
      <c r="N49">
        <v>35</v>
      </c>
      <c r="O49">
        <v>38</v>
      </c>
      <c r="P49">
        <v>38</v>
      </c>
      <c r="Q49">
        <v>37</v>
      </c>
      <c r="R49">
        <v>43</v>
      </c>
      <c r="S49">
        <v>44</v>
      </c>
      <c r="T49">
        <v>52</v>
      </c>
      <c r="U49">
        <v>38</v>
      </c>
      <c r="V49">
        <v>46</v>
      </c>
      <c r="W49">
        <v>48</v>
      </c>
      <c r="X49">
        <v>36</v>
      </c>
      <c r="Y49">
        <v>39</v>
      </c>
      <c r="Z49">
        <v>46</v>
      </c>
      <c r="AA49">
        <v>38</v>
      </c>
      <c r="AB49">
        <v>38</v>
      </c>
      <c r="AC49">
        <v>36</v>
      </c>
      <c r="AD49">
        <v>37</v>
      </c>
      <c r="AE49">
        <v>40</v>
      </c>
      <c r="AF49">
        <v>47</v>
      </c>
      <c r="AG49">
        <v>43</v>
      </c>
      <c r="AH49">
        <v>37</v>
      </c>
      <c r="AI49">
        <v>51</v>
      </c>
      <c r="AJ49">
        <v>37</v>
      </c>
      <c r="AK49">
        <v>33</v>
      </c>
      <c r="AL49">
        <v>28</v>
      </c>
      <c r="AM49">
        <v>34</v>
      </c>
      <c r="AN49">
        <v>35</v>
      </c>
      <c r="AO49">
        <v>29</v>
      </c>
      <c r="AP49">
        <v>33</v>
      </c>
      <c r="AQ49">
        <v>39</v>
      </c>
      <c r="AR49">
        <v>44</v>
      </c>
      <c r="AS49">
        <v>38</v>
      </c>
      <c r="AT49">
        <v>37</v>
      </c>
      <c r="AU49">
        <v>49</v>
      </c>
      <c r="AV49">
        <v>55</v>
      </c>
      <c r="AW49">
        <v>51</v>
      </c>
      <c r="AX49">
        <v>38</v>
      </c>
      <c r="AY49">
        <v>49</v>
      </c>
      <c r="AZ49">
        <v>48</v>
      </c>
      <c r="BA49">
        <v>34</v>
      </c>
      <c r="BB49">
        <v>45</v>
      </c>
      <c r="BC49">
        <v>23</v>
      </c>
      <c r="BD49">
        <v>34</v>
      </c>
    </row>
    <row r="50" spans="1:56" x14ac:dyDescent="0.25">
      <c r="A50" t="s">
        <v>4212</v>
      </c>
      <c r="B50" t="s">
        <v>153</v>
      </c>
      <c r="C50" t="s">
        <v>92</v>
      </c>
      <c r="D50">
        <v>679</v>
      </c>
      <c r="E50">
        <v>61.548999999999999</v>
      </c>
      <c r="F50">
        <v>58</v>
      </c>
      <c r="G50">
        <v>60</v>
      </c>
      <c r="H50">
        <v>61</v>
      </c>
      <c r="I50">
        <v>69</v>
      </c>
      <c r="J50">
        <v>59</v>
      </c>
      <c r="K50">
        <v>61</v>
      </c>
      <c r="L50">
        <v>62</v>
      </c>
      <c r="M50">
        <v>63</v>
      </c>
      <c r="N50">
        <v>66</v>
      </c>
      <c r="O50">
        <v>61</v>
      </c>
      <c r="P50">
        <v>58</v>
      </c>
      <c r="Q50">
        <v>62</v>
      </c>
      <c r="R50">
        <v>61</v>
      </c>
      <c r="S50">
        <v>59</v>
      </c>
      <c r="T50">
        <v>63</v>
      </c>
      <c r="U50">
        <v>63</v>
      </c>
      <c r="V50">
        <v>63</v>
      </c>
      <c r="W50">
        <v>58</v>
      </c>
      <c r="X50">
        <v>59</v>
      </c>
      <c r="Y50">
        <v>64</v>
      </c>
      <c r="Z50">
        <v>60</v>
      </c>
      <c r="AA50">
        <v>60</v>
      </c>
      <c r="AB50">
        <v>65</v>
      </c>
      <c r="AC50">
        <v>62</v>
      </c>
      <c r="AD50">
        <v>59</v>
      </c>
      <c r="AE50">
        <v>62</v>
      </c>
      <c r="AF50">
        <v>58</v>
      </c>
      <c r="AG50">
        <v>62</v>
      </c>
      <c r="AH50">
        <v>62</v>
      </c>
      <c r="AI50">
        <v>62</v>
      </c>
      <c r="AJ50">
        <v>63</v>
      </c>
      <c r="AK50">
        <v>63</v>
      </c>
      <c r="AL50">
        <v>59</v>
      </c>
      <c r="AM50">
        <v>63</v>
      </c>
      <c r="AN50">
        <v>61</v>
      </c>
      <c r="AO50">
        <v>59</v>
      </c>
      <c r="AP50">
        <v>60</v>
      </c>
      <c r="AQ50">
        <v>64</v>
      </c>
      <c r="AR50">
        <v>62</v>
      </c>
      <c r="AS50">
        <v>62</v>
      </c>
      <c r="AT50">
        <v>63</v>
      </c>
      <c r="AU50">
        <v>57</v>
      </c>
      <c r="AV50">
        <v>63</v>
      </c>
      <c r="AW50">
        <v>63</v>
      </c>
      <c r="AX50">
        <v>64</v>
      </c>
      <c r="AY50">
        <v>64</v>
      </c>
      <c r="AZ50">
        <v>64</v>
      </c>
      <c r="BA50">
        <v>62</v>
      </c>
      <c r="BB50">
        <v>60</v>
      </c>
      <c r="BC50">
        <v>59</v>
      </c>
      <c r="BD50">
        <v>62</v>
      </c>
    </row>
    <row r="51" spans="1:56" x14ac:dyDescent="0.25">
      <c r="A51" t="s">
        <v>4213</v>
      </c>
      <c r="B51" t="s">
        <v>154</v>
      </c>
      <c r="C51" t="s">
        <v>92</v>
      </c>
      <c r="D51">
        <v>90</v>
      </c>
      <c r="E51">
        <v>46.353000000000002</v>
      </c>
      <c r="F51">
        <v>31</v>
      </c>
      <c r="G51">
        <v>49</v>
      </c>
      <c r="H51">
        <v>47</v>
      </c>
      <c r="I51">
        <v>40</v>
      </c>
      <c r="J51">
        <v>47</v>
      </c>
      <c r="K51">
        <v>58</v>
      </c>
      <c r="L51">
        <v>56</v>
      </c>
      <c r="M51">
        <v>42</v>
      </c>
      <c r="N51">
        <v>40</v>
      </c>
      <c r="O51">
        <v>43</v>
      </c>
      <c r="P51">
        <v>50</v>
      </c>
      <c r="Q51">
        <v>44</v>
      </c>
      <c r="R51">
        <v>43</v>
      </c>
      <c r="S51">
        <v>50</v>
      </c>
      <c r="T51">
        <v>52</v>
      </c>
      <c r="U51">
        <v>53</v>
      </c>
      <c r="V51">
        <v>48</v>
      </c>
      <c r="W51">
        <v>54</v>
      </c>
      <c r="X51">
        <v>45</v>
      </c>
      <c r="Y51">
        <v>40</v>
      </c>
      <c r="Z51">
        <v>44</v>
      </c>
      <c r="AA51">
        <v>45</v>
      </c>
      <c r="AB51">
        <v>54</v>
      </c>
      <c r="AC51">
        <v>47</v>
      </c>
      <c r="AD51">
        <v>67</v>
      </c>
      <c r="AE51">
        <v>44</v>
      </c>
      <c r="AF51">
        <v>44</v>
      </c>
      <c r="AG51">
        <v>45</v>
      </c>
      <c r="AH51">
        <v>44</v>
      </c>
      <c r="AI51">
        <v>39</v>
      </c>
      <c r="AJ51">
        <v>45</v>
      </c>
      <c r="AK51">
        <v>44</v>
      </c>
      <c r="AL51">
        <v>37</v>
      </c>
      <c r="AM51">
        <v>46</v>
      </c>
      <c r="AN51">
        <v>44</v>
      </c>
      <c r="AO51">
        <v>41</v>
      </c>
      <c r="AP51">
        <v>40</v>
      </c>
      <c r="AQ51">
        <v>42</v>
      </c>
      <c r="AR51">
        <v>43</v>
      </c>
      <c r="AS51">
        <v>45</v>
      </c>
      <c r="AT51">
        <v>41</v>
      </c>
      <c r="AU51">
        <v>49</v>
      </c>
      <c r="AV51">
        <v>48</v>
      </c>
      <c r="AW51">
        <v>50</v>
      </c>
      <c r="AX51">
        <v>51</v>
      </c>
      <c r="AY51">
        <v>52</v>
      </c>
      <c r="AZ51">
        <v>54</v>
      </c>
      <c r="BA51">
        <v>52</v>
      </c>
      <c r="BB51">
        <v>43</v>
      </c>
      <c r="BC51">
        <v>48</v>
      </c>
      <c r="BD51">
        <v>44</v>
      </c>
    </row>
    <row r="52" spans="1:56" x14ac:dyDescent="0.25">
      <c r="A52" t="s">
        <v>4214</v>
      </c>
      <c r="B52" t="s">
        <v>155</v>
      </c>
      <c r="C52" t="s">
        <v>92</v>
      </c>
      <c r="D52">
        <v>162</v>
      </c>
      <c r="E52">
        <v>54.804000000000002</v>
      </c>
      <c r="F52">
        <v>54</v>
      </c>
      <c r="G52">
        <v>59</v>
      </c>
      <c r="H52">
        <v>51</v>
      </c>
      <c r="I52">
        <v>55</v>
      </c>
      <c r="J52">
        <v>64</v>
      </c>
      <c r="K52">
        <v>60</v>
      </c>
      <c r="L52">
        <v>56</v>
      </c>
      <c r="M52">
        <v>52</v>
      </c>
      <c r="N52">
        <v>59</v>
      </c>
      <c r="O52">
        <v>52</v>
      </c>
      <c r="P52">
        <v>61</v>
      </c>
      <c r="Q52">
        <v>56</v>
      </c>
      <c r="R52">
        <v>56</v>
      </c>
      <c r="S52">
        <v>60</v>
      </c>
      <c r="T52">
        <v>55</v>
      </c>
      <c r="U52">
        <v>59</v>
      </c>
      <c r="V52">
        <v>59</v>
      </c>
      <c r="W52">
        <v>57</v>
      </c>
      <c r="X52">
        <v>48</v>
      </c>
      <c r="Y52">
        <v>53</v>
      </c>
      <c r="Z52">
        <v>57</v>
      </c>
      <c r="AA52">
        <v>58</v>
      </c>
      <c r="AB52">
        <v>59</v>
      </c>
      <c r="AC52">
        <v>55</v>
      </c>
      <c r="AD52">
        <v>58</v>
      </c>
      <c r="AE52">
        <v>59</v>
      </c>
      <c r="AF52">
        <v>49</v>
      </c>
      <c r="AG52">
        <v>55</v>
      </c>
      <c r="AH52">
        <v>52</v>
      </c>
      <c r="AI52">
        <v>54</v>
      </c>
      <c r="AJ52">
        <v>52</v>
      </c>
      <c r="AK52">
        <v>54</v>
      </c>
      <c r="AL52">
        <v>54</v>
      </c>
      <c r="AM52">
        <v>51</v>
      </c>
      <c r="AN52">
        <v>53</v>
      </c>
      <c r="AO52">
        <v>57</v>
      </c>
      <c r="AP52">
        <v>52</v>
      </c>
      <c r="AQ52">
        <v>52</v>
      </c>
      <c r="AR52">
        <v>52</v>
      </c>
      <c r="AS52">
        <v>55</v>
      </c>
      <c r="AT52">
        <v>54</v>
      </c>
      <c r="AU52">
        <v>51</v>
      </c>
      <c r="AV52">
        <v>50</v>
      </c>
      <c r="AW52">
        <v>55</v>
      </c>
      <c r="AX52">
        <v>63</v>
      </c>
      <c r="AY52">
        <v>48</v>
      </c>
      <c r="AZ52">
        <v>60</v>
      </c>
      <c r="BA52">
        <v>48</v>
      </c>
      <c r="BB52">
        <v>50</v>
      </c>
      <c r="BC52">
        <v>51</v>
      </c>
      <c r="BD52">
        <v>51</v>
      </c>
    </row>
    <row r="53" spans="1:56" x14ac:dyDescent="0.25">
      <c r="A53" t="s">
        <v>4215</v>
      </c>
      <c r="B53" t="s">
        <v>156</v>
      </c>
      <c r="C53" t="s">
        <v>92</v>
      </c>
      <c r="D53">
        <v>94</v>
      </c>
      <c r="E53">
        <v>71.745000000000005</v>
      </c>
      <c r="F53">
        <v>62</v>
      </c>
      <c r="G53">
        <v>71</v>
      </c>
      <c r="H53">
        <v>64</v>
      </c>
      <c r="I53">
        <v>67</v>
      </c>
      <c r="J53">
        <v>59</v>
      </c>
      <c r="K53">
        <v>64</v>
      </c>
      <c r="L53">
        <v>77</v>
      </c>
      <c r="M53">
        <v>64</v>
      </c>
      <c r="N53">
        <v>75</v>
      </c>
      <c r="O53">
        <v>74</v>
      </c>
      <c r="P53">
        <v>70</v>
      </c>
      <c r="Q53">
        <v>70</v>
      </c>
      <c r="R53">
        <v>73</v>
      </c>
      <c r="S53">
        <v>75</v>
      </c>
      <c r="T53">
        <v>65</v>
      </c>
      <c r="U53">
        <v>78</v>
      </c>
      <c r="V53">
        <v>72</v>
      </c>
      <c r="W53">
        <v>73</v>
      </c>
      <c r="X53">
        <v>77</v>
      </c>
      <c r="Y53">
        <v>79</v>
      </c>
      <c r="Z53">
        <v>76</v>
      </c>
      <c r="AA53">
        <v>77</v>
      </c>
      <c r="AB53">
        <v>74</v>
      </c>
      <c r="AC53">
        <v>81</v>
      </c>
      <c r="AD53">
        <v>76</v>
      </c>
      <c r="AE53">
        <v>80</v>
      </c>
      <c r="AF53">
        <v>72</v>
      </c>
      <c r="AG53">
        <v>70</v>
      </c>
      <c r="AH53">
        <v>79</v>
      </c>
      <c r="AI53">
        <v>74</v>
      </c>
      <c r="AJ53">
        <v>71</v>
      </c>
      <c r="AK53">
        <v>74</v>
      </c>
      <c r="AL53">
        <v>65</v>
      </c>
      <c r="AM53">
        <v>66</v>
      </c>
      <c r="AN53">
        <v>64</v>
      </c>
      <c r="AO53">
        <v>71</v>
      </c>
      <c r="AP53">
        <v>68</v>
      </c>
      <c r="AQ53">
        <v>73</v>
      </c>
      <c r="AR53">
        <v>62</v>
      </c>
      <c r="AS53">
        <v>75</v>
      </c>
      <c r="AT53">
        <v>68</v>
      </c>
      <c r="AU53">
        <v>74</v>
      </c>
      <c r="AV53">
        <v>69</v>
      </c>
      <c r="AW53">
        <v>74</v>
      </c>
      <c r="AX53">
        <v>78</v>
      </c>
      <c r="AY53">
        <v>73</v>
      </c>
      <c r="AZ53">
        <v>76</v>
      </c>
      <c r="BA53">
        <v>68</v>
      </c>
      <c r="BB53">
        <v>69</v>
      </c>
      <c r="BC53">
        <v>77</v>
      </c>
      <c r="BD53">
        <v>76</v>
      </c>
    </row>
    <row r="54" spans="1:56" x14ac:dyDescent="0.25">
      <c r="A54" t="s">
        <v>4216</v>
      </c>
      <c r="B54" t="s">
        <v>157</v>
      </c>
      <c r="C54" t="s">
        <v>92</v>
      </c>
      <c r="D54">
        <v>62</v>
      </c>
      <c r="E54">
        <v>56.49</v>
      </c>
      <c r="F54">
        <v>48</v>
      </c>
      <c r="G54">
        <v>49</v>
      </c>
      <c r="H54">
        <v>37</v>
      </c>
      <c r="I54">
        <v>43</v>
      </c>
      <c r="J54">
        <v>46</v>
      </c>
      <c r="K54">
        <v>51</v>
      </c>
      <c r="L54">
        <v>57</v>
      </c>
      <c r="M54">
        <v>50</v>
      </c>
      <c r="N54">
        <v>54</v>
      </c>
      <c r="O54">
        <v>51</v>
      </c>
      <c r="P54">
        <v>59</v>
      </c>
      <c r="Q54">
        <v>59</v>
      </c>
      <c r="R54">
        <v>63</v>
      </c>
      <c r="S54">
        <v>63</v>
      </c>
      <c r="T54">
        <v>60</v>
      </c>
      <c r="U54">
        <v>56</v>
      </c>
      <c r="V54">
        <v>57</v>
      </c>
      <c r="W54">
        <v>54</v>
      </c>
      <c r="X54">
        <v>55</v>
      </c>
      <c r="Y54">
        <v>57</v>
      </c>
      <c r="Z54">
        <v>58</v>
      </c>
      <c r="AA54">
        <v>60</v>
      </c>
      <c r="AB54">
        <v>63</v>
      </c>
      <c r="AC54">
        <v>67</v>
      </c>
      <c r="AD54">
        <v>61</v>
      </c>
      <c r="AE54">
        <v>65</v>
      </c>
      <c r="AF54">
        <v>56</v>
      </c>
      <c r="AG54">
        <v>64</v>
      </c>
      <c r="AH54">
        <v>60</v>
      </c>
      <c r="AI54">
        <v>59</v>
      </c>
      <c r="AJ54">
        <v>53</v>
      </c>
      <c r="AK54">
        <v>60</v>
      </c>
      <c r="AL54">
        <v>55</v>
      </c>
      <c r="AM54">
        <v>52</v>
      </c>
      <c r="AN54">
        <v>52</v>
      </c>
      <c r="AO54">
        <v>64</v>
      </c>
      <c r="AP54">
        <v>61</v>
      </c>
      <c r="AQ54">
        <v>56</v>
      </c>
      <c r="AR54">
        <v>49</v>
      </c>
      <c r="AS54">
        <v>55</v>
      </c>
      <c r="AT54">
        <v>57</v>
      </c>
      <c r="AU54">
        <v>60</v>
      </c>
      <c r="AV54">
        <v>60</v>
      </c>
      <c r="AW54">
        <v>55</v>
      </c>
      <c r="AX54">
        <v>67</v>
      </c>
      <c r="AY54">
        <v>60</v>
      </c>
      <c r="AZ54">
        <v>62</v>
      </c>
      <c r="BA54">
        <v>47</v>
      </c>
      <c r="BB54">
        <v>55</v>
      </c>
      <c r="BC54">
        <v>58</v>
      </c>
      <c r="BD54">
        <v>61</v>
      </c>
    </row>
    <row r="55" spans="1:56" x14ac:dyDescent="0.25">
      <c r="A55" t="s">
        <v>4217</v>
      </c>
      <c r="B55" t="s">
        <v>158</v>
      </c>
      <c r="C55" t="s">
        <v>92</v>
      </c>
      <c r="D55">
        <v>169</v>
      </c>
      <c r="E55">
        <v>54.667000000000002</v>
      </c>
      <c r="F55">
        <v>45</v>
      </c>
      <c r="G55">
        <v>41</v>
      </c>
      <c r="H55">
        <v>41</v>
      </c>
      <c r="I55">
        <v>48</v>
      </c>
      <c r="J55">
        <v>55</v>
      </c>
      <c r="K55">
        <v>54</v>
      </c>
      <c r="L55">
        <v>59</v>
      </c>
      <c r="M55">
        <v>56</v>
      </c>
      <c r="N55">
        <v>61</v>
      </c>
      <c r="O55">
        <v>54</v>
      </c>
      <c r="P55">
        <v>61</v>
      </c>
      <c r="Q55">
        <v>47</v>
      </c>
      <c r="R55">
        <v>57</v>
      </c>
      <c r="S55">
        <v>56</v>
      </c>
      <c r="T55">
        <v>56</v>
      </c>
      <c r="U55">
        <v>55</v>
      </c>
      <c r="V55">
        <v>60</v>
      </c>
      <c r="W55">
        <v>52</v>
      </c>
      <c r="X55">
        <v>61</v>
      </c>
      <c r="Y55">
        <v>59</v>
      </c>
      <c r="Z55">
        <v>62</v>
      </c>
      <c r="AA55">
        <v>59</v>
      </c>
      <c r="AB55">
        <v>62</v>
      </c>
      <c r="AC55">
        <v>56</v>
      </c>
      <c r="AD55">
        <v>55</v>
      </c>
      <c r="AE55">
        <v>55</v>
      </c>
      <c r="AF55">
        <v>46</v>
      </c>
      <c r="AG55">
        <v>55</v>
      </c>
      <c r="AH55">
        <v>56</v>
      </c>
      <c r="AI55">
        <v>60</v>
      </c>
      <c r="AJ55">
        <v>57</v>
      </c>
      <c r="AK55">
        <v>54</v>
      </c>
      <c r="AL55">
        <v>52</v>
      </c>
      <c r="AM55">
        <v>47</v>
      </c>
      <c r="AN55">
        <v>48</v>
      </c>
      <c r="AO55">
        <v>52</v>
      </c>
      <c r="AP55">
        <v>48</v>
      </c>
      <c r="AQ55">
        <v>57</v>
      </c>
      <c r="AR55">
        <v>60</v>
      </c>
      <c r="AS55">
        <v>56</v>
      </c>
      <c r="AT55">
        <v>55</v>
      </c>
      <c r="AU55">
        <v>51</v>
      </c>
      <c r="AV55">
        <v>60</v>
      </c>
      <c r="AW55">
        <v>55</v>
      </c>
      <c r="AX55">
        <v>56</v>
      </c>
      <c r="AY55">
        <v>51</v>
      </c>
      <c r="AZ55">
        <v>56</v>
      </c>
      <c r="BA55">
        <v>60</v>
      </c>
      <c r="BB55">
        <v>57</v>
      </c>
      <c r="BC55">
        <v>52</v>
      </c>
      <c r="BD55">
        <v>60</v>
      </c>
    </row>
    <row r="56" spans="1:56" x14ac:dyDescent="0.25">
      <c r="A56" t="s">
        <v>4218</v>
      </c>
      <c r="B56" t="s">
        <v>159</v>
      </c>
      <c r="C56" t="s">
        <v>92</v>
      </c>
      <c r="D56">
        <v>178</v>
      </c>
      <c r="E56">
        <v>67.843000000000004</v>
      </c>
      <c r="F56">
        <v>67</v>
      </c>
      <c r="G56">
        <v>72</v>
      </c>
      <c r="H56">
        <v>76</v>
      </c>
      <c r="I56">
        <v>71</v>
      </c>
      <c r="J56">
        <v>65</v>
      </c>
      <c r="K56">
        <v>74</v>
      </c>
      <c r="L56">
        <v>71</v>
      </c>
      <c r="M56">
        <v>70</v>
      </c>
      <c r="N56">
        <v>71</v>
      </c>
      <c r="O56">
        <v>75</v>
      </c>
      <c r="P56">
        <v>73</v>
      </c>
      <c r="Q56">
        <v>75</v>
      </c>
      <c r="R56">
        <v>81</v>
      </c>
      <c r="S56">
        <v>74</v>
      </c>
      <c r="T56">
        <v>74</v>
      </c>
      <c r="U56">
        <v>78</v>
      </c>
      <c r="V56">
        <v>72</v>
      </c>
      <c r="W56">
        <v>72</v>
      </c>
      <c r="X56">
        <v>73</v>
      </c>
      <c r="Y56">
        <v>73</v>
      </c>
      <c r="Z56">
        <v>66</v>
      </c>
      <c r="AA56">
        <v>69</v>
      </c>
      <c r="AB56">
        <v>72</v>
      </c>
      <c r="AC56">
        <v>67</v>
      </c>
      <c r="AD56">
        <v>68</v>
      </c>
      <c r="AE56">
        <v>61</v>
      </c>
      <c r="AF56">
        <v>68</v>
      </c>
      <c r="AG56">
        <v>70</v>
      </c>
      <c r="AH56">
        <v>60</v>
      </c>
      <c r="AI56">
        <v>63</v>
      </c>
      <c r="AJ56">
        <v>61</v>
      </c>
      <c r="AK56">
        <v>66</v>
      </c>
      <c r="AL56">
        <v>67</v>
      </c>
      <c r="AM56">
        <v>62</v>
      </c>
      <c r="AN56">
        <v>60</v>
      </c>
      <c r="AO56">
        <v>67</v>
      </c>
      <c r="AP56">
        <v>64</v>
      </c>
      <c r="AQ56">
        <v>59</v>
      </c>
      <c r="AR56">
        <v>70</v>
      </c>
      <c r="AS56">
        <v>68</v>
      </c>
      <c r="AT56">
        <v>66</v>
      </c>
      <c r="AU56">
        <v>69</v>
      </c>
      <c r="AV56">
        <v>64</v>
      </c>
      <c r="AW56">
        <v>64</v>
      </c>
      <c r="AX56">
        <v>65</v>
      </c>
      <c r="AY56">
        <v>62</v>
      </c>
      <c r="AZ56">
        <v>69</v>
      </c>
      <c r="BA56">
        <v>62</v>
      </c>
      <c r="BB56">
        <v>56</v>
      </c>
      <c r="BC56">
        <v>61</v>
      </c>
      <c r="BD56">
        <v>57</v>
      </c>
    </row>
    <row r="57" spans="1:56" x14ac:dyDescent="0.25">
      <c r="A57" t="s">
        <v>4219</v>
      </c>
      <c r="B57" t="s">
        <v>160</v>
      </c>
      <c r="C57" t="s">
        <v>92</v>
      </c>
      <c r="D57">
        <v>512</v>
      </c>
      <c r="E57">
        <v>57.667000000000002</v>
      </c>
      <c r="F57">
        <v>49</v>
      </c>
      <c r="G57">
        <v>55</v>
      </c>
      <c r="H57">
        <v>56</v>
      </c>
      <c r="I57">
        <v>59</v>
      </c>
      <c r="J57">
        <v>54</v>
      </c>
      <c r="K57">
        <v>52</v>
      </c>
      <c r="L57">
        <v>60</v>
      </c>
      <c r="M57">
        <v>59</v>
      </c>
      <c r="N57">
        <v>56</v>
      </c>
      <c r="O57">
        <v>57</v>
      </c>
      <c r="P57">
        <v>59</v>
      </c>
      <c r="Q57">
        <v>60</v>
      </c>
      <c r="R57">
        <v>61</v>
      </c>
      <c r="S57">
        <v>62</v>
      </c>
      <c r="T57">
        <v>60</v>
      </c>
      <c r="U57">
        <v>64</v>
      </c>
      <c r="V57">
        <v>60</v>
      </c>
      <c r="W57">
        <v>61</v>
      </c>
      <c r="X57">
        <v>58</v>
      </c>
      <c r="Y57">
        <v>56</v>
      </c>
      <c r="Z57">
        <v>59</v>
      </c>
      <c r="AA57">
        <v>60</v>
      </c>
      <c r="AB57">
        <v>60</v>
      </c>
      <c r="AC57">
        <v>60</v>
      </c>
      <c r="AD57">
        <v>54</v>
      </c>
      <c r="AE57">
        <v>58</v>
      </c>
      <c r="AF57">
        <v>59</v>
      </c>
      <c r="AG57">
        <v>57</v>
      </c>
      <c r="AH57">
        <v>59</v>
      </c>
      <c r="AI57">
        <v>56</v>
      </c>
      <c r="AJ57">
        <v>57</v>
      </c>
      <c r="AK57">
        <v>60</v>
      </c>
      <c r="AL57">
        <v>56</v>
      </c>
      <c r="AM57">
        <v>54</v>
      </c>
      <c r="AN57">
        <v>58</v>
      </c>
      <c r="AO57">
        <v>52</v>
      </c>
      <c r="AP57">
        <v>52</v>
      </c>
      <c r="AQ57">
        <v>62</v>
      </c>
      <c r="AR57">
        <v>56</v>
      </c>
      <c r="AS57">
        <v>55</v>
      </c>
      <c r="AT57">
        <v>61</v>
      </c>
      <c r="AU57">
        <v>55</v>
      </c>
      <c r="AV57">
        <v>58</v>
      </c>
      <c r="AW57">
        <v>57</v>
      </c>
      <c r="AX57">
        <v>57</v>
      </c>
      <c r="AY57">
        <v>59</v>
      </c>
      <c r="AZ57">
        <v>57</v>
      </c>
      <c r="BA57">
        <v>57</v>
      </c>
      <c r="BB57">
        <v>62</v>
      </c>
      <c r="BC57">
        <v>59</v>
      </c>
      <c r="BD57">
        <v>57</v>
      </c>
    </row>
    <row r="58" spans="1:56" x14ac:dyDescent="0.25">
      <c r="A58" t="s">
        <v>4220</v>
      </c>
      <c r="B58" t="s">
        <v>244</v>
      </c>
      <c r="C58" t="s">
        <v>92</v>
      </c>
      <c r="D58">
        <v>653</v>
      </c>
      <c r="E58">
        <v>62.744999999999997</v>
      </c>
      <c r="F58">
        <v>57</v>
      </c>
      <c r="G58">
        <v>65</v>
      </c>
      <c r="H58">
        <v>62</v>
      </c>
      <c r="I58">
        <v>63</v>
      </c>
      <c r="J58">
        <v>62</v>
      </c>
      <c r="K58">
        <v>60</v>
      </c>
      <c r="L58">
        <v>65</v>
      </c>
      <c r="M58">
        <v>63</v>
      </c>
      <c r="N58">
        <v>61</v>
      </c>
      <c r="O58">
        <v>61</v>
      </c>
      <c r="P58">
        <v>63</v>
      </c>
      <c r="Q58">
        <v>63</v>
      </c>
      <c r="R58">
        <v>60</v>
      </c>
      <c r="S58">
        <v>60</v>
      </c>
      <c r="T58">
        <v>65</v>
      </c>
      <c r="U58">
        <v>66</v>
      </c>
      <c r="V58">
        <v>64</v>
      </c>
      <c r="W58">
        <v>60</v>
      </c>
      <c r="X58">
        <v>60</v>
      </c>
      <c r="Y58">
        <v>65</v>
      </c>
      <c r="Z58">
        <v>62</v>
      </c>
      <c r="AA58">
        <v>63</v>
      </c>
      <c r="AB58">
        <v>64</v>
      </c>
      <c r="AC58">
        <v>64</v>
      </c>
      <c r="AD58">
        <v>65</v>
      </c>
      <c r="AE58">
        <v>63</v>
      </c>
      <c r="AF58">
        <v>63</v>
      </c>
      <c r="AG58">
        <v>59</v>
      </c>
      <c r="AH58">
        <v>65</v>
      </c>
      <c r="AI58">
        <v>63</v>
      </c>
      <c r="AJ58">
        <v>64</v>
      </c>
      <c r="AK58">
        <v>65</v>
      </c>
      <c r="AL58">
        <v>62</v>
      </c>
      <c r="AM58">
        <v>65</v>
      </c>
      <c r="AN58">
        <v>61</v>
      </c>
      <c r="AO58">
        <v>63</v>
      </c>
      <c r="AP58">
        <v>62</v>
      </c>
      <c r="AQ58">
        <v>61</v>
      </c>
      <c r="AR58">
        <v>65</v>
      </c>
      <c r="AS58">
        <v>64</v>
      </c>
      <c r="AT58">
        <v>66</v>
      </c>
      <c r="AU58">
        <v>65</v>
      </c>
      <c r="AV58">
        <v>63</v>
      </c>
      <c r="AW58">
        <v>59</v>
      </c>
      <c r="AX58">
        <v>62</v>
      </c>
      <c r="AY58">
        <v>66</v>
      </c>
      <c r="AZ58">
        <v>62</v>
      </c>
      <c r="BA58">
        <v>65</v>
      </c>
      <c r="BB58">
        <v>62</v>
      </c>
      <c r="BC58">
        <v>59</v>
      </c>
      <c r="BD58">
        <v>63</v>
      </c>
    </row>
    <row r="59" spans="1:56" x14ac:dyDescent="0.25">
      <c r="A59" t="s">
        <v>4221</v>
      </c>
      <c r="B59" t="s">
        <v>245</v>
      </c>
      <c r="C59" t="s">
        <v>92</v>
      </c>
      <c r="D59">
        <v>132</v>
      </c>
      <c r="E59">
        <v>55.392000000000003</v>
      </c>
      <c r="F59">
        <v>46</v>
      </c>
      <c r="G59">
        <v>52</v>
      </c>
      <c r="H59">
        <v>54</v>
      </c>
      <c r="I59">
        <v>67</v>
      </c>
      <c r="J59">
        <v>52</v>
      </c>
      <c r="K59">
        <v>56</v>
      </c>
      <c r="L59">
        <v>63</v>
      </c>
      <c r="M59">
        <v>59</v>
      </c>
      <c r="N59">
        <v>54</v>
      </c>
      <c r="O59">
        <v>60</v>
      </c>
      <c r="P59">
        <v>59</v>
      </c>
      <c r="Q59">
        <v>55</v>
      </c>
      <c r="R59">
        <v>51</v>
      </c>
      <c r="S59">
        <v>63</v>
      </c>
      <c r="T59">
        <v>58</v>
      </c>
      <c r="U59">
        <v>60</v>
      </c>
      <c r="V59">
        <v>62</v>
      </c>
      <c r="W59">
        <v>56</v>
      </c>
      <c r="X59">
        <v>49</v>
      </c>
      <c r="Y59">
        <v>50</v>
      </c>
      <c r="Z59">
        <v>58</v>
      </c>
      <c r="AA59">
        <v>61</v>
      </c>
      <c r="AB59">
        <v>60</v>
      </c>
      <c r="AC59">
        <v>61</v>
      </c>
      <c r="AD59">
        <v>56</v>
      </c>
      <c r="AE59">
        <v>51</v>
      </c>
      <c r="AF59">
        <v>56</v>
      </c>
      <c r="AG59">
        <v>48</v>
      </c>
      <c r="AH59">
        <v>48</v>
      </c>
      <c r="AI59">
        <v>55</v>
      </c>
      <c r="AJ59">
        <v>46</v>
      </c>
      <c r="AK59">
        <v>55</v>
      </c>
      <c r="AL59">
        <v>52</v>
      </c>
      <c r="AM59">
        <v>55</v>
      </c>
      <c r="AN59">
        <v>53</v>
      </c>
      <c r="AO59">
        <v>51</v>
      </c>
      <c r="AP59">
        <v>48</v>
      </c>
      <c r="AQ59">
        <v>56</v>
      </c>
      <c r="AR59">
        <v>56</v>
      </c>
      <c r="AS59">
        <v>58</v>
      </c>
      <c r="AT59">
        <v>54</v>
      </c>
      <c r="AU59">
        <v>53</v>
      </c>
      <c r="AV59">
        <v>57</v>
      </c>
      <c r="AW59">
        <v>59</v>
      </c>
      <c r="AX59">
        <v>57</v>
      </c>
      <c r="AY59">
        <v>53</v>
      </c>
      <c r="AZ59">
        <v>55</v>
      </c>
      <c r="BA59">
        <v>57</v>
      </c>
      <c r="BB59">
        <v>60</v>
      </c>
      <c r="BC59">
        <v>52</v>
      </c>
      <c r="BD59">
        <v>58</v>
      </c>
    </row>
    <row r="60" spans="1:56" x14ac:dyDescent="0.25">
      <c r="A60" t="s">
        <v>4222</v>
      </c>
      <c r="B60" t="s">
        <v>246</v>
      </c>
      <c r="C60" t="s">
        <v>92</v>
      </c>
      <c r="D60">
        <v>237</v>
      </c>
      <c r="E60">
        <v>60.078000000000003</v>
      </c>
      <c r="F60">
        <v>65</v>
      </c>
      <c r="G60">
        <v>65</v>
      </c>
      <c r="H60">
        <v>57</v>
      </c>
      <c r="I60">
        <v>58</v>
      </c>
      <c r="J60">
        <v>51</v>
      </c>
      <c r="K60">
        <v>63</v>
      </c>
      <c r="L60">
        <v>57</v>
      </c>
      <c r="M60">
        <v>60</v>
      </c>
      <c r="N60">
        <v>53</v>
      </c>
      <c r="O60">
        <v>57</v>
      </c>
      <c r="P60">
        <v>58</v>
      </c>
      <c r="Q60">
        <v>62</v>
      </c>
      <c r="R60">
        <v>60</v>
      </c>
      <c r="S60">
        <v>54</v>
      </c>
      <c r="T60">
        <v>63</v>
      </c>
      <c r="U60">
        <v>63</v>
      </c>
      <c r="V60">
        <v>63</v>
      </c>
      <c r="W60">
        <v>63</v>
      </c>
      <c r="X60">
        <v>58</v>
      </c>
      <c r="Y60">
        <v>63</v>
      </c>
      <c r="Z60">
        <v>57</v>
      </c>
      <c r="AA60">
        <v>54</v>
      </c>
      <c r="AB60">
        <v>63</v>
      </c>
      <c r="AC60">
        <v>60</v>
      </c>
      <c r="AD60">
        <v>61</v>
      </c>
      <c r="AE60">
        <v>61</v>
      </c>
      <c r="AF60">
        <v>59</v>
      </c>
      <c r="AG60">
        <v>63</v>
      </c>
      <c r="AH60">
        <v>62</v>
      </c>
      <c r="AI60">
        <v>59</v>
      </c>
      <c r="AJ60">
        <v>61</v>
      </c>
      <c r="AK60">
        <v>63</v>
      </c>
      <c r="AL60">
        <v>64</v>
      </c>
      <c r="AM60">
        <v>59</v>
      </c>
      <c r="AN60">
        <v>57</v>
      </c>
      <c r="AO60">
        <v>55</v>
      </c>
      <c r="AP60">
        <v>59</v>
      </c>
      <c r="AQ60">
        <v>61</v>
      </c>
      <c r="AR60">
        <v>57</v>
      </c>
      <c r="AS60">
        <v>64</v>
      </c>
      <c r="AT60">
        <v>62</v>
      </c>
      <c r="AU60">
        <v>61</v>
      </c>
      <c r="AV60">
        <v>64</v>
      </c>
      <c r="AW60">
        <v>63</v>
      </c>
      <c r="AX60">
        <v>63</v>
      </c>
      <c r="AY60">
        <v>60</v>
      </c>
      <c r="AZ60">
        <v>61</v>
      </c>
      <c r="BA60">
        <v>60</v>
      </c>
      <c r="BB60">
        <v>53</v>
      </c>
      <c r="BC60">
        <v>63</v>
      </c>
      <c r="BD60">
        <v>62</v>
      </c>
    </row>
    <row r="61" spans="1:56" x14ac:dyDescent="0.25">
      <c r="A61" t="s">
        <v>4223</v>
      </c>
      <c r="B61" t="s">
        <v>164</v>
      </c>
      <c r="C61" t="s">
        <v>92</v>
      </c>
      <c r="D61">
        <v>46</v>
      </c>
      <c r="E61">
        <v>63.392000000000003</v>
      </c>
      <c r="F61">
        <v>56</v>
      </c>
      <c r="G61">
        <v>69</v>
      </c>
      <c r="H61">
        <v>70</v>
      </c>
      <c r="I61">
        <v>65</v>
      </c>
      <c r="J61">
        <v>70</v>
      </c>
      <c r="K61">
        <v>66</v>
      </c>
      <c r="L61">
        <v>67</v>
      </c>
      <c r="M61">
        <v>53</v>
      </c>
      <c r="N61">
        <v>56</v>
      </c>
      <c r="O61">
        <v>56</v>
      </c>
      <c r="P61">
        <v>71</v>
      </c>
      <c r="Q61">
        <v>73</v>
      </c>
      <c r="R61">
        <v>69</v>
      </c>
      <c r="S61">
        <v>64</v>
      </c>
      <c r="T61">
        <v>58</v>
      </c>
      <c r="U61">
        <v>74</v>
      </c>
      <c r="V61">
        <v>65</v>
      </c>
      <c r="W61">
        <v>72</v>
      </c>
      <c r="X61">
        <v>71</v>
      </c>
      <c r="Y61">
        <v>66</v>
      </c>
      <c r="Z61">
        <v>68</v>
      </c>
      <c r="AA61">
        <v>66</v>
      </c>
      <c r="AB61">
        <v>79</v>
      </c>
      <c r="AC61">
        <v>62</v>
      </c>
      <c r="AD61">
        <v>73</v>
      </c>
      <c r="AE61">
        <v>72</v>
      </c>
      <c r="AF61">
        <v>53</v>
      </c>
      <c r="AG61">
        <v>67</v>
      </c>
      <c r="AH61">
        <v>62</v>
      </c>
      <c r="AI61">
        <v>50</v>
      </c>
      <c r="AJ61">
        <v>56</v>
      </c>
      <c r="AK61">
        <v>53</v>
      </c>
      <c r="AL61">
        <v>64</v>
      </c>
      <c r="AM61">
        <v>66</v>
      </c>
      <c r="AN61">
        <v>68</v>
      </c>
      <c r="AO61">
        <v>68</v>
      </c>
      <c r="AP61">
        <v>66</v>
      </c>
      <c r="AQ61">
        <v>59</v>
      </c>
      <c r="AR61">
        <v>68</v>
      </c>
      <c r="AS61">
        <v>65</v>
      </c>
      <c r="AT61">
        <v>71</v>
      </c>
      <c r="AU61">
        <v>65</v>
      </c>
      <c r="AV61">
        <v>59</v>
      </c>
      <c r="AW61">
        <v>57</v>
      </c>
      <c r="AX61">
        <v>54</v>
      </c>
      <c r="AY61">
        <v>64</v>
      </c>
      <c r="AZ61">
        <v>51</v>
      </c>
      <c r="BA61">
        <v>58</v>
      </c>
      <c r="BB61">
        <v>55</v>
      </c>
      <c r="BC61">
        <v>49</v>
      </c>
      <c r="BD61">
        <v>54</v>
      </c>
    </row>
    <row r="62" spans="1:56" x14ac:dyDescent="0.25">
      <c r="A62" t="s">
        <v>4224</v>
      </c>
      <c r="B62" t="s">
        <v>165</v>
      </c>
      <c r="C62" t="s">
        <v>92</v>
      </c>
      <c r="D62">
        <v>201</v>
      </c>
      <c r="E62">
        <v>73.882000000000005</v>
      </c>
      <c r="F62">
        <v>72</v>
      </c>
      <c r="G62">
        <v>70</v>
      </c>
      <c r="H62">
        <v>54</v>
      </c>
      <c r="I62">
        <v>69</v>
      </c>
      <c r="J62">
        <v>75</v>
      </c>
      <c r="K62">
        <v>69</v>
      </c>
      <c r="L62">
        <v>71</v>
      </c>
      <c r="M62">
        <v>72</v>
      </c>
      <c r="N62">
        <v>68</v>
      </c>
      <c r="O62">
        <v>69</v>
      </c>
      <c r="P62">
        <v>67</v>
      </c>
      <c r="Q62">
        <v>81</v>
      </c>
      <c r="R62">
        <v>74</v>
      </c>
      <c r="S62">
        <v>74</v>
      </c>
      <c r="T62">
        <v>80</v>
      </c>
      <c r="U62">
        <v>77</v>
      </c>
      <c r="V62">
        <v>79</v>
      </c>
      <c r="W62">
        <v>73</v>
      </c>
      <c r="X62">
        <v>77</v>
      </c>
      <c r="Y62">
        <v>79</v>
      </c>
      <c r="Z62">
        <v>77</v>
      </c>
      <c r="AA62">
        <v>76</v>
      </c>
      <c r="AB62">
        <v>78</v>
      </c>
      <c r="AC62">
        <v>75</v>
      </c>
      <c r="AD62">
        <v>73</v>
      </c>
      <c r="AE62">
        <v>75</v>
      </c>
      <c r="AF62">
        <v>72</v>
      </c>
      <c r="AG62">
        <v>81</v>
      </c>
      <c r="AH62">
        <v>77</v>
      </c>
      <c r="AI62">
        <v>73</v>
      </c>
      <c r="AJ62">
        <v>73</v>
      </c>
      <c r="AK62">
        <v>73</v>
      </c>
      <c r="AL62">
        <v>72</v>
      </c>
      <c r="AM62">
        <v>72</v>
      </c>
      <c r="AN62">
        <v>74</v>
      </c>
      <c r="AO62">
        <v>71</v>
      </c>
      <c r="AP62">
        <v>71</v>
      </c>
      <c r="AQ62">
        <v>73</v>
      </c>
      <c r="AR62">
        <v>74</v>
      </c>
      <c r="AS62">
        <v>81</v>
      </c>
      <c r="AT62">
        <v>77</v>
      </c>
      <c r="AU62">
        <v>73</v>
      </c>
      <c r="AV62">
        <v>75</v>
      </c>
      <c r="AW62">
        <v>79</v>
      </c>
      <c r="AX62">
        <v>84</v>
      </c>
      <c r="AY62">
        <v>73</v>
      </c>
      <c r="AZ62">
        <v>75</v>
      </c>
      <c r="BA62">
        <v>71</v>
      </c>
      <c r="BB62">
        <v>74</v>
      </c>
      <c r="BC62">
        <v>73</v>
      </c>
      <c r="BD62">
        <v>73</v>
      </c>
    </row>
    <row r="63" spans="1:56" x14ac:dyDescent="0.25">
      <c r="A63" t="s">
        <v>4225</v>
      </c>
      <c r="B63" t="s">
        <v>166</v>
      </c>
      <c r="C63" t="s">
        <v>92</v>
      </c>
      <c r="D63">
        <v>90</v>
      </c>
      <c r="E63">
        <v>59.293999999999997</v>
      </c>
      <c r="F63">
        <v>53</v>
      </c>
      <c r="G63">
        <v>60</v>
      </c>
      <c r="H63">
        <v>60</v>
      </c>
      <c r="I63">
        <v>81</v>
      </c>
      <c r="J63">
        <v>63</v>
      </c>
      <c r="K63">
        <v>64</v>
      </c>
      <c r="L63">
        <v>61</v>
      </c>
      <c r="M63">
        <v>63</v>
      </c>
      <c r="N63">
        <v>58</v>
      </c>
      <c r="O63">
        <v>60</v>
      </c>
      <c r="P63">
        <v>60</v>
      </c>
      <c r="Q63">
        <v>55</v>
      </c>
      <c r="R63">
        <v>64</v>
      </c>
      <c r="S63">
        <v>56</v>
      </c>
      <c r="T63">
        <v>52</v>
      </c>
      <c r="U63">
        <v>56</v>
      </c>
      <c r="V63">
        <v>60</v>
      </c>
      <c r="W63">
        <v>43</v>
      </c>
      <c r="X63">
        <v>58</v>
      </c>
      <c r="Y63">
        <v>54</v>
      </c>
      <c r="Z63">
        <v>61</v>
      </c>
      <c r="AA63">
        <v>68</v>
      </c>
      <c r="AB63">
        <v>66</v>
      </c>
      <c r="AC63">
        <v>59</v>
      </c>
      <c r="AD63">
        <v>65</v>
      </c>
      <c r="AE63">
        <v>61</v>
      </c>
      <c r="AF63">
        <v>56</v>
      </c>
      <c r="AG63">
        <v>64</v>
      </c>
      <c r="AH63">
        <v>60</v>
      </c>
      <c r="AI63">
        <v>63</v>
      </c>
      <c r="AJ63">
        <v>58</v>
      </c>
      <c r="AK63">
        <v>65</v>
      </c>
      <c r="AL63">
        <v>61</v>
      </c>
      <c r="AM63">
        <v>57</v>
      </c>
      <c r="AN63">
        <v>55</v>
      </c>
      <c r="AO63">
        <v>59</v>
      </c>
      <c r="AP63">
        <v>59</v>
      </c>
      <c r="AQ63">
        <v>49</v>
      </c>
      <c r="AR63">
        <v>51</v>
      </c>
      <c r="AS63">
        <v>56</v>
      </c>
      <c r="AT63">
        <v>55</v>
      </c>
      <c r="AU63">
        <v>57</v>
      </c>
      <c r="AV63">
        <v>66</v>
      </c>
      <c r="AW63">
        <v>59</v>
      </c>
      <c r="AX63">
        <v>58</v>
      </c>
      <c r="AY63">
        <v>63</v>
      </c>
      <c r="AZ63">
        <v>54</v>
      </c>
      <c r="BA63">
        <v>58</v>
      </c>
      <c r="BB63">
        <v>54</v>
      </c>
      <c r="BC63">
        <v>61</v>
      </c>
      <c r="BD63">
        <v>65</v>
      </c>
    </row>
    <row r="64" spans="1:56" x14ac:dyDescent="0.25">
      <c r="A64" t="s">
        <v>4226</v>
      </c>
      <c r="B64" t="s">
        <v>167</v>
      </c>
      <c r="C64" t="s">
        <v>92</v>
      </c>
      <c r="D64">
        <v>204</v>
      </c>
      <c r="E64">
        <v>68.528999999999996</v>
      </c>
      <c r="F64">
        <v>48</v>
      </c>
      <c r="G64">
        <v>71</v>
      </c>
      <c r="H64">
        <v>66</v>
      </c>
      <c r="I64">
        <v>68</v>
      </c>
      <c r="J64">
        <v>58</v>
      </c>
      <c r="K64">
        <v>61</v>
      </c>
      <c r="L64">
        <v>70</v>
      </c>
      <c r="M64">
        <v>63</v>
      </c>
      <c r="N64">
        <v>58</v>
      </c>
      <c r="O64">
        <v>60</v>
      </c>
      <c r="P64">
        <v>57</v>
      </c>
      <c r="Q64">
        <v>62</v>
      </c>
      <c r="R64">
        <v>68</v>
      </c>
      <c r="S64">
        <v>68</v>
      </c>
      <c r="T64">
        <v>77</v>
      </c>
      <c r="U64">
        <v>68</v>
      </c>
      <c r="V64">
        <v>70</v>
      </c>
      <c r="W64">
        <v>68</v>
      </c>
      <c r="X64">
        <v>69</v>
      </c>
      <c r="Y64">
        <v>69</v>
      </c>
      <c r="Z64">
        <v>75</v>
      </c>
      <c r="AA64">
        <v>61</v>
      </c>
      <c r="AB64">
        <v>72</v>
      </c>
      <c r="AC64">
        <v>71</v>
      </c>
      <c r="AD64">
        <v>69</v>
      </c>
      <c r="AE64">
        <v>65</v>
      </c>
      <c r="AF64">
        <v>75</v>
      </c>
      <c r="AG64">
        <v>71</v>
      </c>
      <c r="AH64">
        <v>69</v>
      </c>
      <c r="AI64">
        <v>71</v>
      </c>
      <c r="AJ64">
        <v>74</v>
      </c>
      <c r="AK64">
        <v>71</v>
      </c>
      <c r="AL64">
        <v>70</v>
      </c>
      <c r="AM64">
        <v>68</v>
      </c>
      <c r="AN64">
        <v>72</v>
      </c>
      <c r="AO64">
        <v>73</v>
      </c>
      <c r="AP64">
        <v>68</v>
      </c>
      <c r="AQ64">
        <v>74</v>
      </c>
      <c r="AR64">
        <v>71</v>
      </c>
      <c r="AS64">
        <v>69</v>
      </c>
      <c r="AT64">
        <v>66</v>
      </c>
      <c r="AU64">
        <v>71</v>
      </c>
      <c r="AV64">
        <v>75</v>
      </c>
      <c r="AW64">
        <v>73</v>
      </c>
      <c r="AX64">
        <v>74</v>
      </c>
      <c r="AY64">
        <v>67</v>
      </c>
      <c r="AZ64">
        <v>76</v>
      </c>
      <c r="BA64">
        <v>69</v>
      </c>
      <c r="BB64">
        <v>71</v>
      </c>
      <c r="BC64">
        <v>78</v>
      </c>
      <c r="BD64">
        <v>67</v>
      </c>
    </row>
    <row r="65" spans="1:56" x14ac:dyDescent="0.25">
      <c r="A65" t="s">
        <v>4227</v>
      </c>
      <c r="B65" t="s">
        <v>247</v>
      </c>
      <c r="C65" t="s">
        <v>92</v>
      </c>
      <c r="D65">
        <v>170</v>
      </c>
      <c r="E65">
        <v>61.255000000000003</v>
      </c>
      <c r="F65">
        <v>55</v>
      </c>
      <c r="G65">
        <v>57</v>
      </c>
      <c r="H65">
        <v>60</v>
      </c>
      <c r="I65">
        <v>66</v>
      </c>
      <c r="J65">
        <v>60</v>
      </c>
      <c r="K65">
        <v>63</v>
      </c>
      <c r="L65">
        <v>62</v>
      </c>
      <c r="M65">
        <v>55</v>
      </c>
      <c r="N65">
        <v>56</v>
      </c>
      <c r="O65">
        <v>61</v>
      </c>
      <c r="P65">
        <v>62</v>
      </c>
      <c r="Q65">
        <v>61</v>
      </c>
      <c r="R65">
        <v>65</v>
      </c>
      <c r="S65">
        <v>51</v>
      </c>
      <c r="T65">
        <v>48</v>
      </c>
      <c r="U65">
        <v>63</v>
      </c>
      <c r="V65">
        <v>57</v>
      </c>
      <c r="W65">
        <v>57</v>
      </c>
      <c r="X65">
        <v>48</v>
      </c>
      <c r="Y65">
        <v>67</v>
      </c>
      <c r="Z65">
        <v>55</v>
      </c>
      <c r="AA65">
        <v>59</v>
      </c>
      <c r="AB65">
        <v>67</v>
      </c>
      <c r="AC65">
        <v>48</v>
      </c>
      <c r="AD65">
        <v>54</v>
      </c>
      <c r="AE65">
        <v>60</v>
      </c>
      <c r="AF65">
        <v>55</v>
      </c>
      <c r="AG65">
        <v>66</v>
      </c>
      <c r="AH65">
        <v>69</v>
      </c>
      <c r="AI65">
        <v>59</v>
      </c>
      <c r="AJ65">
        <v>64</v>
      </c>
      <c r="AK65">
        <v>65</v>
      </c>
      <c r="AL65">
        <v>61</v>
      </c>
      <c r="AM65">
        <v>64</v>
      </c>
      <c r="AN65">
        <v>55</v>
      </c>
      <c r="AO65">
        <v>71</v>
      </c>
      <c r="AP65">
        <v>58</v>
      </c>
      <c r="AQ65">
        <v>58</v>
      </c>
      <c r="AR65">
        <v>68</v>
      </c>
      <c r="AS65">
        <v>61</v>
      </c>
      <c r="AT65">
        <v>69</v>
      </c>
      <c r="AU65">
        <v>60</v>
      </c>
      <c r="AV65">
        <v>76</v>
      </c>
      <c r="AW65">
        <v>66</v>
      </c>
      <c r="AX65">
        <v>62</v>
      </c>
      <c r="AY65">
        <v>68</v>
      </c>
      <c r="AZ65">
        <v>67</v>
      </c>
      <c r="BA65">
        <v>67</v>
      </c>
      <c r="BB65">
        <v>68</v>
      </c>
      <c r="BC65">
        <v>67</v>
      </c>
      <c r="BD65">
        <v>63</v>
      </c>
    </row>
    <row r="66" spans="1:56" x14ac:dyDescent="0.25">
      <c r="A66" t="s">
        <v>4228</v>
      </c>
      <c r="B66" t="s">
        <v>169</v>
      </c>
      <c r="C66" t="s">
        <v>92</v>
      </c>
      <c r="D66">
        <v>114</v>
      </c>
      <c r="E66">
        <v>59.627000000000002</v>
      </c>
      <c r="F66">
        <v>62</v>
      </c>
      <c r="G66">
        <v>62</v>
      </c>
      <c r="H66">
        <v>65</v>
      </c>
      <c r="I66">
        <v>67</v>
      </c>
      <c r="J66">
        <v>58</v>
      </c>
      <c r="K66">
        <v>54</v>
      </c>
      <c r="L66">
        <v>57</v>
      </c>
      <c r="M66">
        <v>46</v>
      </c>
      <c r="N66">
        <v>55</v>
      </c>
      <c r="O66">
        <v>48</v>
      </c>
      <c r="P66">
        <v>51</v>
      </c>
      <c r="Q66">
        <v>59</v>
      </c>
      <c r="R66">
        <v>55</v>
      </c>
      <c r="S66">
        <v>52</v>
      </c>
      <c r="T66">
        <v>60</v>
      </c>
      <c r="U66">
        <v>55</v>
      </c>
      <c r="V66">
        <v>48</v>
      </c>
      <c r="W66">
        <v>63</v>
      </c>
      <c r="X66">
        <v>61</v>
      </c>
      <c r="Y66">
        <v>55</v>
      </c>
      <c r="Z66">
        <v>55</v>
      </c>
      <c r="AA66">
        <v>58</v>
      </c>
      <c r="AB66">
        <v>67</v>
      </c>
      <c r="AC66">
        <v>55</v>
      </c>
      <c r="AD66">
        <v>66</v>
      </c>
      <c r="AE66">
        <v>58</v>
      </c>
      <c r="AF66">
        <v>53</v>
      </c>
      <c r="AG66">
        <v>57</v>
      </c>
      <c r="AH66">
        <v>65</v>
      </c>
      <c r="AI66">
        <v>62</v>
      </c>
      <c r="AJ66">
        <v>58</v>
      </c>
      <c r="AK66">
        <v>58</v>
      </c>
      <c r="AL66">
        <v>61</v>
      </c>
      <c r="AM66">
        <v>60</v>
      </c>
      <c r="AN66">
        <v>66</v>
      </c>
      <c r="AO66">
        <v>58</v>
      </c>
      <c r="AP66">
        <v>56</v>
      </c>
      <c r="AQ66">
        <v>68</v>
      </c>
      <c r="AR66">
        <v>66</v>
      </c>
      <c r="AS66">
        <v>66</v>
      </c>
      <c r="AT66">
        <v>69</v>
      </c>
      <c r="AU66">
        <v>60</v>
      </c>
      <c r="AV66">
        <v>62</v>
      </c>
      <c r="AW66">
        <v>56</v>
      </c>
      <c r="AX66">
        <v>58</v>
      </c>
      <c r="AY66">
        <v>62</v>
      </c>
      <c r="AZ66">
        <v>61</v>
      </c>
      <c r="BA66">
        <v>67</v>
      </c>
      <c r="BB66">
        <v>71</v>
      </c>
      <c r="BC66">
        <v>64</v>
      </c>
      <c r="BD66">
        <v>65</v>
      </c>
    </row>
    <row r="67" spans="1:56" x14ac:dyDescent="0.25">
      <c r="A67" t="s">
        <v>4229</v>
      </c>
      <c r="B67" t="s">
        <v>170</v>
      </c>
      <c r="C67" t="s">
        <v>92</v>
      </c>
      <c r="D67">
        <v>775</v>
      </c>
      <c r="E67">
        <v>51.234999999999999</v>
      </c>
      <c r="F67">
        <v>54</v>
      </c>
      <c r="G67">
        <v>59</v>
      </c>
      <c r="H67">
        <v>54</v>
      </c>
      <c r="I67">
        <v>55</v>
      </c>
      <c r="J67">
        <v>55</v>
      </c>
      <c r="K67">
        <v>54</v>
      </c>
      <c r="L67">
        <v>53</v>
      </c>
      <c r="M67">
        <v>49</v>
      </c>
      <c r="N67">
        <v>50</v>
      </c>
      <c r="O67">
        <v>52</v>
      </c>
      <c r="P67">
        <v>53</v>
      </c>
      <c r="Q67">
        <v>54</v>
      </c>
      <c r="R67">
        <v>53</v>
      </c>
      <c r="S67">
        <v>51</v>
      </c>
      <c r="T67">
        <v>54</v>
      </c>
      <c r="U67">
        <v>51</v>
      </c>
      <c r="V67">
        <v>53</v>
      </c>
      <c r="W67">
        <v>53</v>
      </c>
      <c r="X67">
        <v>52</v>
      </c>
      <c r="Y67">
        <v>54</v>
      </c>
      <c r="Z67">
        <v>53</v>
      </c>
      <c r="AA67">
        <v>56</v>
      </c>
      <c r="AB67">
        <v>54</v>
      </c>
      <c r="AC67">
        <v>52</v>
      </c>
      <c r="AD67">
        <v>52</v>
      </c>
      <c r="AE67">
        <v>49</v>
      </c>
      <c r="AF67">
        <v>48</v>
      </c>
      <c r="AG67">
        <v>47</v>
      </c>
      <c r="AH67">
        <v>45</v>
      </c>
      <c r="AI67">
        <v>46</v>
      </c>
      <c r="AJ67">
        <v>50</v>
      </c>
      <c r="AK67">
        <v>49</v>
      </c>
      <c r="AL67">
        <v>48</v>
      </c>
      <c r="AM67">
        <v>47</v>
      </c>
      <c r="AN67">
        <v>52</v>
      </c>
      <c r="AO67">
        <v>51</v>
      </c>
      <c r="AP67">
        <v>49</v>
      </c>
      <c r="AQ67">
        <v>51</v>
      </c>
      <c r="AR67">
        <v>51</v>
      </c>
      <c r="AS67">
        <v>52</v>
      </c>
      <c r="AT67">
        <v>51</v>
      </c>
      <c r="AU67">
        <v>48</v>
      </c>
      <c r="AV67">
        <v>52</v>
      </c>
      <c r="AW67">
        <v>52</v>
      </c>
      <c r="AX67">
        <v>50</v>
      </c>
      <c r="AY67">
        <v>49</v>
      </c>
      <c r="AZ67">
        <v>50</v>
      </c>
      <c r="BA67">
        <v>51</v>
      </c>
      <c r="BB67">
        <v>47</v>
      </c>
      <c r="BC67">
        <v>50</v>
      </c>
      <c r="BD67">
        <v>48</v>
      </c>
    </row>
    <row r="68" spans="1:56" x14ac:dyDescent="0.25">
      <c r="A68" t="s">
        <v>4230</v>
      </c>
      <c r="B68" t="s">
        <v>45</v>
      </c>
      <c r="C68" t="s">
        <v>109</v>
      </c>
      <c r="D68">
        <v>17354</v>
      </c>
      <c r="E68">
        <v>25.137</v>
      </c>
      <c r="F68">
        <v>15</v>
      </c>
      <c r="G68">
        <v>21</v>
      </c>
      <c r="H68">
        <v>22</v>
      </c>
      <c r="I68">
        <v>27</v>
      </c>
      <c r="J68">
        <v>33</v>
      </c>
      <c r="K68">
        <v>28</v>
      </c>
      <c r="L68">
        <v>19</v>
      </c>
      <c r="M68">
        <v>27</v>
      </c>
      <c r="N68">
        <v>29</v>
      </c>
      <c r="O68">
        <v>26</v>
      </c>
      <c r="P68">
        <v>26</v>
      </c>
      <c r="Q68">
        <v>25</v>
      </c>
      <c r="R68">
        <v>27</v>
      </c>
      <c r="S68">
        <v>27</v>
      </c>
      <c r="T68">
        <v>27</v>
      </c>
      <c r="U68">
        <v>26</v>
      </c>
      <c r="V68">
        <v>26</v>
      </c>
      <c r="W68">
        <v>26</v>
      </c>
      <c r="X68">
        <v>27</v>
      </c>
      <c r="Y68">
        <v>27</v>
      </c>
      <c r="Z68">
        <v>27</v>
      </c>
      <c r="AA68">
        <v>28</v>
      </c>
      <c r="AB68">
        <v>30</v>
      </c>
      <c r="AC68">
        <v>30</v>
      </c>
      <c r="AD68">
        <v>32</v>
      </c>
      <c r="AE68">
        <v>33</v>
      </c>
      <c r="AF68">
        <v>32</v>
      </c>
      <c r="AG68">
        <v>32</v>
      </c>
      <c r="AH68">
        <v>31</v>
      </c>
      <c r="AI68">
        <v>30</v>
      </c>
      <c r="AJ68">
        <v>26</v>
      </c>
      <c r="AK68">
        <v>26</v>
      </c>
      <c r="AL68">
        <v>22</v>
      </c>
      <c r="AM68">
        <v>23</v>
      </c>
      <c r="AN68">
        <v>25</v>
      </c>
      <c r="AO68">
        <v>29</v>
      </c>
      <c r="AP68">
        <v>28</v>
      </c>
      <c r="AQ68">
        <v>25</v>
      </c>
      <c r="AR68">
        <v>22</v>
      </c>
      <c r="AS68">
        <v>23</v>
      </c>
      <c r="AT68">
        <v>22</v>
      </c>
      <c r="AU68">
        <v>21</v>
      </c>
      <c r="AV68">
        <v>20</v>
      </c>
      <c r="AW68">
        <v>20</v>
      </c>
      <c r="AX68">
        <v>19</v>
      </c>
      <c r="AY68">
        <v>20</v>
      </c>
      <c r="AZ68">
        <v>19</v>
      </c>
      <c r="BA68">
        <v>19</v>
      </c>
      <c r="BB68">
        <v>19</v>
      </c>
      <c r="BC68">
        <v>19</v>
      </c>
      <c r="BD68">
        <v>19</v>
      </c>
    </row>
    <row r="69" spans="1:56" x14ac:dyDescent="0.25">
      <c r="A69" t="s">
        <v>4231</v>
      </c>
      <c r="B69" t="s">
        <v>110</v>
      </c>
      <c r="C69" t="s">
        <v>109</v>
      </c>
      <c r="D69">
        <v>4755</v>
      </c>
      <c r="E69">
        <v>29.216000000000001</v>
      </c>
      <c r="F69">
        <v>17</v>
      </c>
      <c r="G69">
        <v>23</v>
      </c>
      <c r="H69">
        <v>24</v>
      </c>
      <c r="I69">
        <v>33</v>
      </c>
      <c r="J69">
        <v>41</v>
      </c>
      <c r="K69">
        <v>33</v>
      </c>
      <c r="L69">
        <v>16</v>
      </c>
      <c r="M69">
        <v>30</v>
      </c>
      <c r="N69">
        <v>35</v>
      </c>
      <c r="O69">
        <v>29</v>
      </c>
      <c r="P69">
        <v>28</v>
      </c>
      <c r="Q69">
        <v>30</v>
      </c>
      <c r="R69">
        <v>32</v>
      </c>
      <c r="S69">
        <v>32</v>
      </c>
      <c r="T69">
        <v>32</v>
      </c>
      <c r="U69">
        <v>31</v>
      </c>
      <c r="V69">
        <v>32</v>
      </c>
      <c r="W69">
        <v>31</v>
      </c>
      <c r="X69">
        <v>30</v>
      </c>
      <c r="Y69">
        <v>31</v>
      </c>
      <c r="Z69">
        <v>31</v>
      </c>
      <c r="AA69">
        <v>32</v>
      </c>
      <c r="AB69">
        <v>34</v>
      </c>
      <c r="AC69">
        <v>36</v>
      </c>
      <c r="AD69">
        <v>39</v>
      </c>
      <c r="AE69">
        <v>41</v>
      </c>
      <c r="AF69">
        <v>42</v>
      </c>
      <c r="AG69">
        <v>40</v>
      </c>
      <c r="AH69">
        <v>37</v>
      </c>
      <c r="AI69">
        <v>35</v>
      </c>
      <c r="AJ69">
        <v>27</v>
      </c>
      <c r="AK69">
        <v>27</v>
      </c>
      <c r="AL69">
        <v>22</v>
      </c>
      <c r="AM69">
        <v>26</v>
      </c>
      <c r="AN69">
        <v>31</v>
      </c>
      <c r="AO69">
        <v>36</v>
      </c>
      <c r="AP69">
        <v>35</v>
      </c>
      <c r="AQ69">
        <v>32</v>
      </c>
      <c r="AR69">
        <v>28</v>
      </c>
      <c r="AS69">
        <v>28</v>
      </c>
      <c r="AT69">
        <v>29</v>
      </c>
      <c r="AU69">
        <v>24</v>
      </c>
      <c r="AV69">
        <v>22</v>
      </c>
      <c r="AW69">
        <v>23</v>
      </c>
      <c r="AX69">
        <v>20</v>
      </c>
      <c r="AY69">
        <v>21</v>
      </c>
      <c r="AZ69">
        <v>20</v>
      </c>
      <c r="BA69">
        <v>20</v>
      </c>
      <c r="BB69">
        <v>20</v>
      </c>
      <c r="BC69">
        <v>20</v>
      </c>
      <c r="BD69">
        <v>22</v>
      </c>
    </row>
    <row r="70" spans="1:56" x14ac:dyDescent="0.25">
      <c r="A70" t="s">
        <v>4232</v>
      </c>
      <c r="B70" t="s">
        <v>111</v>
      </c>
      <c r="C70" t="s">
        <v>109</v>
      </c>
      <c r="D70">
        <v>61</v>
      </c>
      <c r="E70">
        <v>14.176</v>
      </c>
      <c r="F70">
        <v>9</v>
      </c>
      <c r="G70">
        <v>12</v>
      </c>
      <c r="H70">
        <v>12</v>
      </c>
      <c r="I70">
        <v>18</v>
      </c>
      <c r="J70">
        <v>24</v>
      </c>
      <c r="K70">
        <v>13</v>
      </c>
      <c r="L70">
        <v>19</v>
      </c>
      <c r="M70">
        <v>15</v>
      </c>
      <c r="N70">
        <v>19</v>
      </c>
      <c r="O70">
        <v>20</v>
      </c>
      <c r="P70">
        <v>12</v>
      </c>
      <c r="Q70">
        <v>25</v>
      </c>
      <c r="R70">
        <v>13</v>
      </c>
      <c r="S70">
        <v>16</v>
      </c>
      <c r="T70">
        <v>21</v>
      </c>
      <c r="U70">
        <v>13</v>
      </c>
      <c r="V70">
        <v>18</v>
      </c>
      <c r="W70">
        <v>17</v>
      </c>
      <c r="X70">
        <v>13</v>
      </c>
      <c r="Y70">
        <v>20</v>
      </c>
      <c r="Z70">
        <v>13</v>
      </c>
      <c r="AA70">
        <v>16</v>
      </c>
      <c r="AB70">
        <v>19</v>
      </c>
      <c r="AC70">
        <v>17</v>
      </c>
      <c r="AD70">
        <v>15</v>
      </c>
      <c r="AE70">
        <v>11</v>
      </c>
      <c r="AF70">
        <v>13</v>
      </c>
      <c r="AG70">
        <v>9</v>
      </c>
      <c r="AH70">
        <v>21</v>
      </c>
      <c r="AI70">
        <v>13</v>
      </c>
      <c r="AJ70">
        <v>14</v>
      </c>
      <c r="AK70">
        <v>15</v>
      </c>
      <c r="AL70">
        <v>14</v>
      </c>
      <c r="AM70">
        <v>13</v>
      </c>
      <c r="AN70">
        <v>13</v>
      </c>
      <c r="AO70">
        <v>22</v>
      </c>
      <c r="AP70">
        <v>18</v>
      </c>
      <c r="AQ70">
        <v>21</v>
      </c>
      <c r="AR70">
        <v>9</v>
      </c>
      <c r="AS70">
        <v>12</v>
      </c>
      <c r="AT70">
        <v>11</v>
      </c>
      <c r="AU70">
        <v>12</v>
      </c>
      <c r="AV70">
        <v>9</v>
      </c>
      <c r="AW70">
        <v>12</v>
      </c>
      <c r="AX70">
        <v>8</v>
      </c>
      <c r="AY70">
        <v>8</v>
      </c>
      <c r="AZ70">
        <v>10</v>
      </c>
      <c r="BA70">
        <v>7</v>
      </c>
      <c r="BB70">
        <v>10</v>
      </c>
      <c r="BC70">
        <v>4</v>
      </c>
      <c r="BD70">
        <v>5</v>
      </c>
    </row>
    <row r="71" spans="1:56" x14ac:dyDescent="0.25">
      <c r="A71" t="s">
        <v>4233</v>
      </c>
      <c r="B71" t="s">
        <v>112</v>
      </c>
      <c r="C71" t="s">
        <v>109</v>
      </c>
      <c r="D71">
        <v>181</v>
      </c>
      <c r="E71">
        <v>33.765000000000001</v>
      </c>
      <c r="F71">
        <v>19</v>
      </c>
      <c r="G71">
        <v>28</v>
      </c>
      <c r="H71">
        <v>31</v>
      </c>
      <c r="I71">
        <v>36</v>
      </c>
      <c r="J71">
        <v>38</v>
      </c>
      <c r="K71">
        <v>33</v>
      </c>
      <c r="L71">
        <v>28</v>
      </c>
      <c r="M71">
        <v>31</v>
      </c>
      <c r="N71">
        <v>33</v>
      </c>
      <c r="O71">
        <v>30</v>
      </c>
      <c r="P71">
        <v>30</v>
      </c>
      <c r="Q71">
        <v>38</v>
      </c>
      <c r="R71">
        <v>39</v>
      </c>
      <c r="S71">
        <v>33</v>
      </c>
      <c r="T71">
        <v>35</v>
      </c>
      <c r="U71">
        <v>38</v>
      </c>
      <c r="V71">
        <v>39</v>
      </c>
      <c r="W71">
        <v>33</v>
      </c>
      <c r="X71">
        <v>37</v>
      </c>
      <c r="Y71">
        <v>40</v>
      </c>
      <c r="Z71">
        <v>38</v>
      </c>
      <c r="AA71">
        <v>36</v>
      </c>
      <c r="AB71">
        <v>36</v>
      </c>
      <c r="AC71">
        <v>38</v>
      </c>
      <c r="AD71">
        <v>40</v>
      </c>
      <c r="AE71">
        <v>41</v>
      </c>
      <c r="AF71">
        <v>44</v>
      </c>
      <c r="AG71">
        <v>45</v>
      </c>
      <c r="AH71">
        <v>39</v>
      </c>
      <c r="AI71">
        <v>44</v>
      </c>
      <c r="AJ71">
        <v>34</v>
      </c>
      <c r="AK71">
        <v>37</v>
      </c>
      <c r="AL71">
        <v>31</v>
      </c>
      <c r="AM71">
        <v>32</v>
      </c>
      <c r="AN71">
        <v>31</v>
      </c>
      <c r="AO71">
        <v>37</v>
      </c>
      <c r="AP71">
        <v>33</v>
      </c>
      <c r="AQ71">
        <v>28</v>
      </c>
      <c r="AR71">
        <v>26</v>
      </c>
      <c r="AS71">
        <v>26</v>
      </c>
      <c r="AT71">
        <v>28</v>
      </c>
      <c r="AU71">
        <v>32</v>
      </c>
      <c r="AV71">
        <v>28</v>
      </c>
      <c r="AW71">
        <v>32</v>
      </c>
      <c r="AX71">
        <v>34</v>
      </c>
      <c r="AY71">
        <v>38</v>
      </c>
      <c r="AZ71">
        <v>31</v>
      </c>
      <c r="BA71">
        <v>24</v>
      </c>
      <c r="BB71">
        <v>28</v>
      </c>
      <c r="BC71">
        <v>25</v>
      </c>
      <c r="BD71">
        <v>37</v>
      </c>
    </row>
    <row r="72" spans="1:56" x14ac:dyDescent="0.25">
      <c r="A72" t="s">
        <v>4234</v>
      </c>
      <c r="B72" t="s">
        <v>113</v>
      </c>
      <c r="C72" t="s">
        <v>109</v>
      </c>
      <c r="D72">
        <v>94</v>
      </c>
      <c r="E72">
        <v>22.588000000000001</v>
      </c>
      <c r="F72">
        <v>20</v>
      </c>
      <c r="G72">
        <v>19</v>
      </c>
      <c r="H72">
        <v>15</v>
      </c>
      <c r="I72">
        <v>22</v>
      </c>
      <c r="J72">
        <v>21</v>
      </c>
      <c r="K72">
        <v>18</v>
      </c>
      <c r="L72">
        <v>13</v>
      </c>
      <c r="M72">
        <v>13</v>
      </c>
      <c r="N72">
        <v>19</v>
      </c>
      <c r="O72">
        <v>26</v>
      </c>
      <c r="P72">
        <v>15</v>
      </c>
      <c r="Q72">
        <v>25</v>
      </c>
      <c r="R72">
        <v>17</v>
      </c>
      <c r="S72">
        <v>25</v>
      </c>
      <c r="T72">
        <v>22</v>
      </c>
      <c r="U72">
        <v>20</v>
      </c>
      <c r="V72">
        <v>20</v>
      </c>
      <c r="W72">
        <v>30</v>
      </c>
      <c r="X72">
        <v>32</v>
      </c>
      <c r="Y72">
        <v>23</v>
      </c>
      <c r="Z72">
        <v>30</v>
      </c>
      <c r="AA72">
        <v>34</v>
      </c>
      <c r="AB72">
        <v>35</v>
      </c>
      <c r="AC72">
        <v>22</v>
      </c>
      <c r="AD72">
        <v>30</v>
      </c>
      <c r="AE72">
        <v>35</v>
      </c>
      <c r="AF72">
        <v>27</v>
      </c>
      <c r="AG72">
        <v>28</v>
      </c>
      <c r="AH72">
        <v>32</v>
      </c>
      <c r="AI72">
        <v>41</v>
      </c>
      <c r="AJ72">
        <v>25</v>
      </c>
      <c r="AK72">
        <v>28</v>
      </c>
      <c r="AL72">
        <v>25</v>
      </c>
      <c r="AM72">
        <v>24</v>
      </c>
      <c r="AN72">
        <v>17</v>
      </c>
      <c r="AO72">
        <v>31</v>
      </c>
      <c r="AP72">
        <v>20</v>
      </c>
      <c r="AQ72">
        <v>24</v>
      </c>
      <c r="AR72">
        <v>24</v>
      </c>
      <c r="AS72">
        <v>24</v>
      </c>
      <c r="AT72">
        <v>19</v>
      </c>
      <c r="AU72">
        <v>20</v>
      </c>
      <c r="AV72">
        <v>19</v>
      </c>
      <c r="AW72">
        <v>19</v>
      </c>
      <c r="AX72">
        <v>15</v>
      </c>
      <c r="AY72">
        <v>13</v>
      </c>
      <c r="AZ72">
        <v>15</v>
      </c>
      <c r="BA72">
        <v>17</v>
      </c>
      <c r="BB72">
        <v>14</v>
      </c>
      <c r="BC72">
        <v>13</v>
      </c>
      <c r="BD72">
        <v>17</v>
      </c>
    </row>
    <row r="73" spans="1:56" x14ac:dyDescent="0.25">
      <c r="A73" t="s">
        <v>4235</v>
      </c>
      <c r="B73" t="s">
        <v>114</v>
      </c>
      <c r="C73" t="s">
        <v>109</v>
      </c>
      <c r="D73">
        <v>159</v>
      </c>
      <c r="E73">
        <v>20.667000000000002</v>
      </c>
      <c r="F73">
        <v>11</v>
      </c>
      <c r="G73">
        <v>11</v>
      </c>
      <c r="H73">
        <v>15</v>
      </c>
      <c r="I73">
        <v>16</v>
      </c>
      <c r="J73">
        <v>24</v>
      </c>
      <c r="K73">
        <v>16</v>
      </c>
      <c r="L73">
        <v>14</v>
      </c>
      <c r="M73">
        <v>21</v>
      </c>
      <c r="N73">
        <v>26</v>
      </c>
      <c r="O73">
        <v>22</v>
      </c>
      <c r="P73">
        <v>22</v>
      </c>
      <c r="Q73">
        <v>21</v>
      </c>
      <c r="R73">
        <v>24</v>
      </c>
      <c r="S73">
        <v>28</v>
      </c>
      <c r="T73">
        <v>27</v>
      </c>
      <c r="U73">
        <v>24</v>
      </c>
      <c r="V73">
        <v>25</v>
      </c>
      <c r="W73">
        <v>22</v>
      </c>
      <c r="X73">
        <v>24</v>
      </c>
      <c r="Y73">
        <v>24</v>
      </c>
      <c r="Z73">
        <v>28</v>
      </c>
      <c r="AA73">
        <v>28</v>
      </c>
      <c r="AB73">
        <v>29</v>
      </c>
      <c r="AC73">
        <v>24</v>
      </c>
      <c r="AD73">
        <v>30</v>
      </c>
      <c r="AE73">
        <v>24</v>
      </c>
      <c r="AF73">
        <v>28</v>
      </c>
      <c r="AG73">
        <v>27</v>
      </c>
      <c r="AH73">
        <v>24</v>
      </c>
      <c r="AI73">
        <v>26</v>
      </c>
      <c r="AJ73">
        <v>17</v>
      </c>
      <c r="AK73">
        <v>19</v>
      </c>
      <c r="AL73">
        <v>17</v>
      </c>
      <c r="AM73">
        <v>23</v>
      </c>
      <c r="AN73">
        <v>19</v>
      </c>
      <c r="AO73">
        <v>23</v>
      </c>
      <c r="AP73">
        <v>23</v>
      </c>
      <c r="AQ73">
        <v>23</v>
      </c>
      <c r="AR73">
        <v>14</v>
      </c>
      <c r="AS73">
        <v>19</v>
      </c>
      <c r="AT73">
        <v>24</v>
      </c>
      <c r="AU73">
        <v>13</v>
      </c>
      <c r="AV73">
        <v>8</v>
      </c>
      <c r="AW73">
        <v>15</v>
      </c>
      <c r="AX73">
        <v>11</v>
      </c>
      <c r="AY73">
        <v>16</v>
      </c>
      <c r="AZ73">
        <v>18</v>
      </c>
      <c r="BA73">
        <v>19</v>
      </c>
      <c r="BB73">
        <v>15</v>
      </c>
      <c r="BC73">
        <v>17</v>
      </c>
      <c r="BD73">
        <v>16</v>
      </c>
    </row>
    <row r="74" spans="1:56" x14ac:dyDescent="0.25">
      <c r="A74" t="s">
        <v>4236</v>
      </c>
      <c r="B74" t="s">
        <v>115</v>
      </c>
      <c r="C74" t="s">
        <v>109</v>
      </c>
      <c r="D74">
        <v>101</v>
      </c>
      <c r="E74">
        <v>22.391999999999999</v>
      </c>
      <c r="F74">
        <v>15</v>
      </c>
      <c r="G74">
        <v>14</v>
      </c>
      <c r="H74">
        <v>17</v>
      </c>
      <c r="I74">
        <v>19</v>
      </c>
      <c r="J74">
        <v>29</v>
      </c>
      <c r="K74">
        <v>15</v>
      </c>
      <c r="L74">
        <v>14</v>
      </c>
      <c r="M74">
        <v>25</v>
      </c>
      <c r="N74">
        <v>26</v>
      </c>
      <c r="O74">
        <v>22</v>
      </c>
      <c r="P74">
        <v>20</v>
      </c>
      <c r="Q74">
        <v>19</v>
      </c>
      <c r="R74">
        <v>22</v>
      </c>
      <c r="S74">
        <v>28</v>
      </c>
      <c r="T74">
        <v>24</v>
      </c>
      <c r="U74">
        <v>19</v>
      </c>
      <c r="V74">
        <v>26</v>
      </c>
      <c r="W74">
        <v>25</v>
      </c>
      <c r="X74">
        <v>28</v>
      </c>
      <c r="Y74">
        <v>26</v>
      </c>
      <c r="Z74">
        <v>34</v>
      </c>
      <c r="AA74">
        <v>31</v>
      </c>
      <c r="AB74">
        <v>31</v>
      </c>
      <c r="AC74">
        <v>27</v>
      </c>
      <c r="AD74">
        <v>32</v>
      </c>
      <c r="AE74">
        <v>25</v>
      </c>
      <c r="AF74">
        <v>24</v>
      </c>
      <c r="AG74">
        <v>33</v>
      </c>
      <c r="AH74">
        <v>29</v>
      </c>
      <c r="AI74">
        <v>28</v>
      </c>
      <c r="AJ74">
        <v>19</v>
      </c>
      <c r="AK74">
        <v>19</v>
      </c>
      <c r="AL74">
        <v>20</v>
      </c>
      <c r="AM74">
        <v>24</v>
      </c>
      <c r="AN74">
        <v>20</v>
      </c>
      <c r="AO74">
        <v>29</v>
      </c>
      <c r="AP74">
        <v>26</v>
      </c>
      <c r="AQ74">
        <v>29</v>
      </c>
      <c r="AR74">
        <v>17</v>
      </c>
      <c r="AS74">
        <v>20</v>
      </c>
      <c r="AT74">
        <v>25</v>
      </c>
      <c r="AU74">
        <v>12</v>
      </c>
      <c r="AV74">
        <v>8</v>
      </c>
      <c r="AW74">
        <v>17</v>
      </c>
      <c r="AX74">
        <v>14</v>
      </c>
      <c r="AY74">
        <v>22</v>
      </c>
      <c r="AZ74">
        <v>18</v>
      </c>
      <c r="BA74">
        <v>21</v>
      </c>
      <c r="BB74">
        <v>17</v>
      </c>
      <c r="BC74">
        <v>19</v>
      </c>
      <c r="BD74">
        <v>19</v>
      </c>
    </row>
    <row r="75" spans="1:56" x14ac:dyDescent="0.25">
      <c r="A75" t="s">
        <v>4237</v>
      </c>
      <c r="B75" t="s">
        <v>116</v>
      </c>
      <c r="C75" t="s">
        <v>109</v>
      </c>
      <c r="D75">
        <v>112</v>
      </c>
      <c r="E75">
        <v>23</v>
      </c>
      <c r="F75">
        <v>11</v>
      </c>
      <c r="G75">
        <v>16</v>
      </c>
      <c r="H75">
        <v>18</v>
      </c>
      <c r="I75">
        <v>25</v>
      </c>
      <c r="J75">
        <v>24</v>
      </c>
      <c r="K75">
        <v>12</v>
      </c>
      <c r="L75">
        <v>12</v>
      </c>
      <c r="M75">
        <v>19</v>
      </c>
      <c r="N75">
        <v>24</v>
      </c>
      <c r="O75">
        <v>14</v>
      </c>
      <c r="P75">
        <v>17</v>
      </c>
      <c r="Q75">
        <v>15</v>
      </c>
      <c r="R75">
        <v>25</v>
      </c>
      <c r="S75">
        <v>22</v>
      </c>
      <c r="T75">
        <v>19</v>
      </c>
      <c r="U75">
        <v>21</v>
      </c>
      <c r="V75">
        <v>19</v>
      </c>
      <c r="W75">
        <v>15</v>
      </c>
      <c r="X75">
        <v>20</v>
      </c>
      <c r="Y75">
        <v>27</v>
      </c>
      <c r="Z75">
        <v>30</v>
      </c>
      <c r="AA75">
        <v>25</v>
      </c>
      <c r="AB75">
        <v>31</v>
      </c>
      <c r="AC75">
        <v>27</v>
      </c>
      <c r="AD75">
        <v>36</v>
      </c>
      <c r="AE75">
        <v>29</v>
      </c>
      <c r="AF75">
        <v>33</v>
      </c>
      <c r="AG75">
        <v>30</v>
      </c>
      <c r="AH75">
        <v>29</v>
      </c>
      <c r="AI75">
        <v>31</v>
      </c>
      <c r="AJ75">
        <v>25</v>
      </c>
      <c r="AK75">
        <v>25</v>
      </c>
      <c r="AL75">
        <v>24</v>
      </c>
      <c r="AM75">
        <v>23</v>
      </c>
      <c r="AN75">
        <v>37</v>
      </c>
      <c r="AO75">
        <v>40</v>
      </c>
      <c r="AP75">
        <v>40</v>
      </c>
      <c r="AQ75">
        <v>31</v>
      </c>
      <c r="AR75">
        <v>27</v>
      </c>
      <c r="AS75">
        <v>30</v>
      </c>
      <c r="AT75">
        <v>31</v>
      </c>
      <c r="AU75">
        <v>21</v>
      </c>
      <c r="AV75">
        <v>13</v>
      </c>
      <c r="AW75">
        <v>21</v>
      </c>
      <c r="AX75">
        <v>12</v>
      </c>
      <c r="AY75">
        <v>14</v>
      </c>
      <c r="AZ75">
        <v>13</v>
      </c>
      <c r="BA75">
        <v>21</v>
      </c>
      <c r="BB75">
        <v>14</v>
      </c>
      <c r="BC75">
        <v>18</v>
      </c>
      <c r="BD75">
        <v>17</v>
      </c>
    </row>
    <row r="76" spans="1:56" x14ac:dyDescent="0.25">
      <c r="A76" t="s">
        <v>4238</v>
      </c>
      <c r="B76" t="s">
        <v>117</v>
      </c>
      <c r="C76" t="s">
        <v>109</v>
      </c>
      <c r="D76">
        <v>114</v>
      </c>
      <c r="E76">
        <v>26.49</v>
      </c>
      <c r="F76">
        <v>18</v>
      </c>
      <c r="G76">
        <v>27</v>
      </c>
      <c r="H76">
        <v>26</v>
      </c>
      <c r="I76">
        <v>36</v>
      </c>
      <c r="J76">
        <v>39</v>
      </c>
      <c r="K76">
        <v>32</v>
      </c>
      <c r="L76">
        <v>17</v>
      </c>
      <c r="M76">
        <v>32</v>
      </c>
      <c r="N76">
        <v>26</v>
      </c>
      <c r="O76">
        <v>23</v>
      </c>
      <c r="P76">
        <v>23</v>
      </c>
      <c r="Q76">
        <v>27</v>
      </c>
      <c r="R76">
        <v>29</v>
      </c>
      <c r="S76">
        <v>29</v>
      </c>
      <c r="T76">
        <v>26</v>
      </c>
      <c r="U76">
        <v>26</v>
      </c>
      <c r="V76">
        <v>29</v>
      </c>
      <c r="W76">
        <v>26</v>
      </c>
      <c r="X76">
        <v>24</v>
      </c>
      <c r="Y76">
        <v>25</v>
      </c>
      <c r="Z76">
        <v>26</v>
      </c>
      <c r="AA76">
        <v>34</v>
      </c>
      <c r="AB76">
        <v>34</v>
      </c>
      <c r="AC76">
        <v>32</v>
      </c>
      <c r="AD76">
        <v>35</v>
      </c>
      <c r="AE76">
        <v>37</v>
      </c>
      <c r="AF76">
        <v>36</v>
      </c>
      <c r="AG76">
        <v>44</v>
      </c>
      <c r="AH76">
        <v>31</v>
      </c>
      <c r="AI76">
        <v>21</v>
      </c>
      <c r="AJ76">
        <v>27</v>
      </c>
      <c r="AK76">
        <v>32</v>
      </c>
      <c r="AL76">
        <v>22</v>
      </c>
      <c r="AM76">
        <v>28</v>
      </c>
      <c r="AN76">
        <v>36</v>
      </c>
      <c r="AO76">
        <v>36</v>
      </c>
      <c r="AP76">
        <v>39</v>
      </c>
      <c r="AQ76">
        <v>30</v>
      </c>
      <c r="AR76">
        <v>30</v>
      </c>
      <c r="AS76">
        <v>18</v>
      </c>
      <c r="AT76">
        <v>16</v>
      </c>
      <c r="AU76">
        <v>14</v>
      </c>
      <c r="AV76">
        <v>16</v>
      </c>
      <c r="AW76">
        <v>18</v>
      </c>
      <c r="AX76">
        <v>21</v>
      </c>
      <c r="AY76">
        <v>17</v>
      </c>
      <c r="AZ76">
        <v>16</v>
      </c>
      <c r="BA76">
        <v>19</v>
      </c>
      <c r="BB76">
        <v>15</v>
      </c>
      <c r="BC76">
        <v>15</v>
      </c>
      <c r="BD76">
        <v>16</v>
      </c>
    </row>
    <row r="77" spans="1:56" x14ac:dyDescent="0.25">
      <c r="A77" t="s">
        <v>4239</v>
      </c>
      <c r="B77" t="s">
        <v>118</v>
      </c>
      <c r="C77" t="s">
        <v>109</v>
      </c>
      <c r="D77">
        <v>106</v>
      </c>
      <c r="E77">
        <v>16.411999999999999</v>
      </c>
      <c r="F77">
        <v>11</v>
      </c>
      <c r="G77">
        <v>15</v>
      </c>
      <c r="H77">
        <v>20</v>
      </c>
      <c r="I77">
        <v>21</v>
      </c>
      <c r="J77">
        <v>25</v>
      </c>
      <c r="K77">
        <v>24</v>
      </c>
      <c r="L77">
        <v>10</v>
      </c>
      <c r="M77">
        <v>17</v>
      </c>
      <c r="N77">
        <v>14</v>
      </c>
      <c r="O77">
        <v>15</v>
      </c>
      <c r="P77">
        <v>16</v>
      </c>
      <c r="Q77">
        <v>20</v>
      </c>
      <c r="R77">
        <v>18</v>
      </c>
      <c r="S77">
        <v>19</v>
      </c>
      <c r="T77">
        <v>15</v>
      </c>
      <c r="U77">
        <v>17</v>
      </c>
      <c r="V77">
        <v>22</v>
      </c>
      <c r="W77">
        <v>16</v>
      </c>
      <c r="X77">
        <v>20</v>
      </c>
      <c r="Y77">
        <v>26</v>
      </c>
      <c r="Z77">
        <v>21</v>
      </c>
      <c r="AA77">
        <v>20</v>
      </c>
      <c r="AB77">
        <v>17</v>
      </c>
      <c r="AC77">
        <v>21</v>
      </c>
      <c r="AD77">
        <v>21</v>
      </c>
      <c r="AE77">
        <v>20</v>
      </c>
      <c r="AF77">
        <v>17</v>
      </c>
      <c r="AG77">
        <v>26</v>
      </c>
      <c r="AH77">
        <v>21</v>
      </c>
      <c r="AI77">
        <v>24</v>
      </c>
      <c r="AJ77">
        <v>16</v>
      </c>
      <c r="AK77">
        <v>16</v>
      </c>
      <c r="AL77">
        <v>14</v>
      </c>
      <c r="AM77">
        <v>11</v>
      </c>
      <c r="AN77">
        <v>17</v>
      </c>
      <c r="AO77">
        <v>19</v>
      </c>
      <c r="AP77">
        <v>15</v>
      </c>
      <c r="AQ77">
        <v>9</v>
      </c>
      <c r="AR77">
        <v>17</v>
      </c>
      <c r="AS77">
        <v>12</v>
      </c>
      <c r="AT77">
        <v>12</v>
      </c>
      <c r="AU77">
        <v>13</v>
      </c>
      <c r="AV77">
        <v>9</v>
      </c>
      <c r="AW77">
        <v>9</v>
      </c>
      <c r="AX77">
        <v>13</v>
      </c>
      <c r="AY77">
        <v>11</v>
      </c>
      <c r="AZ77">
        <v>8</v>
      </c>
      <c r="BA77">
        <v>10</v>
      </c>
      <c r="BB77">
        <v>11</v>
      </c>
      <c r="BC77">
        <v>10</v>
      </c>
      <c r="BD77">
        <v>16</v>
      </c>
    </row>
    <row r="78" spans="1:56" x14ac:dyDescent="0.25">
      <c r="A78" t="s">
        <v>4240</v>
      </c>
      <c r="B78" t="s">
        <v>119</v>
      </c>
      <c r="C78" t="s">
        <v>109</v>
      </c>
      <c r="D78">
        <v>200</v>
      </c>
      <c r="E78">
        <v>36.411999999999999</v>
      </c>
      <c r="F78">
        <v>28</v>
      </c>
      <c r="G78">
        <v>33</v>
      </c>
      <c r="H78">
        <v>27</v>
      </c>
      <c r="I78">
        <v>43</v>
      </c>
      <c r="J78">
        <v>45</v>
      </c>
      <c r="K78">
        <v>39</v>
      </c>
      <c r="L78">
        <v>22</v>
      </c>
      <c r="M78">
        <v>37</v>
      </c>
      <c r="N78">
        <v>43</v>
      </c>
      <c r="O78">
        <v>43</v>
      </c>
      <c r="P78">
        <v>39</v>
      </c>
      <c r="Q78">
        <v>36</v>
      </c>
      <c r="R78">
        <v>40</v>
      </c>
      <c r="S78">
        <v>41</v>
      </c>
      <c r="T78">
        <v>45</v>
      </c>
      <c r="U78">
        <v>36</v>
      </c>
      <c r="V78">
        <v>37</v>
      </c>
      <c r="W78">
        <v>39</v>
      </c>
      <c r="X78">
        <v>36</v>
      </c>
      <c r="Y78">
        <v>40</v>
      </c>
      <c r="Z78">
        <v>40</v>
      </c>
      <c r="AA78">
        <v>39</v>
      </c>
      <c r="AB78">
        <v>39</v>
      </c>
      <c r="AC78">
        <v>50</v>
      </c>
      <c r="AD78">
        <v>48</v>
      </c>
      <c r="AE78">
        <v>55</v>
      </c>
      <c r="AF78">
        <v>48</v>
      </c>
      <c r="AG78">
        <v>51</v>
      </c>
      <c r="AH78">
        <v>50</v>
      </c>
      <c r="AI78">
        <v>52</v>
      </c>
      <c r="AJ78">
        <v>39</v>
      </c>
      <c r="AK78">
        <v>41</v>
      </c>
      <c r="AL78">
        <v>30</v>
      </c>
      <c r="AM78">
        <v>35</v>
      </c>
      <c r="AN78">
        <v>43</v>
      </c>
      <c r="AO78">
        <v>42</v>
      </c>
      <c r="AP78">
        <v>39</v>
      </c>
      <c r="AQ78">
        <v>42</v>
      </c>
      <c r="AR78">
        <v>27</v>
      </c>
      <c r="AS78">
        <v>29</v>
      </c>
      <c r="AT78">
        <v>23</v>
      </c>
      <c r="AU78">
        <v>27</v>
      </c>
      <c r="AV78">
        <v>20</v>
      </c>
      <c r="AW78">
        <v>28</v>
      </c>
      <c r="AX78">
        <v>23</v>
      </c>
      <c r="AY78">
        <v>30</v>
      </c>
      <c r="AZ78">
        <v>28</v>
      </c>
      <c r="BA78">
        <v>23</v>
      </c>
      <c r="BB78">
        <v>21</v>
      </c>
      <c r="BC78">
        <v>23</v>
      </c>
      <c r="BD78">
        <v>23</v>
      </c>
    </row>
    <row r="79" spans="1:56" x14ac:dyDescent="0.25">
      <c r="A79" t="s">
        <v>4241</v>
      </c>
      <c r="B79" t="s">
        <v>120</v>
      </c>
      <c r="C79" t="s">
        <v>109</v>
      </c>
      <c r="D79">
        <v>55</v>
      </c>
      <c r="E79">
        <v>49.078000000000003</v>
      </c>
      <c r="F79">
        <v>32</v>
      </c>
      <c r="G79">
        <v>36</v>
      </c>
      <c r="H79">
        <v>42</v>
      </c>
      <c r="I79">
        <v>42</v>
      </c>
      <c r="J79">
        <v>52</v>
      </c>
      <c r="K79">
        <v>47</v>
      </c>
      <c r="L79">
        <v>42</v>
      </c>
      <c r="M79">
        <v>42</v>
      </c>
      <c r="N79">
        <v>50</v>
      </c>
      <c r="O79">
        <v>47</v>
      </c>
      <c r="P79">
        <v>58</v>
      </c>
      <c r="Q79">
        <v>60</v>
      </c>
      <c r="R79">
        <v>51</v>
      </c>
      <c r="S79">
        <v>47</v>
      </c>
      <c r="T79">
        <v>41</v>
      </c>
      <c r="U79">
        <v>51</v>
      </c>
      <c r="V79">
        <v>56</v>
      </c>
      <c r="W79">
        <v>51</v>
      </c>
      <c r="X79">
        <v>54</v>
      </c>
      <c r="Y79">
        <v>52</v>
      </c>
      <c r="Z79">
        <v>59</v>
      </c>
      <c r="AA79">
        <v>50</v>
      </c>
      <c r="AB79">
        <v>64</v>
      </c>
      <c r="AC79">
        <v>58</v>
      </c>
      <c r="AD79">
        <v>52</v>
      </c>
      <c r="AE79">
        <v>59</v>
      </c>
      <c r="AF79">
        <v>51</v>
      </c>
      <c r="AG79">
        <v>55</v>
      </c>
      <c r="AH79">
        <v>46</v>
      </c>
      <c r="AI79">
        <v>53</v>
      </c>
      <c r="AJ79">
        <v>54</v>
      </c>
      <c r="AK79">
        <v>59</v>
      </c>
      <c r="AL79">
        <v>50</v>
      </c>
      <c r="AM79">
        <v>51</v>
      </c>
      <c r="AN79">
        <v>43</v>
      </c>
      <c r="AO79">
        <v>48</v>
      </c>
      <c r="AP79">
        <v>51</v>
      </c>
      <c r="AQ79">
        <v>53</v>
      </c>
      <c r="AR79">
        <v>47</v>
      </c>
      <c r="AS79">
        <v>41</v>
      </c>
      <c r="AT79">
        <v>49</v>
      </c>
      <c r="AU79">
        <v>50</v>
      </c>
      <c r="AV79">
        <v>45</v>
      </c>
      <c r="AW79">
        <v>49</v>
      </c>
      <c r="AX79">
        <v>48</v>
      </c>
      <c r="AY79">
        <v>52</v>
      </c>
      <c r="AZ79">
        <v>49</v>
      </c>
      <c r="BA79">
        <v>39</v>
      </c>
      <c r="BB79">
        <v>46</v>
      </c>
      <c r="BC79">
        <v>38</v>
      </c>
      <c r="BD79">
        <v>41</v>
      </c>
    </row>
    <row r="80" spans="1:56" x14ac:dyDescent="0.25">
      <c r="A80" t="s">
        <v>4242</v>
      </c>
      <c r="B80" t="s">
        <v>121</v>
      </c>
      <c r="C80" t="s">
        <v>109</v>
      </c>
      <c r="D80">
        <v>351</v>
      </c>
      <c r="E80">
        <v>32.51</v>
      </c>
      <c r="F80">
        <v>24</v>
      </c>
      <c r="G80">
        <v>27</v>
      </c>
      <c r="H80">
        <v>25</v>
      </c>
      <c r="I80">
        <v>34</v>
      </c>
      <c r="J80">
        <v>45</v>
      </c>
      <c r="K80">
        <v>38</v>
      </c>
      <c r="L80">
        <v>19</v>
      </c>
      <c r="M80">
        <v>38</v>
      </c>
      <c r="N80">
        <v>45</v>
      </c>
      <c r="O80">
        <v>33</v>
      </c>
      <c r="P80">
        <v>29</v>
      </c>
      <c r="Q80">
        <v>29</v>
      </c>
      <c r="R80">
        <v>38</v>
      </c>
      <c r="S80">
        <v>41</v>
      </c>
      <c r="T80">
        <v>39</v>
      </c>
      <c r="U80">
        <v>35</v>
      </c>
      <c r="V80">
        <v>35</v>
      </c>
      <c r="W80">
        <v>39</v>
      </c>
      <c r="X80">
        <v>38</v>
      </c>
      <c r="Y80">
        <v>37</v>
      </c>
      <c r="Z80">
        <v>40</v>
      </c>
      <c r="AA80">
        <v>41</v>
      </c>
      <c r="AB80">
        <v>40</v>
      </c>
      <c r="AC80">
        <v>45</v>
      </c>
      <c r="AD80">
        <v>46</v>
      </c>
      <c r="AE80">
        <v>50</v>
      </c>
      <c r="AF80">
        <v>47</v>
      </c>
      <c r="AG80">
        <v>42</v>
      </c>
      <c r="AH80">
        <v>38</v>
      </c>
      <c r="AI80">
        <v>35</v>
      </c>
      <c r="AJ80">
        <v>28</v>
      </c>
      <c r="AK80">
        <v>28</v>
      </c>
      <c r="AL80">
        <v>21</v>
      </c>
      <c r="AM80">
        <v>29</v>
      </c>
      <c r="AN80">
        <v>36</v>
      </c>
      <c r="AO80">
        <v>42</v>
      </c>
      <c r="AP80">
        <v>39</v>
      </c>
      <c r="AQ80">
        <v>38</v>
      </c>
      <c r="AR80">
        <v>26</v>
      </c>
      <c r="AS80">
        <v>25</v>
      </c>
      <c r="AT80">
        <v>27</v>
      </c>
      <c r="AU80">
        <v>21</v>
      </c>
      <c r="AV80">
        <v>19</v>
      </c>
      <c r="AW80">
        <v>23</v>
      </c>
      <c r="AX80">
        <v>19</v>
      </c>
      <c r="AY80">
        <v>20</v>
      </c>
      <c r="AZ80">
        <v>22</v>
      </c>
      <c r="BA80">
        <v>19</v>
      </c>
      <c r="BB80">
        <v>20</v>
      </c>
      <c r="BC80">
        <v>20</v>
      </c>
      <c r="BD80">
        <v>24</v>
      </c>
    </row>
    <row r="81" spans="1:56" x14ac:dyDescent="0.25">
      <c r="A81" t="s">
        <v>4243</v>
      </c>
      <c r="B81" t="s">
        <v>122</v>
      </c>
      <c r="C81" t="s">
        <v>109</v>
      </c>
      <c r="D81">
        <v>208</v>
      </c>
      <c r="E81">
        <v>20.940999999999999</v>
      </c>
      <c r="F81">
        <v>7</v>
      </c>
      <c r="G81">
        <v>15</v>
      </c>
      <c r="H81">
        <v>16</v>
      </c>
      <c r="I81">
        <v>21</v>
      </c>
      <c r="J81">
        <v>24</v>
      </c>
      <c r="K81">
        <v>20</v>
      </c>
      <c r="L81">
        <v>10</v>
      </c>
      <c r="M81">
        <v>17</v>
      </c>
      <c r="N81">
        <v>25</v>
      </c>
      <c r="O81">
        <v>21</v>
      </c>
      <c r="P81">
        <v>20</v>
      </c>
      <c r="Q81">
        <v>21</v>
      </c>
      <c r="R81">
        <v>22</v>
      </c>
      <c r="S81">
        <v>21</v>
      </c>
      <c r="T81">
        <v>19</v>
      </c>
      <c r="U81">
        <v>19</v>
      </c>
      <c r="V81">
        <v>21</v>
      </c>
      <c r="W81">
        <v>21</v>
      </c>
      <c r="X81">
        <v>21</v>
      </c>
      <c r="Y81">
        <v>21</v>
      </c>
      <c r="Z81">
        <v>21</v>
      </c>
      <c r="AA81">
        <v>25</v>
      </c>
      <c r="AB81">
        <v>29</v>
      </c>
      <c r="AC81">
        <v>24</v>
      </c>
      <c r="AD81">
        <v>30</v>
      </c>
      <c r="AE81">
        <v>31</v>
      </c>
      <c r="AF81">
        <v>40</v>
      </c>
      <c r="AG81">
        <v>33</v>
      </c>
      <c r="AH81">
        <v>32</v>
      </c>
      <c r="AI81">
        <v>25</v>
      </c>
      <c r="AJ81">
        <v>23</v>
      </c>
      <c r="AK81">
        <v>26</v>
      </c>
      <c r="AL81">
        <v>21</v>
      </c>
      <c r="AM81">
        <v>22</v>
      </c>
      <c r="AN81">
        <v>27</v>
      </c>
      <c r="AO81">
        <v>31</v>
      </c>
      <c r="AP81">
        <v>31</v>
      </c>
      <c r="AQ81">
        <v>22</v>
      </c>
      <c r="AR81">
        <v>21</v>
      </c>
      <c r="AS81">
        <v>23</v>
      </c>
      <c r="AT81">
        <v>17</v>
      </c>
      <c r="AU81">
        <v>13</v>
      </c>
      <c r="AV81">
        <v>14</v>
      </c>
      <c r="AW81">
        <v>16</v>
      </c>
      <c r="AX81">
        <v>11</v>
      </c>
      <c r="AY81">
        <v>15</v>
      </c>
      <c r="AZ81">
        <v>15</v>
      </c>
      <c r="BA81">
        <v>13</v>
      </c>
      <c r="BB81">
        <v>12</v>
      </c>
      <c r="BC81">
        <v>12</v>
      </c>
      <c r="BD81">
        <v>11</v>
      </c>
    </row>
    <row r="82" spans="1:56" x14ac:dyDescent="0.25">
      <c r="A82" t="s">
        <v>4244</v>
      </c>
      <c r="B82" t="s">
        <v>123</v>
      </c>
      <c r="C82" t="s">
        <v>109</v>
      </c>
      <c r="D82">
        <v>184</v>
      </c>
      <c r="E82">
        <v>26.667000000000002</v>
      </c>
      <c r="F82">
        <v>23</v>
      </c>
      <c r="G82">
        <v>36</v>
      </c>
      <c r="H82">
        <v>32</v>
      </c>
      <c r="I82">
        <v>44</v>
      </c>
      <c r="J82">
        <v>61</v>
      </c>
      <c r="K82">
        <v>49</v>
      </c>
      <c r="L82">
        <v>15</v>
      </c>
      <c r="M82">
        <v>33</v>
      </c>
      <c r="N82">
        <v>28</v>
      </c>
      <c r="O82">
        <v>23</v>
      </c>
      <c r="P82">
        <v>18</v>
      </c>
      <c r="Q82">
        <v>21</v>
      </c>
      <c r="R82">
        <v>25</v>
      </c>
      <c r="S82">
        <v>26</v>
      </c>
      <c r="T82">
        <v>28</v>
      </c>
      <c r="U82">
        <v>27</v>
      </c>
      <c r="V82">
        <v>27</v>
      </c>
      <c r="W82">
        <v>36</v>
      </c>
      <c r="X82">
        <v>24</v>
      </c>
      <c r="Y82">
        <v>28</v>
      </c>
      <c r="Z82">
        <v>26</v>
      </c>
      <c r="AA82">
        <v>32</v>
      </c>
      <c r="AB82">
        <v>26</v>
      </c>
      <c r="AC82">
        <v>34</v>
      </c>
      <c r="AD82">
        <v>35</v>
      </c>
      <c r="AE82">
        <v>35</v>
      </c>
      <c r="AF82">
        <v>36</v>
      </c>
      <c r="AG82">
        <v>37</v>
      </c>
      <c r="AH82">
        <v>35</v>
      </c>
      <c r="AI82">
        <v>31</v>
      </c>
      <c r="AJ82">
        <v>21</v>
      </c>
      <c r="AK82">
        <v>16</v>
      </c>
      <c r="AL82">
        <v>17</v>
      </c>
      <c r="AM82">
        <v>25</v>
      </c>
      <c r="AN82">
        <v>24</v>
      </c>
      <c r="AO82">
        <v>35</v>
      </c>
      <c r="AP82">
        <v>33</v>
      </c>
      <c r="AQ82">
        <v>25</v>
      </c>
      <c r="AR82">
        <v>27</v>
      </c>
      <c r="AS82">
        <v>25</v>
      </c>
      <c r="AT82">
        <v>25</v>
      </c>
      <c r="AU82">
        <v>17</v>
      </c>
      <c r="AV82">
        <v>17</v>
      </c>
      <c r="AW82">
        <v>16</v>
      </c>
      <c r="AX82">
        <v>14</v>
      </c>
      <c r="AY82">
        <v>16</v>
      </c>
      <c r="AZ82">
        <v>13</v>
      </c>
      <c r="BA82">
        <v>18</v>
      </c>
      <c r="BB82">
        <v>13</v>
      </c>
      <c r="BC82">
        <v>16</v>
      </c>
      <c r="BD82">
        <v>16</v>
      </c>
    </row>
    <row r="83" spans="1:56" x14ac:dyDescent="0.25">
      <c r="A83" t="s">
        <v>4245</v>
      </c>
      <c r="B83" t="s">
        <v>124</v>
      </c>
      <c r="C83" t="s">
        <v>109</v>
      </c>
      <c r="D83">
        <v>825</v>
      </c>
      <c r="E83">
        <v>28.117999999999999</v>
      </c>
      <c r="F83">
        <v>16</v>
      </c>
      <c r="G83">
        <v>26</v>
      </c>
      <c r="H83">
        <v>23</v>
      </c>
      <c r="I83">
        <v>33</v>
      </c>
      <c r="J83">
        <v>46</v>
      </c>
      <c r="K83">
        <v>34</v>
      </c>
      <c r="L83">
        <v>15</v>
      </c>
      <c r="M83">
        <v>30</v>
      </c>
      <c r="N83">
        <v>39</v>
      </c>
      <c r="O83">
        <v>30</v>
      </c>
      <c r="P83">
        <v>25</v>
      </c>
      <c r="Q83">
        <v>29</v>
      </c>
      <c r="R83">
        <v>30</v>
      </c>
      <c r="S83">
        <v>31</v>
      </c>
      <c r="T83">
        <v>35</v>
      </c>
      <c r="U83">
        <v>33</v>
      </c>
      <c r="V83">
        <v>34</v>
      </c>
      <c r="W83">
        <v>33</v>
      </c>
      <c r="X83">
        <v>33</v>
      </c>
      <c r="Y83">
        <v>32</v>
      </c>
      <c r="Z83">
        <v>31</v>
      </c>
      <c r="AA83">
        <v>33</v>
      </c>
      <c r="AB83">
        <v>33</v>
      </c>
      <c r="AC83">
        <v>35</v>
      </c>
      <c r="AD83">
        <v>39</v>
      </c>
      <c r="AE83">
        <v>44</v>
      </c>
      <c r="AF83">
        <v>44</v>
      </c>
      <c r="AG83">
        <v>43</v>
      </c>
      <c r="AH83">
        <v>34</v>
      </c>
      <c r="AI83">
        <v>33</v>
      </c>
      <c r="AJ83">
        <v>23</v>
      </c>
      <c r="AK83">
        <v>22</v>
      </c>
      <c r="AL83">
        <v>18</v>
      </c>
      <c r="AM83">
        <v>23</v>
      </c>
      <c r="AN83">
        <v>27</v>
      </c>
      <c r="AO83">
        <v>35</v>
      </c>
      <c r="AP83">
        <v>35</v>
      </c>
      <c r="AQ83">
        <v>29</v>
      </c>
      <c r="AR83">
        <v>25</v>
      </c>
      <c r="AS83">
        <v>27</v>
      </c>
      <c r="AT83">
        <v>27</v>
      </c>
      <c r="AU83">
        <v>19</v>
      </c>
      <c r="AV83">
        <v>18</v>
      </c>
      <c r="AW83">
        <v>20</v>
      </c>
      <c r="AX83">
        <v>16</v>
      </c>
      <c r="AY83">
        <v>15</v>
      </c>
      <c r="AZ83">
        <v>15</v>
      </c>
      <c r="BA83">
        <v>16</v>
      </c>
      <c r="BB83">
        <v>15</v>
      </c>
      <c r="BC83">
        <v>16</v>
      </c>
      <c r="BD83">
        <v>17</v>
      </c>
    </row>
    <row r="84" spans="1:56" x14ac:dyDescent="0.25">
      <c r="A84" t="s">
        <v>4246</v>
      </c>
      <c r="B84" t="s">
        <v>125</v>
      </c>
      <c r="C84" t="s">
        <v>109</v>
      </c>
      <c r="D84">
        <v>563</v>
      </c>
      <c r="E84">
        <v>32.725000000000001</v>
      </c>
      <c r="F84">
        <v>16</v>
      </c>
      <c r="G84">
        <v>22</v>
      </c>
      <c r="H84">
        <v>24</v>
      </c>
      <c r="I84">
        <v>37</v>
      </c>
      <c r="J84">
        <v>45</v>
      </c>
      <c r="K84">
        <v>36</v>
      </c>
      <c r="L84">
        <v>14</v>
      </c>
      <c r="M84">
        <v>37</v>
      </c>
      <c r="N84">
        <v>40</v>
      </c>
      <c r="O84">
        <v>33</v>
      </c>
      <c r="P84">
        <v>30</v>
      </c>
      <c r="Q84">
        <v>33</v>
      </c>
      <c r="R84">
        <v>35</v>
      </c>
      <c r="S84">
        <v>33</v>
      </c>
      <c r="T84">
        <v>34</v>
      </c>
      <c r="U84">
        <v>35</v>
      </c>
      <c r="V84">
        <v>31</v>
      </c>
      <c r="W84">
        <v>35</v>
      </c>
      <c r="X84">
        <v>31</v>
      </c>
      <c r="Y84">
        <v>29</v>
      </c>
      <c r="Z84">
        <v>30</v>
      </c>
      <c r="AA84">
        <v>34</v>
      </c>
      <c r="AB84">
        <v>35</v>
      </c>
      <c r="AC84">
        <v>38</v>
      </c>
      <c r="AD84">
        <v>43</v>
      </c>
      <c r="AE84">
        <v>48</v>
      </c>
      <c r="AF84">
        <v>44</v>
      </c>
      <c r="AG84">
        <v>44</v>
      </c>
      <c r="AH84">
        <v>39</v>
      </c>
      <c r="AI84">
        <v>36</v>
      </c>
      <c r="AJ84">
        <v>29</v>
      </c>
      <c r="AK84">
        <v>27</v>
      </c>
      <c r="AL84">
        <v>21</v>
      </c>
      <c r="AM84">
        <v>27</v>
      </c>
      <c r="AN84">
        <v>34</v>
      </c>
      <c r="AO84">
        <v>44</v>
      </c>
      <c r="AP84">
        <v>43</v>
      </c>
      <c r="AQ84">
        <v>43</v>
      </c>
      <c r="AR84">
        <v>37</v>
      </c>
      <c r="AS84">
        <v>41</v>
      </c>
      <c r="AT84">
        <v>39</v>
      </c>
      <c r="AU84">
        <v>33</v>
      </c>
      <c r="AV84">
        <v>32</v>
      </c>
      <c r="AW84">
        <v>31</v>
      </c>
      <c r="AX84">
        <v>23</v>
      </c>
      <c r="AY84">
        <v>24</v>
      </c>
      <c r="AZ84">
        <v>23</v>
      </c>
      <c r="BA84">
        <v>22</v>
      </c>
      <c r="BB84">
        <v>22</v>
      </c>
      <c r="BC84">
        <v>26</v>
      </c>
      <c r="BD84">
        <v>27</v>
      </c>
    </row>
    <row r="85" spans="1:56" x14ac:dyDescent="0.25">
      <c r="A85" t="s">
        <v>4247</v>
      </c>
      <c r="B85" t="s">
        <v>71</v>
      </c>
      <c r="C85" t="s">
        <v>109</v>
      </c>
      <c r="D85">
        <v>350</v>
      </c>
      <c r="E85">
        <v>33.49</v>
      </c>
      <c r="F85">
        <v>17</v>
      </c>
      <c r="G85">
        <v>25</v>
      </c>
      <c r="H85">
        <v>26</v>
      </c>
      <c r="I85">
        <v>35</v>
      </c>
      <c r="J85">
        <v>45</v>
      </c>
      <c r="K85">
        <v>36</v>
      </c>
      <c r="L85">
        <v>15</v>
      </c>
      <c r="M85">
        <v>38</v>
      </c>
      <c r="N85">
        <v>43</v>
      </c>
      <c r="O85">
        <v>35</v>
      </c>
      <c r="P85">
        <v>31</v>
      </c>
      <c r="Q85">
        <v>36</v>
      </c>
      <c r="R85">
        <v>36</v>
      </c>
      <c r="S85">
        <v>35</v>
      </c>
      <c r="T85">
        <v>37</v>
      </c>
      <c r="U85">
        <v>36</v>
      </c>
      <c r="V85">
        <v>34</v>
      </c>
      <c r="W85">
        <v>37</v>
      </c>
      <c r="X85">
        <v>33</v>
      </c>
      <c r="Y85">
        <v>31</v>
      </c>
      <c r="Z85">
        <v>31</v>
      </c>
      <c r="AA85">
        <v>34</v>
      </c>
      <c r="AB85">
        <v>34</v>
      </c>
      <c r="AC85">
        <v>37</v>
      </c>
      <c r="AD85">
        <v>44</v>
      </c>
      <c r="AE85">
        <v>47</v>
      </c>
      <c r="AF85">
        <v>41</v>
      </c>
      <c r="AG85">
        <v>45</v>
      </c>
      <c r="AH85">
        <v>40</v>
      </c>
      <c r="AI85">
        <v>37</v>
      </c>
      <c r="AJ85">
        <v>31</v>
      </c>
      <c r="AK85">
        <v>28</v>
      </c>
      <c r="AL85">
        <v>21</v>
      </c>
      <c r="AM85">
        <v>28</v>
      </c>
      <c r="AN85">
        <v>32</v>
      </c>
      <c r="AO85">
        <v>43</v>
      </c>
      <c r="AP85">
        <v>42</v>
      </c>
      <c r="AQ85">
        <v>42</v>
      </c>
      <c r="AR85">
        <v>38</v>
      </c>
      <c r="AS85">
        <v>41</v>
      </c>
      <c r="AT85">
        <v>39</v>
      </c>
      <c r="AU85">
        <v>36</v>
      </c>
      <c r="AV85">
        <v>33</v>
      </c>
      <c r="AW85">
        <v>32</v>
      </c>
      <c r="AX85">
        <v>26</v>
      </c>
      <c r="AY85">
        <v>24</v>
      </c>
      <c r="AZ85">
        <v>24</v>
      </c>
      <c r="BA85">
        <v>22</v>
      </c>
      <c r="BB85">
        <v>22</v>
      </c>
      <c r="BC85">
        <v>26</v>
      </c>
      <c r="BD85">
        <v>27</v>
      </c>
    </row>
    <row r="86" spans="1:56" x14ac:dyDescent="0.25">
      <c r="A86" t="s">
        <v>4248</v>
      </c>
      <c r="B86" t="s">
        <v>127</v>
      </c>
      <c r="C86" t="s">
        <v>109</v>
      </c>
      <c r="D86">
        <v>213</v>
      </c>
      <c r="E86">
        <v>31.686</v>
      </c>
      <c r="F86">
        <v>16</v>
      </c>
      <c r="G86">
        <v>18</v>
      </c>
      <c r="H86">
        <v>21</v>
      </c>
      <c r="I86">
        <v>39</v>
      </c>
      <c r="J86">
        <v>46</v>
      </c>
      <c r="K86">
        <v>36</v>
      </c>
      <c r="L86">
        <v>13</v>
      </c>
      <c r="M86">
        <v>35</v>
      </c>
      <c r="N86">
        <v>35</v>
      </c>
      <c r="O86">
        <v>31</v>
      </c>
      <c r="P86">
        <v>29</v>
      </c>
      <c r="Q86">
        <v>29</v>
      </c>
      <c r="R86">
        <v>34</v>
      </c>
      <c r="S86">
        <v>30</v>
      </c>
      <c r="T86">
        <v>31</v>
      </c>
      <c r="U86">
        <v>33</v>
      </c>
      <c r="V86">
        <v>27</v>
      </c>
      <c r="W86">
        <v>32</v>
      </c>
      <c r="X86">
        <v>30</v>
      </c>
      <c r="Y86">
        <v>27</v>
      </c>
      <c r="Z86">
        <v>29</v>
      </c>
      <c r="AA86">
        <v>33</v>
      </c>
      <c r="AB86">
        <v>36</v>
      </c>
      <c r="AC86">
        <v>40</v>
      </c>
      <c r="AD86">
        <v>41</v>
      </c>
      <c r="AE86">
        <v>51</v>
      </c>
      <c r="AF86">
        <v>47</v>
      </c>
      <c r="AG86">
        <v>43</v>
      </c>
      <c r="AH86">
        <v>37</v>
      </c>
      <c r="AI86">
        <v>35</v>
      </c>
      <c r="AJ86">
        <v>27</v>
      </c>
      <c r="AK86">
        <v>25</v>
      </c>
      <c r="AL86">
        <v>22</v>
      </c>
      <c r="AM86">
        <v>27</v>
      </c>
      <c r="AN86">
        <v>37</v>
      </c>
      <c r="AO86">
        <v>46</v>
      </c>
      <c r="AP86">
        <v>43</v>
      </c>
      <c r="AQ86">
        <v>44</v>
      </c>
      <c r="AR86">
        <v>35</v>
      </c>
      <c r="AS86">
        <v>41</v>
      </c>
      <c r="AT86">
        <v>39</v>
      </c>
      <c r="AU86">
        <v>27</v>
      </c>
      <c r="AV86">
        <v>30</v>
      </c>
      <c r="AW86">
        <v>29</v>
      </c>
      <c r="AX86">
        <v>18</v>
      </c>
      <c r="AY86">
        <v>24</v>
      </c>
      <c r="AZ86">
        <v>22</v>
      </c>
      <c r="BA86">
        <v>21</v>
      </c>
      <c r="BB86">
        <v>23</v>
      </c>
      <c r="BC86">
        <v>25</v>
      </c>
      <c r="BD86">
        <v>27</v>
      </c>
    </row>
    <row r="87" spans="1:56" x14ac:dyDescent="0.25">
      <c r="A87" t="s">
        <v>4249</v>
      </c>
      <c r="B87" t="s">
        <v>128</v>
      </c>
      <c r="C87" t="s">
        <v>109</v>
      </c>
      <c r="D87">
        <v>784</v>
      </c>
      <c r="E87">
        <v>29.471</v>
      </c>
      <c r="F87">
        <v>14</v>
      </c>
      <c r="G87">
        <v>22</v>
      </c>
      <c r="H87">
        <v>24</v>
      </c>
      <c r="I87">
        <v>37</v>
      </c>
      <c r="J87">
        <v>52</v>
      </c>
      <c r="K87">
        <v>39</v>
      </c>
      <c r="L87">
        <v>13</v>
      </c>
      <c r="M87">
        <v>26</v>
      </c>
      <c r="N87">
        <v>35</v>
      </c>
      <c r="O87">
        <v>30</v>
      </c>
      <c r="P87">
        <v>32</v>
      </c>
      <c r="Q87">
        <v>33</v>
      </c>
      <c r="R87">
        <v>32</v>
      </c>
      <c r="S87">
        <v>34</v>
      </c>
      <c r="T87">
        <v>34</v>
      </c>
      <c r="U87">
        <v>31</v>
      </c>
      <c r="V87">
        <v>31</v>
      </c>
      <c r="W87">
        <v>29</v>
      </c>
      <c r="X87">
        <v>28</v>
      </c>
      <c r="Y87">
        <v>30</v>
      </c>
      <c r="Z87">
        <v>29</v>
      </c>
      <c r="AA87">
        <v>30</v>
      </c>
      <c r="AB87">
        <v>33</v>
      </c>
      <c r="AC87">
        <v>34</v>
      </c>
      <c r="AD87">
        <v>40</v>
      </c>
      <c r="AE87">
        <v>44</v>
      </c>
      <c r="AF87">
        <v>45</v>
      </c>
      <c r="AG87">
        <v>41</v>
      </c>
      <c r="AH87">
        <v>41</v>
      </c>
      <c r="AI87">
        <v>35</v>
      </c>
      <c r="AJ87">
        <v>26</v>
      </c>
      <c r="AK87">
        <v>24</v>
      </c>
      <c r="AL87">
        <v>21</v>
      </c>
      <c r="AM87">
        <v>23</v>
      </c>
      <c r="AN87">
        <v>30</v>
      </c>
      <c r="AO87">
        <v>35</v>
      </c>
      <c r="AP87">
        <v>38</v>
      </c>
      <c r="AQ87">
        <v>34</v>
      </c>
      <c r="AR87">
        <v>32</v>
      </c>
      <c r="AS87">
        <v>29</v>
      </c>
      <c r="AT87">
        <v>34</v>
      </c>
      <c r="AU87">
        <v>26</v>
      </c>
      <c r="AV87">
        <v>23</v>
      </c>
      <c r="AW87">
        <v>19</v>
      </c>
      <c r="AX87">
        <v>19</v>
      </c>
      <c r="AY87">
        <v>19</v>
      </c>
      <c r="AZ87">
        <v>16</v>
      </c>
      <c r="BA87">
        <v>19</v>
      </c>
      <c r="BB87">
        <v>18</v>
      </c>
      <c r="BC87">
        <v>20</v>
      </c>
      <c r="BD87">
        <v>20</v>
      </c>
    </row>
    <row r="88" spans="1:56" x14ac:dyDescent="0.25">
      <c r="A88" t="s">
        <v>4250</v>
      </c>
      <c r="B88" t="s">
        <v>72</v>
      </c>
      <c r="C88" t="s">
        <v>109</v>
      </c>
      <c r="D88">
        <v>103</v>
      </c>
      <c r="E88">
        <v>31.783999999999999</v>
      </c>
      <c r="F88">
        <v>26</v>
      </c>
      <c r="G88">
        <v>32</v>
      </c>
      <c r="H88">
        <v>23</v>
      </c>
      <c r="I88">
        <v>30</v>
      </c>
      <c r="J88">
        <v>42</v>
      </c>
      <c r="K88">
        <v>40</v>
      </c>
      <c r="L88">
        <v>11</v>
      </c>
      <c r="M88">
        <v>37</v>
      </c>
      <c r="N88">
        <v>45</v>
      </c>
      <c r="O88">
        <v>36</v>
      </c>
      <c r="P88">
        <v>43</v>
      </c>
      <c r="Q88">
        <v>36</v>
      </c>
      <c r="R88">
        <v>46</v>
      </c>
      <c r="S88">
        <v>40</v>
      </c>
      <c r="T88">
        <v>33</v>
      </c>
      <c r="U88">
        <v>38</v>
      </c>
      <c r="V88">
        <v>40</v>
      </c>
      <c r="W88">
        <v>39</v>
      </c>
      <c r="X88">
        <v>32</v>
      </c>
      <c r="Y88">
        <v>35</v>
      </c>
      <c r="Z88">
        <v>35</v>
      </c>
      <c r="AA88">
        <v>38</v>
      </c>
      <c r="AB88">
        <v>42</v>
      </c>
      <c r="AC88">
        <v>40</v>
      </c>
      <c r="AD88">
        <v>47</v>
      </c>
      <c r="AE88">
        <v>41</v>
      </c>
      <c r="AF88">
        <v>51</v>
      </c>
      <c r="AG88">
        <v>44</v>
      </c>
      <c r="AH88">
        <v>39</v>
      </c>
      <c r="AI88">
        <v>33</v>
      </c>
      <c r="AJ88">
        <v>23</v>
      </c>
      <c r="AK88">
        <v>27</v>
      </c>
      <c r="AL88">
        <v>23</v>
      </c>
      <c r="AM88">
        <v>27</v>
      </c>
      <c r="AN88">
        <v>38</v>
      </c>
      <c r="AO88">
        <v>32</v>
      </c>
      <c r="AP88">
        <v>28</v>
      </c>
      <c r="AQ88">
        <v>29</v>
      </c>
      <c r="AR88">
        <v>31</v>
      </c>
      <c r="AS88">
        <v>32</v>
      </c>
      <c r="AT88">
        <v>26</v>
      </c>
      <c r="AU88">
        <v>27</v>
      </c>
      <c r="AV88">
        <v>20</v>
      </c>
      <c r="AW88">
        <v>25</v>
      </c>
      <c r="AX88">
        <v>16</v>
      </c>
      <c r="AY88">
        <v>19</v>
      </c>
      <c r="AZ88">
        <v>17</v>
      </c>
      <c r="BA88">
        <v>14</v>
      </c>
      <c r="BB88">
        <v>18</v>
      </c>
      <c r="BC88">
        <v>19</v>
      </c>
      <c r="BD88">
        <v>16</v>
      </c>
    </row>
    <row r="89" spans="1:56" x14ac:dyDescent="0.25">
      <c r="A89" t="s">
        <v>4251</v>
      </c>
      <c r="B89" t="s">
        <v>240</v>
      </c>
      <c r="C89" t="s">
        <v>109</v>
      </c>
      <c r="D89">
        <v>42</v>
      </c>
      <c r="E89">
        <v>32.234999999999999</v>
      </c>
      <c r="F89">
        <v>22</v>
      </c>
      <c r="G89">
        <v>25</v>
      </c>
      <c r="H89">
        <v>33</v>
      </c>
      <c r="I89">
        <v>42</v>
      </c>
      <c r="J89">
        <v>42</v>
      </c>
      <c r="K89">
        <v>30</v>
      </c>
      <c r="L89">
        <v>19</v>
      </c>
      <c r="M89">
        <v>32</v>
      </c>
      <c r="N89">
        <v>39</v>
      </c>
      <c r="O89">
        <v>29</v>
      </c>
      <c r="P89">
        <v>25</v>
      </c>
      <c r="Q89">
        <v>24</v>
      </c>
      <c r="R89">
        <v>29</v>
      </c>
      <c r="S89">
        <v>24</v>
      </c>
      <c r="T89">
        <v>20</v>
      </c>
      <c r="U89">
        <v>31</v>
      </c>
      <c r="V89">
        <v>15</v>
      </c>
      <c r="W89">
        <v>27</v>
      </c>
      <c r="X89">
        <v>22</v>
      </c>
      <c r="Y89">
        <v>30</v>
      </c>
      <c r="Z89">
        <v>31</v>
      </c>
      <c r="AA89">
        <v>28</v>
      </c>
      <c r="AB89">
        <v>24</v>
      </c>
      <c r="AC89">
        <v>32</v>
      </c>
      <c r="AD89">
        <v>45</v>
      </c>
      <c r="AE89">
        <v>44</v>
      </c>
      <c r="AF89">
        <v>40</v>
      </c>
      <c r="AG89">
        <v>48</v>
      </c>
      <c r="AH89">
        <v>46</v>
      </c>
      <c r="AI89">
        <v>46</v>
      </c>
      <c r="AJ89">
        <v>27</v>
      </c>
      <c r="AK89">
        <v>29</v>
      </c>
      <c r="AL89">
        <v>15</v>
      </c>
      <c r="AM89">
        <v>18</v>
      </c>
      <c r="AN89">
        <v>18</v>
      </c>
      <c r="AO89">
        <v>29</v>
      </c>
      <c r="AP89">
        <v>36</v>
      </c>
      <c r="AQ89">
        <v>31</v>
      </c>
      <c r="AR89">
        <v>18</v>
      </c>
      <c r="AS89">
        <v>34</v>
      </c>
      <c r="AT89">
        <v>29</v>
      </c>
      <c r="AU89">
        <v>45</v>
      </c>
      <c r="AV89">
        <v>30</v>
      </c>
      <c r="AW89">
        <v>44</v>
      </c>
      <c r="AX89">
        <v>32</v>
      </c>
      <c r="AY89">
        <v>35</v>
      </c>
      <c r="AZ89">
        <v>40</v>
      </c>
      <c r="BA89">
        <v>46</v>
      </c>
      <c r="BB89">
        <v>50</v>
      </c>
      <c r="BC89">
        <v>38</v>
      </c>
      <c r="BD89">
        <v>56</v>
      </c>
    </row>
    <row r="90" spans="1:56" x14ac:dyDescent="0.25">
      <c r="A90" t="s">
        <v>4252</v>
      </c>
      <c r="B90" t="s">
        <v>129</v>
      </c>
      <c r="C90" t="s">
        <v>109</v>
      </c>
      <c r="D90">
        <v>74</v>
      </c>
      <c r="E90">
        <v>22.529</v>
      </c>
      <c r="F90">
        <v>6</v>
      </c>
      <c r="G90">
        <v>10</v>
      </c>
      <c r="H90">
        <v>13</v>
      </c>
      <c r="I90">
        <v>18</v>
      </c>
      <c r="J90">
        <v>27</v>
      </c>
      <c r="K90">
        <v>18</v>
      </c>
      <c r="L90">
        <v>14</v>
      </c>
      <c r="M90">
        <v>20</v>
      </c>
      <c r="N90">
        <v>28</v>
      </c>
      <c r="O90">
        <v>17</v>
      </c>
      <c r="P90">
        <v>11</v>
      </c>
      <c r="Q90">
        <v>16</v>
      </c>
      <c r="R90">
        <v>16</v>
      </c>
      <c r="S90">
        <v>22</v>
      </c>
      <c r="T90">
        <v>23</v>
      </c>
      <c r="U90">
        <v>19</v>
      </c>
      <c r="V90">
        <v>21</v>
      </c>
      <c r="W90">
        <v>29</v>
      </c>
      <c r="X90">
        <v>28</v>
      </c>
      <c r="Y90">
        <v>24</v>
      </c>
      <c r="Z90">
        <v>27</v>
      </c>
      <c r="AA90">
        <v>35</v>
      </c>
      <c r="AB90">
        <v>36</v>
      </c>
      <c r="AC90">
        <v>32</v>
      </c>
      <c r="AD90">
        <v>34</v>
      </c>
      <c r="AE90">
        <v>36</v>
      </c>
      <c r="AF90">
        <v>28</v>
      </c>
      <c r="AG90">
        <v>35</v>
      </c>
      <c r="AH90">
        <v>25</v>
      </c>
      <c r="AI90">
        <v>31</v>
      </c>
      <c r="AJ90">
        <v>22</v>
      </c>
      <c r="AK90">
        <v>30</v>
      </c>
      <c r="AL90">
        <v>22</v>
      </c>
      <c r="AM90">
        <v>26</v>
      </c>
      <c r="AN90">
        <v>30</v>
      </c>
      <c r="AO90">
        <v>30</v>
      </c>
      <c r="AP90">
        <v>25</v>
      </c>
      <c r="AQ90">
        <v>27</v>
      </c>
      <c r="AR90">
        <v>31</v>
      </c>
      <c r="AS90">
        <v>20</v>
      </c>
      <c r="AT90">
        <v>28</v>
      </c>
      <c r="AU90">
        <v>19</v>
      </c>
      <c r="AV90">
        <v>20</v>
      </c>
      <c r="AW90">
        <v>12</v>
      </c>
      <c r="AX90">
        <v>20</v>
      </c>
      <c r="AY90">
        <v>12</v>
      </c>
      <c r="AZ90">
        <v>17</v>
      </c>
      <c r="BA90">
        <v>21</v>
      </c>
      <c r="BB90">
        <v>14</v>
      </c>
      <c r="BC90">
        <v>11</v>
      </c>
      <c r="BD90">
        <v>13</v>
      </c>
    </row>
    <row r="91" spans="1:56" x14ac:dyDescent="0.25">
      <c r="A91" t="s">
        <v>4253</v>
      </c>
      <c r="B91" t="s">
        <v>241</v>
      </c>
      <c r="C91" t="s">
        <v>109</v>
      </c>
      <c r="D91">
        <v>137</v>
      </c>
      <c r="E91">
        <v>28.51</v>
      </c>
      <c r="F91">
        <v>10</v>
      </c>
      <c r="G91">
        <v>20</v>
      </c>
      <c r="H91">
        <v>24</v>
      </c>
      <c r="I91">
        <v>26</v>
      </c>
      <c r="J91">
        <v>29</v>
      </c>
      <c r="K91">
        <v>24</v>
      </c>
      <c r="L91">
        <v>17</v>
      </c>
      <c r="M91">
        <v>35</v>
      </c>
      <c r="N91">
        <v>29</v>
      </c>
      <c r="O91">
        <v>28</v>
      </c>
      <c r="P91">
        <v>32</v>
      </c>
      <c r="Q91">
        <v>31</v>
      </c>
      <c r="R91">
        <v>31</v>
      </c>
      <c r="S91">
        <v>34</v>
      </c>
      <c r="T91">
        <v>37</v>
      </c>
      <c r="U91">
        <v>24</v>
      </c>
      <c r="V91">
        <v>34</v>
      </c>
      <c r="W91">
        <v>31</v>
      </c>
      <c r="X91">
        <v>24</v>
      </c>
      <c r="Y91">
        <v>31</v>
      </c>
      <c r="Z91">
        <v>30</v>
      </c>
      <c r="AA91">
        <v>26</v>
      </c>
      <c r="AB91">
        <v>36</v>
      </c>
      <c r="AC91">
        <v>37</v>
      </c>
      <c r="AD91">
        <v>33</v>
      </c>
      <c r="AE91">
        <v>34</v>
      </c>
      <c r="AF91">
        <v>45</v>
      </c>
      <c r="AG91">
        <v>40</v>
      </c>
      <c r="AH91">
        <v>39</v>
      </c>
      <c r="AI91">
        <v>40</v>
      </c>
      <c r="AJ91">
        <v>31</v>
      </c>
      <c r="AK91">
        <v>34</v>
      </c>
      <c r="AL91">
        <v>24</v>
      </c>
      <c r="AM91">
        <v>23</v>
      </c>
      <c r="AN91">
        <v>31</v>
      </c>
      <c r="AO91">
        <v>36</v>
      </c>
      <c r="AP91">
        <v>35</v>
      </c>
      <c r="AQ91">
        <v>29</v>
      </c>
      <c r="AR91">
        <v>22</v>
      </c>
      <c r="AS91">
        <v>30</v>
      </c>
      <c r="AT91">
        <v>29</v>
      </c>
      <c r="AU91">
        <v>23</v>
      </c>
      <c r="AV91">
        <v>24</v>
      </c>
      <c r="AW91">
        <v>26</v>
      </c>
      <c r="AX91">
        <v>18</v>
      </c>
      <c r="AY91">
        <v>22</v>
      </c>
      <c r="AZ91">
        <v>18</v>
      </c>
      <c r="BA91">
        <v>20</v>
      </c>
      <c r="BB91">
        <v>22</v>
      </c>
      <c r="BC91">
        <v>23</v>
      </c>
      <c r="BD91">
        <v>23</v>
      </c>
    </row>
    <row r="92" spans="1:56" x14ac:dyDescent="0.25">
      <c r="A92" t="s">
        <v>4254</v>
      </c>
      <c r="B92" t="s">
        <v>242</v>
      </c>
      <c r="C92" t="s">
        <v>109</v>
      </c>
      <c r="D92">
        <v>65</v>
      </c>
      <c r="E92">
        <v>32.529000000000003</v>
      </c>
      <c r="F92">
        <v>20</v>
      </c>
      <c r="G92">
        <v>27</v>
      </c>
      <c r="H92">
        <v>26</v>
      </c>
      <c r="I92">
        <v>49</v>
      </c>
      <c r="J92">
        <v>50</v>
      </c>
      <c r="K92">
        <v>44</v>
      </c>
      <c r="L92">
        <v>21</v>
      </c>
      <c r="M92">
        <v>42</v>
      </c>
      <c r="N92">
        <v>44</v>
      </c>
      <c r="O92">
        <v>32</v>
      </c>
      <c r="P92">
        <v>32</v>
      </c>
      <c r="Q92">
        <v>40</v>
      </c>
      <c r="R92">
        <v>30</v>
      </c>
      <c r="S92">
        <v>36</v>
      </c>
      <c r="T92">
        <v>41</v>
      </c>
      <c r="U92">
        <v>17</v>
      </c>
      <c r="V92">
        <v>28</v>
      </c>
      <c r="W92">
        <v>29</v>
      </c>
      <c r="X92">
        <v>32</v>
      </c>
      <c r="Y92">
        <v>23</v>
      </c>
      <c r="Z92">
        <v>29</v>
      </c>
      <c r="AA92">
        <v>31</v>
      </c>
      <c r="AB92">
        <v>27</v>
      </c>
      <c r="AC92">
        <v>46</v>
      </c>
      <c r="AD92">
        <v>41</v>
      </c>
      <c r="AE92">
        <v>42</v>
      </c>
      <c r="AF92">
        <v>38</v>
      </c>
      <c r="AG92">
        <v>46</v>
      </c>
      <c r="AH92">
        <v>32</v>
      </c>
      <c r="AI92">
        <v>34</v>
      </c>
      <c r="AJ92">
        <v>28</v>
      </c>
      <c r="AK92">
        <v>30</v>
      </c>
      <c r="AL92">
        <v>21</v>
      </c>
      <c r="AM92">
        <v>33</v>
      </c>
      <c r="AN92">
        <v>19</v>
      </c>
      <c r="AO92">
        <v>36</v>
      </c>
      <c r="AP92">
        <v>41</v>
      </c>
      <c r="AQ92">
        <v>35</v>
      </c>
      <c r="AR92">
        <v>31</v>
      </c>
      <c r="AS92">
        <v>34</v>
      </c>
      <c r="AT92">
        <v>40</v>
      </c>
      <c r="AU92">
        <v>30</v>
      </c>
      <c r="AV92">
        <v>25</v>
      </c>
      <c r="AW92">
        <v>24</v>
      </c>
      <c r="AX92">
        <v>25</v>
      </c>
      <c r="AY92">
        <v>34</v>
      </c>
      <c r="AZ92">
        <v>24</v>
      </c>
      <c r="BA92">
        <v>25</v>
      </c>
      <c r="BB92">
        <v>35</v>
      </c>
      <c r="BC92">
        <v>24</v>
      </c>
      <c r="BD92">
        <v>36</v>
      </c>
    </row>
    <row r="93" spans="1:56" x14ac:dyDescent="0.25">
      <c r="A93" t="s">
        <v>4255</v>
      </c>
      <c r="B93" t="s">
        <v>132</v>
      </c>
      <c r="C93" t="s">
        <v>109</v>
      </c>
      <c r="D93">
        <v>124</v>
      </c>
      <c r="E93">
        <v>43.960999999999999</v>
      </c>
      <c r="F93">
        <v>30</v>
      </c>
      <c r="G93">
        <v>31</v>
      </c>
      <c r="H93">
        <v>40</v>
      </c>
      <c r="I93">
        <v>38</v>
      </c>
      <c r="J93">
        <v>34</v>
      </c>
      <c r="K93">
        <v>49</v>
      </c>
      <c r="L93">
        <v>45</v>
      </c>
      <c r="M93">
        <v>38</v>
      </c>
      <c r="N93">
        <v>42</v>
      </c>
      <c r="O93">
        <v>43</v>
      </c>
      <c r="P93">
        <v>46</v>
      </c>
      <c r="Q93">
        <v>41</v>
      </c>
      <c r="R93">
        <v>49</v>
      </c>
      <c r="S93">
        <v>46</v>
      </c>
      <c r="T93">
        <v>47</v>
      </c>
      <c r="U93">
        <v>36</v>
      </c>
      <c r="V93">
        <v>40</v>
      </c>
      <c r="W93">
        <v>51</v>
      </c>
      <c r="X93">
        <v>39</v>
      </c>
      <c r="Y93">
        <v>41</v>
      </c>
      <c r="Z93">
        <v>41</v>
      </c>
      <c r="AA93">
        <v>34</v>
      </c>
      <c r="AB93">
        <v>39</v>
      </c>
      <c r="AC93">
        <v>42</v>
      </c>
      <c r="AD93">
        <v>40</v>
      </c>
      <c r="AE93">
        <v>34</v>
      </c>
      <c r="AF93">
        <v>37</v>
      </c>
      <c r="AG93">
        <v>44</v>
      </c>
      <c r="AH93">
        <v>41</v>
      </c>
      <c r="AI93">
        <v>50</v>
      </c>
      <c r="AJ93">
        <v>45</v>
      </c>
      <c r="AK93">
        <v>43</v>
      </c>
      <c r="AL93">
        <v>44</v>
      </c>
      <c r="AM93">
        <v>48</v>
      </c>
      <c r="AN93">
        <v>48</v>
      </c>
      <c r="AO93">
        <v>50</v>
      </c>
      <c r="AP93">
        <v>43</v>
      </c>
      <c r="AQ93">
        <v>45</v>
      </c>
      <c r="AR93">
        <v>37</v>
      </c>
      <c r="AS93">
        <v>49</v>
      </c>
      <c r="AT93">
        <v>50</v>
      </c>
      <c r="AU93">
        <v>52</v>
      </c>
      <c r="AV93">
        <v>56</v>
      </c>
      <c r="AW93">
        <v>52</v>
      </c>
      <c r="AX93">
        <v>55</v>
      </c>
      <c r="AY93">
        <v>56</v>
      </c>
      <c r="AZ93">
        <v>48</v>
      </c>
      <c r="BA93">
        <v>48</v>
      </c>
      <c r="BB93">
        <v>49</v>
      </c>
      <c r="BC93">
        <v>49</v>
      </c>
      <c r="BD93">
        <v>47</v>
      </c>
    </row>
    <row r="94" spans="1:56" x14ac:dyDescent="0.25">
      <c r="A94" t="s">
        <v>4256</v>
      </c>
      <c r="B94" t="s">
        <v>243</v>
      </c>
      <c r="C94" t="s">
        <v>109</v>
      </c>
      <c r="D94">
        <v>184</v>
      </c>
      <c r="E94">
        <v>27.608000000000001</v>
      </c>
      <c r="F94">
        <v>39</v>
      </c>
      <c r="G94">
        <v>14</v>
      </c>
      <c r="H94">
        <v>26</v>
      </c>
      <c r="I94">
        <v>36</v>
      </c>
      <c r="J94">
        <v>39</v>
      </c>
      <c r="K94">
        <v>26</v>
      </c>
      <c r="L94">
        <v>25</v>
      </c>
      <c r="M94">
        <v>34</v>
      </c>
      <c r="N94">
        <v>27</v>
      </c>
      <c r="O94">
        <v>17</v>
      </c>
      <c r="P94">
        <v>23</v>
      </c>
      <c r="Q94">
        <v>21</v>
      </c>
      <c r="R94">
        <v>22</v>
      </c>
      <c r="S94">
        <v>25</v>
      </c>
      <c r="T94">
        <v>16</v>
      </c>
      <c r="U94">
        <v>27</v>
      </c>
      <c r="V94">
        <v>32</v>
      </c>
      <c r="W94">
        <v>23</v>
      </c>
      <c r="X94">
        <v>24</v>
      </c>
      <c r="Y94">
        <v>32</v>
      </c>
      <c r="Z94">
        <v>36</v>
      </c>
      <c r="AA94">
        <v>34</v>
      </c>
      <c r="AB94">
        <v>34</v>
      </c>
      <c r="AC94">
        <v>35</v>
      </c>
      <c r="AD94">
        <v>37</v>
      </c>
      <c r="AE94">
        <v>34</v>
      </c>
      <c r="AF94">
        <v>45</v>
      </c>
      <c r="AG94">
        <v>34</v>
      </c>
      <c r="AH94">
        <v>36</v>
      </c>
      <c r="AI94">
        <v>33</v>
      </c>
      <c r="AJ94">
        <v>27</v>
      </c>
      <c r="AK94">
        <v>30</v>
      </c>
      <c r="AL94">
        <v>29</v>
      </c>
      <c r="AM94">
        <v>28</v>
      </c>
      <c r="AN94">
        <v>30</v>
      </c>
      <c r="AO94">
        <v>32</v>
      </c>
      <c r="AP94">
        <v>34</v>
      </c>
      <c r="AQ94">
        <v>31</v>
      </c>
      <c r="AR94">
        <v>29</v>
      </c>
      <c r="AS94">
        <v>23</v>
      </c>
      <c r="AT94">
        <v>24</v>
      </c>
      <c r="AU94">
        <v>25</v>
      </c>
      <c r="AV94">
        <v>23</v>
      </c>
      <c r="AW94">
        <v>19</v>
      </c>
      <c r="AX94">
        <v>22</v>
      </c>
      <c r="AY94">
        <v>20</v>
      </c>
      <c r="AZ94">
        <v>22</v>
      </c>
      <c r="BA94">
        <v>23</v>
      </c>
      <c r="BB94">
        <v>17</v>
      </c>
      <c r="BC94">
        <v>13</v>
      </c>
      <c r="BD94">
        <v>21</v>
      </c>
    </row>
    <row r="95" spans="1:56" x14ac:dyDescent="0.25">
      <c r="A95" t="s">
        <v>4257</v>
      </c>
      <c r="B95" t="s">
        <v>37</v>
      </c>
      <c r="C95" t="s">
        <v>109</v>
      </c>
      <c r="D95">
        <v>1152</v>
      </c>
      <c r="E95">
        <v>18.686</v>
      </c>
      <c r="F95">
        <v>5</v>
      </c>
      <c r="G95">
        <v>7</v>
      </c>
      <c r="H95">
        <v>7</v>
      </c>
      <c r="I95">
        <v>13</v>
      </c>
      <c r="J95">
        <v>16</v>
      </c>
      <c r="K95">
        <v>15</v>
      </c>
      <c r="L95">
        <v>11</v>
      </c>
      <c r="M95">
        <v>15</v>
      </c>
      <c r="N95">
        <v>19</v>
      </c>
      <c r="O95">
        <v>17</v>
      </c>
      <c r="P95">
        <v>17</v>
      </c>
      <c r="Q95">
        <v>19</v>
      </c>
      <c r="R95">
        <v>19</v>
      </c>
      <c r="S95">
        <v>20</v>
      </c>
      <c r="T95">
        <v>18</v>
      </c>
      <c r="U95">
        <v>19</v>
      </c>
      <c r="V95">
        <v>19</v>
      </c>
      <c r="W95">
        <v>20</v>
      </c>
      <c r="X95">
        <v>20</v>
      </c>
      <c r="Y95">
        <v>22</v>
      </c>
      <c r="Z95">
        <v>22</v>
      </c>
      <c r="AA95">
        <v>22</v>
      </c>
      <c r="AB95">
        <v>25</v>
      </c>
      <c r="AC95">
        <v>25</v>
      </c>
      <c r="AD95">
        <v>27</v>
      </c>
      <c r="AE95">
        <v>27</v>
      </c>
      <c r="AF95">
        <v>26</v>
      </c>
      <c r="AG95">
        <v>26</v>
      </c>
      <c r="AH95">
        <v>24</v>
      </c>
      <c r="AI95">
        <v>25</v>
      </c>
      <c r="AJ95">
        <v>22</v>
      </c>
      <c r="AK95">
        <v>22</v>
      </c>
      <c r="AL95">
        <v>19</v>
      </c>
      <c r="AM95">
        <v>19</v>
      </c>
      <c r="AN95">
        <v>20</v>
      </c>
      <c r="AO95">
        <v>22</v>
      </c>
      <c r="AP95">
        <v>20</v>
      </c>
      <c r="AQ95">
        <v>19</v>
      </c>
      <c r="AR95">
        <v>15</v>
      </c>
      <c r="AS95">
        <v>16</v>
      </c>
      <c r="AT95">
        <v>17</v>
      </c>
      <c r="AU95">
        <v>14</v>
      </c>
      <c r="AV95">
        <v>16</v>
      </c>
      <c r="AW95">
        <v>18</v>
      </c>
      <c r="AX95">
        <v>17</v>
      </c>
      <c r="AY95">
        <v>17</v>
      </c>
      <c r="AZ95">
        <v>21</v>
      </c>
      <c r="BA95">
        <v>18</v>
      </c>
      <c r="BB95">
        <v>17</v>
      </c>
      <c r="BC95">
        <v>21</v>
      </c>
      <c r="BD95">
        <v>16</v>
      </c>
    </row>
    <row r="96" spans="1:56" x14ac:dyDescent="0.25">
      <c r="A96" t="s">
        <v>4258</v>
      </c>
      <c r="B96" t="s">
        <v>134</v>
      </c>
      <c r="C96" t="s">
        <v>109</v>
      </c>
      <c r="D96">
        <v>373</v>
      </c>
      <c r="E96">
        <v>18.314</v>
      </c>
      <c r="F96">
        <v>5</v>
      </c>
      <c r="G96">
        <v>7</v>
      </c>
      <c r="H96">
        <v>6</v>
      </c>
      <c r="I96">
        <v>12</v>
      </c>
      <c r="J96">
        <v>15</v>
      </c>
      <c r="K96">
        <v>12</v>
      </c>
      <c r="L96">
        <v>9</v>
      </c>
      <c r="M96">
        <v>13</v>
      </c>
      <c r="N96">
        <v>18</v>
      </c>
      <c r="O96">
        <v>18</v>
      </c>
      <c r="P96">
        <v>17</v>
      </c>
      <c r="Q96">
        <v>19</v>
      </c>
      <c r="R96">
        <v>18</v>
      </c>
      <c r="S96">
        <v>17</v>
      </c>
      <c r="T96">
        <v>18</v>
      </c>
      <c r="U96">
        <v>17</v>
      </c>
      <c r="V96">
        <v>20</v>
      </c>
      <c r="W96">
        <v>23</v>
      </c>
      <c r="X96">
        <v>21</v>
      </c>
      <c r="Y96">
        <v>23</v>
      </c>
      <c r="Z96">
        <v>21</v>
      </c>
      <c r="AA96">
        <v>22</v>
      </c>
      <c r="AB96">
        <v>24</v>
      </c>
      <c r="AC96">
        <v>29</v>
      </c>
      <c r="AD96">
        <v>26</v>
      </c>
      <c r="AE96">
        <v>26</v>
      </c>
      <c r="AF96">
        <v>26</v>
      </c>
      <c r="AG96">
        <v>27</v>
      </c>
      <c r="AH96">
        <v>24</v>
      </c>
      <c r="AI96">
        <v>28</v>
      </c>
      <c r="AJ96">
        <v>23</v>
      </c>
      <c r="AK96">
        <v>24</v>
      </c>
      <c r="AL96">
        <v>19</v>
      </c>
      <c r="AM96">
        <v>20</v>
      </c>
      <c r="AN96">
        <v>22</v>
      </c>
      <c r="AO96">
        <v>24</v>
      </c>
      <c r="AP96">
        <v>22</v>
      </c>
      <c r="AQ96">
        <v>21</v>
      </c>
      <c r="AR96">
        <v>12</v>
      </c>
      <c r="AS96">
        <v>14</v>
      </c>
      <c r="AT96">
        <v>14</v>
      </c>
      <c r="AU96">
        <v>12</v>
      </c>
      <c r="AV96">
        <v>12</v>
      </c>
      <c r="AW96">
        <v>15</v>
      </c>
      <c r="AX96">
        <v>15</v>
      </c>
      <c r="AY96">
        <v>14</v>
      </c>
      <c r="AZ96">
        <v>21</v>
      </c>
      <c r="BA96">
        <v>15</v>
      </c>
      <c r="BB96">
        <v>18</v>
      </c>
      <c r="BC96">
        <v>21</v>
      </c>
      <c r="BD96">
        <v>15</v>
      </c>
    </row>
    <row r="97" spans="1:56" x14ac:dyDescent="0.25">
      <c r="A97" t="s">
        <v>4259</v>
      </c>
      <c r="B97" t="s">
        <v>135</v>
      </c>
      <c r="C97" t="s">
        <v>109</v>
      </c>
      <c r="D97">
        <v>159</v>
      </c>
      <c r="E97">
        <v>16.863</v>
      </c>
      <c r="F97">
        <v>2</v>
      </c>
      <c r="G97">
        <v>5</v>
      </c>
      <c r="H97">
        <v>6</v>
      </c>
      <c r="I97">
        <v>15</v>
      </c>
      <c r="J97">
        <v>11</v>
      </c>
      <c r="K97">
        <v>13</v>
      </c>
      <c r="L97">
        <v>11</v>
      </c>
      <c r="M97">
        <v>9</v>
      </c>
      <c r="N97">
        <v>17</v>
      </c>
      <c r="O97">
        <v>10</v>
      </c>
      <c r="P97">
        <v>14</v>
      </c>
      <c r="Q97">
        <v>14</v>
      </c>
      <c r="R97">
        <v>18</v>
      </c>
      <c r="S97">
        <v>21</v>
      </c>
      <c r="T97">
        <v>13</v>
      </c>
      <c r="U97">
        <v>18</v>
      </c>
      <c r="V97">
        <v>16</v>
      </c>
      <c r="W97">
        <v>11</v>
      </c>
      <c r="X97">
        <v>12</v>
      </c>
      <c r="Y97">
        <v>18</v>
      </c>
      <c r="Z97">
        <v>18</v>
      </c>
      <c r="AA97">
        <v>20</v>
      </c>
      <c r="AB97">
        <v>23</v>
      </c>
      <c r="AC97">
        <v>21</v>
      </c>
      <c r="AD97">
        <v>29</v>
      </c>
      <c r="AE97">
        <v>31</v>
      </c>
      <c r="AF97">
        <v>24</v>
      </c>
      <c r="AG97">
        <v>23</v>
      </c>
      <c r="AH97">
        <v>24</v>
      </c>
      <c r="AI97">
        <v>22</v>
      </c>
      <c r="AJ97">
        <v>17</v>
      </c>
      <c r="AK97">
        <v>19</v>
      </c>
      <c r="AL97">
        <v>18</v>
      </c>
      <c r="AM97">
        <v>15</v>
      </c>
      <c r="AN97">
        <v>14</v>
      </c>
      <c r="AO97">
        <v>17</v>
      </c>
      <c r="AP97">
        <v>17</v>
      </c>
      <c r="AQ97">
        <v>14</v>
      </c>
      <c r="AR97">
        <v>17</v>
      </c>
      <c r="AS97">
        <v>13</v>
      </c>
      <c r="AT97">
        <v>20</v>
      </c>
      <c r="AU97">
        <v>17</v>
      </c>
      <c r="AV97">
        <v>22</v>
      </c>
      <c r="AW97">
        <v>19</v>
      </c>
      <c r="AX97">
        <v>17</v>
      </c>
      <c r="AY97">
        <v>20</v>
      </c>
      <c r="AZ97">
        <v>20</v>
      </c>
      <c r="BA97">
        <v>22</v>
      </c>
      <c r="BB97">
        <v>18</v>
      </c>
      <c r="BC97">
        <v>19</v>
      </c>
      <c r="BD97">
        <v>16</v>
      </c>
    </row>
    <row r="98" spans="1:56" x14ac:dyDescent="0.25">
      <c r="A98" t="s">
        <v>4260</v>
      </c>
      <c r="B98" t="s">
        <v>136</v>
      </c>
      <c r="C98" t="s">
        <v>109</v>
      </c>
      <c r="D98">
        <v>436</v>
      </c>
      <c r="E98">
        <v>20.314</v>
      </c>
      <c r="F98">
        <v>6</v>
      </c>
      <c r="G98">
        <v>7</v>
      </c>
      <c r="H98">
        <v>10</v>
      </c>
      <c r="I98">
        <v>15</v>
      </c>
      <c r="J98">
        <v>20</v>
      </c>
      <c r="K98">
        <v>20</v>
      </c>
      <c r="L98">
        <v>14</v>
      </c>
      <c r="M98">
        <v>22</v>
      </c>
      <c r="N98">
        <v>21</v>
      </c>
      <c r="O98">
        <v>21</v>
      </c>
      <c r="P98">
        <v>20</v>
      </c>
      <c r="Q98">
        <v>21</v>
      </c>
      <c r="R98">
        <v>21</v>
      </c>
      <c r="S98">
        <v>24</v>
      </c>
      <c r="T98">
        <v>21</v>
      </c>
      <c r="U98">
        <v>22</v>
      </c>
      <c r="V98">
        <v>19</v>
      </c>
      <c r="W98">
        <v>20</v>
      </c>
      <c r="X98">
        <v>24</v>
      </c>
      <c r="Y98">
        <v>23</v>
      </c>
      <c r="Z98">
        <v>25</v>
      </c>
      <c r="AA98">
        <v>26</v>
      </c>
      <c r="AB98">
        <v>25</v>
      </c>
      <c r="AC98">
        <v>23</v>
      </c>
      <c r="AD98">
        <v>28</v>
      </c>
      <c r="AE98">
        <v>29</v>
      </c>
      <c r="AF98">
        <v>29</v>
      </c>
      <c r="AG98">
        <v>27</v>
      </c>
      <c r="AH98">
        <v>25</v>
      </c>
      <c r="AI98">
        <v>24</v>
      </c>
      <c r="AJ98">
        <v>25</v>
      </c>
      <c r="AK98">
        <v>22</v>
      </c>
      <c r="AL98">
        <v>19</v>
      </c>
      <c r="AM98">
        <v>19</v>
      </c>
      <c r="AN98">
        <v>20</v>
      </c>
      <c r="AO98">
        <v>23</v>
      </c>
      <c r="AP98">
        <v>20</v>
      </c>
      <c r="AQ98">
        <v>19</v>
      </c>
      <c r="AR98">
        <v>18</v>
      </c>
      <c r="AS98">
        <v>18</v>
      </c>
      <c r="AT98">
        <v>19</v>
      </c>
      <c r="AU98">
        <v>16</v>
      </c>
      <c r="AV98">
        <v>18</v>
      </c>
      <c r="AW98">
        <v>20</v>
      </c>
      <c r="AX98">
        <v>20</v>
      </c>
      <c r="AY98">
        <v>19</v>
      </c>
      <c r="AZ98">
        <v>21</v>
      </c>
      <c r="BA98">
        <v>17</v>
      </c>
      <c r="BB98">
        <v>14</v>
      </c>
      <c r="BC98">
        <v>20</v>
      </c>
      <c r="BD98">
        <v>17</v>
      </c>
    </row>
    <row r="99" spans="1:56" x14ac:dyDescent="0.25">
      <c r="A99" t="s">
        <v>4261</v>
      </c>
      <c r="B99" t="s">
        <v>38</v>
      </c>
      <c r="C99" t="s">
        <v>109</v>
      </c>
      <c r="D99">
        <v>3546</v>
      </c>
      <c r="E99">
        <v>23.824000000000002</v>
      </c>
      <c r="F99">
        <v>14</v>
      </c>
      <c r="G99">
        <v>19</v>
      </c>
      <c r="H99">
        <v>21</v>
      </c>
      <c r="I99">
        <v>24</v>
      </c>
      <c r="J99">
        <v>29</v>
      </c>
      <c r="K99">
        <v>25</v>
      </c>
      <c r="L99">
        <v>20</v>
      </c>
      <c r="M99">
        <v>27</v>
      </c>
      <c r="N99">
        <v>29</v>
      </c>
      <c r="O99">
        <v>27</v>
      </c>
      <c r="P99">
        <v>26</v>
      </c>
      <c r="Q99">
        <v>25</v>
      </c>
      <c r="R99">
        <v>26</v>
      </c>
      <c r="S99">
        <v>26</v>
      </c>
      <c r="T99">
        <v>28</v>
      </c>
      <c r="U99">
        <v>25</v>
      </c>
      <c r="V99">
        <v>25</v>
      </c>
      <c r="W99">
        <v>25</v>
      </c>
      <c r="X99">
        <v>27</v>
      </c>
      <c r="Y99">
        <v>27</v>
      </c>
      <c r="Z99">
        <v>27</v>
      </c>
      <c r="AA99">
        <v>29</v>
      </c>
      <c r="AB99">
        <v>28</v>
      </c>
      <c r="AC99">
        <v>30</v>
      </c>
      <c r="AD99">
        <v>30</v>
      </c>
      <c r="AE99">
        <v>30</v>
      </c>
      <c r="AF99">
        <v>29</v>
      </c>
      <c r="AG99">
        <v>29</v>
      </c>
      <c r="AH99">
        <v>28</v>
      </c>
      <c r="AI99">
        <v>27</v>
      </c>
      <c r="AJ99">
        <v>26</v>
      </c>
      <c r="AK99">
        <v>25</v>
      </c>
      <c r="AL99">
        <v>23</v>
      </c>
      <c r="AM99">
        <v>23</v>
      </c>
      <c r="AN99">
        <v>24</v>
      </c>
      <c r="AO99">
        <v>28</v>
      </c>
      <c r="AP99">
        <v>25</v>
      </c>
      <c r="AQ99">
        <v>22</v>
      </c>
      <c r="AR99">
        <v>20</v>
      </c>
      <c r="AS99">
        <v>21</v>
      </c>
      <c r="AT99">
        <v>22</v>
      </c>
      <c r="AU99">
        <v>18</v>
      </c>
      <c r="AV99">
        <v>19</v>
      </c>
      <c r="AW99">
        <v>19</v>
      </c>
      <c r="AX99">
        <v>17</v>
      </c>
      <c r="AY99">
        <v>18</v>
      </c>
      <c r="AZ99">
        <v>17</v>
      </c>
      <c r="BA99">
        <v>17</v>
      </c>
      <c r="BB99">
        <v>17</v>
      </c>
      <c r="BC99">
        <v>16</v>
      </c>
      <c r="BD99">
        <v>16</v>
      </c>
    </row>
    <row r="100" spans="1:56" x14ac:dyDescent="0.25">
      <c r="A100" t="s">
        <v>4262</v>
      </c>
      <c r="B100" t="s">
        <v>137</v>
      </c>
      <c r="C100" t="s">
        <v>109</v>
      </c>
      <c r="D100">
        <v>1740</v>
      </c>
      <c r="E100">
        <v>26.667000000000002</v>
      </c>
      <c r="F100">
        <v>14</v>
      </c>
      <c r="G100">
        <v>21</v>
      </c>
      <c r="H100">
        <v>23</v>
      </c>
      <c r="I100">
        <v>26</v>
      </c>
      <c r="J100">
        <v>33</v>
      </c>
      <c r="K100">
        <v>28</v>
      </c>
      <c r="L100">
        <v>20</v>
      </c>
      <c r="M100">
        <v>29</v>
      </c>
      <c r="N100">
        <v>33</v>
      </c>
      <c r="O100">
        <v>30</v>
      </c>
      <c r="P100">
        <v>29</v>
      </c>
      <c r="Q100">
        <v>28</v>
      </c>
      <c r="R100">
        <v>29</v>
      </c>
      <c r="S100">
        <v>29</v>
      </c>
      <c r="T100">
        <v>31</v>
      </c>
      <c r="U100">
        <v>29</v>
      </c>
      <c r="V100">
        <v>29</v>
      </c>
      <c r="W100">
        <v>28</v>
      </c>
      <c r="X100">
        <v>29</v>
      </c>
      <c r="Y100">
        <v>30</v>
      </c>
      <c r="Z100">
        <v>30</v>
      </c>
      <c r="AA100">
        <v>32</v>
      </c>
      <c r="AB100">
        <v>32</v>
      </c>
      <c r="AC100">
        <v>33</v>
      </c>
      <c r="AD100">
        <v>33</v>
      </c>
      <c r="AE100">
        <v>34</v>
      </c>
      <c r="AF100">
        <v>33</v>
      </c>
      <c r="AG100">
        <v>33</v>
      </c>
      <c r="AH100">
        <v>33</v>
      </c>
      <c r="AI100">
        <v>31</v>
      </c>
      <c r="AJ100">
        <v>29</v>
      </c>
      <c r="AK100">
        <v>27</v>
      </c>
      <c r="AL100">
        <v>26</v>
      </c>
      <c r="AM100">
        <v>27</v>
      </c>
      <c r="AN100">
        <v>27</v>
      </c>
      <c r="AO100">
        <v>33</v>
      </c>
      <c r="AP100">
        <v>29</v>
      </c>
      <c r="AQ100">
        <v>25</v>
      </c>
      <c r="AR100">
        <v>24</v>
      </c>
      <c r="AS100">
        <v>24</v>
      </c>
      <c r="AT100">
        <v>25</v>
      </c>
      <c r="AU100">
        <v>21</v>
      </c>
      <c r="AV100">
        <v>20</v>
      </c>
      <c r="AW100">
        <v>21</v>
      </c>
      <c r="AX100">
        <v>19</v>
      </c>
      <c r="AY100">
        <v>19</v>
      </c>
      <c r="AZ100">
        <v>18</v>
      </c>
      <c r="BA100">
        <v>18</v>
      </c>
      <c r="BB100">
        <v>18</v>
      </c>
      <c r="BC100">
        <v>19</v>
      </c>
      <c r="BD100">
        <v>19</v>
      </c>
    </row>
    <row r="101" spans="1:56" x14ac:dyDescent="0.25">
      <c r="A101" t="s">
        <v>4263</v>
      </c>
      <c r="B101" t="s">
        <v>138</v>
      </c>
      <c r="C101" t="s">
        <v>109</v>
      </c>
      <c r="D101">
        <v>1806</v>
      </c>
      <c r="E101">
        <v>20.745000000000001</v>
      </c>
      <c r="F101">
        <v>12</v>
      </c>
      <c r="G101">
        <v>17</v>
      </c>
      <c r="H101">
        <v>17</v>
      </c>
      <c r="I101">
        <v>22</v>
      </c>
      <c r="J101">
        <v>23</v>
      </c>
      <c r="K101">
        <v>22</v>
      </c>
      <c r="L101">
        <v>21</v>
      </c>
      <c r="M101">
        <v>26</v>
      </c>
      <c r="N101">
        <v>25</v>
      </c>
      <c r="O101">
        <v>25</v>
      </c>
      <c r="P101">
        <v>23</v>
      </c>
      <c r="Q101">
        <v>24</v>
      </c>
      <c r="R101">
        <v>22</v>
      </c>
      <c r="S101">
        <v>23</v>
      </c>
      <c r="T101">
        <v>25</v>
      </c>
      <c r="U101">
        <v>23</v>
      </c>
      <c r="V101">
        <v>20</v>
      </c>
      <c r="W101">
        <v>22</v>
      </c>
      <c r="X101">
        <v>24</v>
      </c>
      <c r="Y101">
        <v>23</v>
      </c>
      <c r="Z101">
        <v>22</v>
      </c>
      <c r="AA101">
        <v>25</v>
      </c>
      <c r="AB101">
        <v>24</v>
      </c>
      <c r="AC101">
        <v>25</v>
      </c>
      <c r="AD101">
        <v>27</v>
      </c>
      <c r="AE101">
        <v>25</v>
      </c>
      <c r="AF101">
        <v>24</v>
      </c>
      <c r="AG101">
        <v>23</v>
      </c>
      <c r="AH101">
        <v>23</v>
      </c>
      <c r="AI101">
        <v>23</v>
      </c>
      <c r="AJ101">
        <v>23</v>
      </c>
      <c r="AK101">
        <v>23</v>
      </c>
      <c r="AL101">
        <v>20</v>
      </c>
      <c r="AM101">
        <v>21</v>
      </c>
      <c r="AN101">
        <v>21</v>
      </c>
      <c r="AO101">
        <v>23</v>
      </c>
      <c r="AP101">
        <v>23</v>
      </c>
      <c r="AQ101">
        <v>19</v>
      </c>
      <c r="AR101">
        <v>17</v>
      </c>
      <c r="AS101">
        <v>17</v>
      </c>
      <c r="AT101">
        <v>19</v>
      </c>
      <c r="AU101">
        <v>14</v>
      </c>
      <c r="AV101">
        <v>17</v>
      </c>
      <c r="AW101">
        <v>17</v>
      </c>
      <c r="AX101">
        <v>15</v>
      </c>
      <c r="AY101">
        <v>16</v>
      </c>
      <c r="AZ101">
        <v>15</v>
      </c>
      <c r="BA101">
        <v>15</v>
      </c>
      <c r="BB101">
        <v>16</v>
      </c>
      <c r="BC101">
        <v>14</v>
      </c>
      <c r="BD101">
        <v>13</v>
      </c>
    </row>
    <row r="102" spans="1:56" x14ac:dyDescent="0.25">
      <c r="A102" t="s">
        <v>4264</v>
      </c>
      <c r="B102" t="s">
        <v>139</v>
      </c>
      <c r="C102" t="s">
        <v>109</v>
      </c>
      <c r="D102">
        <v>7988</v>
      </c>
      <c r="E102">
        <v>23.922000000000001</v>
      </c>
      <c r="F102">
        <v>16</v>
      </c>
      <c r="G102">
        <v>21</v>
      </c>
      <c r="H102">
        <v>24</v>
      </c>
      <c r="I102">
        <v>27</v>
      </c>
      <c r="J102">
        <v>32</v>
      </c>
      <c r="K102">
        <v>28</v>
      </c>
      <c r="L102">
        <v>21</v>
      </c>
      <c r="M102">
        <v>27</v>
      </c>
      <c r="N102">
        <v>26</v>
      </c>
      <c r="O102">
        <v>24</v>
      </c>
      <c r="P102">
        <v>25</v>
      </c>
      <c r="Q102">
        <v>23</v>
      </c>
      <c r="R102">
        <v>25</v>
      </c>
      <c r="S102">
        <v>26</v>
      </c>
      <c r="T102">
        <v>25</v>
      </c>
      <c r="U102">
        <v>24</v>
      </c>
      <c r="V102">
        <v>25</v>
      </c>
      <c r="W102">
        <v>24</v>
      </c>
      <c r="X102">
        <v>26</v>
      </c>
      <c r="Y102">
        <v>26</v>
      </c>
      <c r="Z102">
        <v>26</v>
      </c>
      <c r="AA102">
        <v>27</v>
      </c>
      <c r="AB102">
        <v>28</v>
      </c>
      <c r="AC102">
        <v>27</v>
      </c>
      <c r="AD102">
        <v>28</v>
      </c>
      <c r="AE102">
        <v>30</v>
      </c>
      <c r="AF102">
        <v>29</v>
      </c>
      <c r="AG102">
        <v>29</v>
      </c>
      <c r="AH102">
        <v>30</v>
      </c>
      <c r="AI102">
        <v>28</v>
      </c>
      <c r="AJ102">
        <v>25</v>
      </c>
      <c r="AK102">
        <v>26</v>
      </c>
      <c r="AL102">
        <v>22</v>
      </c>
      <c r="AM102">
        <v>22</v>
      </c>
      <c r="AN102">
        <v>22</v>
      </c>
      <c r="AO102">
        <v>25</v>
      </c>
      <c r="AP102">
        <v>25</v>
      </c>
      <c r="AQ102">
        <v>23</v>
      </c>
      <c r="AR102">
        <v>20</v>
      </c>
      <c r="AS102">
        <v>21</v>
      </c>
      <c r="AT102">
        <v>20</v>
      </c>
      <c r="AU102">
        <v>20</v>
      </c>
      <c r="AV102">
        <v>19</v>
      </c>
      <c r="AW102">
        <v>19</v>
      </c>
      <c r="AX102">
        <v>19</v>
      </c>
      <c r="AY102">
        <v>19</v>
      </c>
      <c r="AZ102">
        <v>19</v>
      </c>
      <c r="BA102">
        <v>20</v>
      </c>
      <c r="BB102">
        <v>19</v>
      </c>
      <c r="BC102">
        <v>19</v>
      </c>
      <c r="BD102">
        <v>19</v>
      </c>
    </row>
    <row r="103" spans="1:56" x14ac:dyDescent="0.25">
      <c r="A103" t="s">
        <v>4265</v>
      </c>
      <c r="B103" t="s">
        <v>140</v>
      </c>
      <c r="C103" t="s">
        <v>109</v>
      </c>
      <c r="D103">
        <v>1027</v>
      </c>
      <c r="E103">
        <v>22.686</v>
      </c>
      <c r="F103">
        <v>19</v>
      </c>
      <c r="G103">
        <v>26</v>
      </c>
      <c r="H103">
        <v>28</v>
      </c>
      <c r="I103">
        <v>33</v>
      </c>
      <c r="J103">
        <v>36</v>
      </c>
      <c r="K103">
        <v>29</v>
      </c>
      <c r="L103">
        <v>17</v>
      </c>
      <c r="M103">
        <v>32</v>
      </c>
      <c r="N103">
        <v>27</v>
      </c>
      <c r="O103">
        <v>21</v>
      </c>
      <c r="P103">
        <v>20</v>
      </c>
      <c r="Q103">
        <v>19</v>
      </c>
      <c r="R103">
        <v>23</v>
      </c>
      <c r="S103">
        <v>25</v>
      </c>
      <c r="T103">
        <v>25</v>
      </c>
      <c r="U103">
        <v>23</v>
      </c>
      <c r="V103">
        <v>21</v>
      </c>
      <c r="W103">
        <v>20</v>
      </c>
      <c r="X103">
        <v>24</v>
      </c>
      <c r="Y103">
        <v>23</v>
      </c>
      <c r="Z103">
        <v>25</v>
      </c>
      <c r="AA103">
        <v>23</v>
      </c>
      <c r="AB103">
        <v>26</v>
      </c>
      <c r="AC103">
        <v>25</v>
      </c>
      <c r="AD103">
        <v>29</v>
      </c>
      <c r="AE103">
        <v>29</v>
      </c>
      <c r="AF103">
        <v>28</v>
      </c>
      <c r="AG103">
        <v>27</v>
      </c>
      <c r="AH103">
        <v>28</v>
      </c>
      <c r="AI103">
        <v>26</v>
      </c>
      <c r="AJ103">
        <v>21</v>
      </c>
      <c r="AK103">
        <v>23</v>
      </c>
      <c r="AL103">
        <v>21</v>
      </c>
      <c r="AM103">
        <v>18</v>
      </c>
      <c r="AN103">
        <v>19</v>
      </c>
      <c r="AO103">
        <v>26</v>
      </c>
      <c r="AP103">
        <v>23</v>
      </c>
      <c r="AQ103">
        <v>20</v>
      </c>
      <c r="AR103">
        <v>21</v>
      </c>
      <c r="AS103">
        <v>20</v>
      </c>
      <c r="AT103">
        <v>18</v>
      </c>
      <c r="AU103">
        <v>16</v>
      </c>
      <c r="AV103">
        <v>15</v>
      </c>
      <c r="AW103">
        <v>17</v>
      </c>
      <c r="AX103">
        <v>13</v>
      </c>
      <c r="AY103">
        <v>17</v>
      </c>
      <c r="AZ103">
        <v>18</v>
      </c>
      <c r="BA103">
        <v>18</v>
      </c>
      <c r="BB103">
        <v>17</v>
      </c>
      <c r="BC103">
        <v>17</v>
      </c>
      <c r="BD103">
        <v>22</v>
      </c>
    </row>
    <row r="104" spans="1:56" x14ac:dyDescent="0.25">
      <c r="A104" t="s">
        <v>4266</v>
      </c>
      <c r="B104" t="s">
        <v>141</v>
      </c>
      <c r="C104" t="s">
        <v>109</v>
      </c>
      <c r="D104">
        <v>503</v>
      </c>
      <c r="E104">
        <v>16.588000000000001</v>
      </c>
      <c r="F104">
        <v>10</v>
      </c>
      <c r="G104">
        <v>13</v>
      </c>
      <c r="H104">
        <v>17</v>
      </c>
      <c r="I104">
        <v>22</v>
      </c>
      <c r="J104">
        <v>25</v>
      </c>
      <c r="K104">
        <v>18</v>
      </c>
      <c r="L104">
        <v>10</v>
      </c>
      <c r="M104">
        <v>21</v>
      </c>
      <c r="N104">
        <v>18</v>
      </c>
      <c r="O104">
        <v>12</v>
      </c>
      <c r="P104">
        <v>14</v>
      </c>
      <c r="Q104">
        <v>13</v>
      </c>
      <c r="R104">
        <v>18</v>
      </c>
      <c r="S104">
        <v>17</v>
      </c>
      <c r="T104">
        <v>18</v>
      </c>
      <c r="U104">
        <v>15</v>
      </c>
      <c r="V104">
        <v>14</v>
      </c>
      <c r="W104">
        <v>16</v>
      </c>
      <c r="X104">
        <v>19</v>
      </c>
      <c r="Y104">
        <v>17</v>
      </c>
      <c r="Z104">
        <v>18</v>
      </c>
      <c r="AA104">
        <v>19</v>
      </c>
      <c r="AB104">
        <v>24</v>
      </c>
      <c r="AC104">
        <v>19</v>
      </c>
      <c r="AD104">
        <v>20</v>
      </c>
      <c r="AE104">
        <v>22</v>
      </c>
      <c r="AF104">
        <v>21</v>
      </c>
      <c r="AG104">
        <v>21</v>
      </c>
      <c r="AH104">
        <v>21</v>
      </c>
      <c r="AI104">
        <v>20</v>
      </c>
      <c r="AJ104">
        <v>19</v>
      </c>
      <c r="AK104">
        <v>20</v>
      </c>
      <c r="AL104">
        <v>17</v>
      </c>
      <c r="AM104">
        <v>15</v>
      </c>
      <c r="AN104">
        <v>15</v>
      </c>
      <c r="AO104">
        <v>18</v>
      </c>
      <c r="AP104">
        <v>15</v>
      </c>
      <c r="AQ104">
        <v>14</v>
      </c>
      <c r="AR104">
        <v>17</v>
      </c>
      <c r="AS104">
        <v>16</v>
      </c>
      <c r="AT104">
        <v>17</v>
      </c>
      <c r="AU104">
        <v>12</v>
      </c>
      <c r="AV104">
        <v>12</v>
      </c>
      <c r="AW104">
        <v>14</v>
      </c>
      <c r="AX104">
        <v>10</v>
      </c>
      <c r="AY104">
        <v>14</v>
      </c>
      <c r="AZ104">
        <v>13</v>
      </c>
      <c r="BA104">
        <v>14</v>
      </c>
      <c r="BB104">
        <v>12</v>
      </c>
      <c r="BC104">
        <v>14</v>
      </c>
      <c r="BD104">
        <v>16</v>
      </c>
    </row>
    <row r="105" spans="1:56" x14ac:dyDescent="0.25">
      <c r="A105" t="s">
        <v>4267</v>
      </c>
      <c r="B105" t="s">
        <v>142</v>
      </c>
      <c r="C105" t="s">
        <v>109</v>
      </c>
      <c r="D105">
        <v>472</v>
      </c>
      <c r="E105">
        <v>28.745000000000001</v>
      </c>
      <c r="F105">
        <v>21</v>
      </c>
      <c r="G105">
        <v>34</v>
      </c>
      <c r="H105">
        <v>35</v>
      </c>
      <c r="I105">
        <v>42</v>
      </c>
      <c r="J105">
        <v>46</v>
      </c>
      <c r="K105">
        <v>38</v>
      </c>
      <c r="L105">
        <v>23</v>
      </c>
      <c r="M105">
        <v>43</v>
      </c>
      <c r="N105">
        <v>38</v>
      </c>
      <c r="O105">
        <v>32</v>
      </c>
      <c r="P105">
        <v>28</v>
      </c>
      <c r="Q105">
        <v>26</v>
      </c>
      <c r="R105">
        <v>28</v>
      </c>
      <c r="S105">
        <v>32</v>
      </c>
      <c r="T105">
        <v>33</v>
      </c>
      <c r="U105">
        <v>33</v>
      </c>
      <c r="V105">
        <v>29</v>
      </c>
      <c r="W105">
        <v>28</v>
      </c>
      <c r="X105">
        <v>28</v>
      </c>
      <c r="Y105">
        <v>30</v>
      </c>
      <c r="Z105">
        <v>32</v>
      </c>
      <c r="AA105">
        <v>29</v>
      </c>
      <c r="AB105">
        <v>29</v>
      </c>
      <c r="AC105">
        <v>33</v>
      </c>
      <c r="AD105">
        <v>38</v>
      </c>
      <c r="AE105">
        <v>38</v>
      </c>
      <c r="AF105">
        <v>35</v>
      </c>
      <c r="AG105">
        <v>35</v>
      </c>
      <c r="AH105">
        <v>36</v>
      </c>
      <c r="AI105">
        <v>32</v>
      </c>
      <c r="AJ105">
        <v>23</v>
      </c>
      <c r="AK105">
        <v>26</v>
      </c>
      <c r="AL105">
        <v>24</v>
      </c>
      <c r="AM105">
        <v>21</v>
      </c>
      <c r="AN105">
        <v>24</v>
      </c>
      <c r="AO105">
        <v>33</v>
      </c>
      <c r="AP105">
        <v>31</v>
      </c>
      <c r="AQ105">
        <v>26</v>
      </c>
      <c r="AR105">
        <v>27</v>
      </c>
      <c r="AS105">
        <v>25</v>
      </c>
      <c r="AT105">
        <v>21</v>
      </c>
      <c r="AU105">
        <v>19</v>
      </c>
      <c r="AV105">
        <v>17</v>
      </c>
      <c r="AW105">
        <v>19</v>
      </c>
      <c r="AX105">
        <v>17</v>
      </c>
      <c r="AY105">
        <v>19</v>
      </c>
      <c r="AZ105">
        <v>21</v>
      </c>
      <c r="BA105">
        <v>22</v>
      </c>
      <c r="BB105">
        <v>21</v>
      </c>
      <c r="BC105">
        <v>19</v>
      </c>
      <c r="BD105">
        <v>27</v>
      </c>
    </row>
    <row r="106" spans="1:56" x14ac:dyDescent="0.25">
      <c r="A106" t="s">
        <v>4268</v>
      </c>
      <c r="B106" t="s">
        <v>143</v>
      </c>
      <c r="C106" t="s">
        <v>109</v>
      </c>
      <c r="D106">
        <v>1553</v>
      </c>
      <c r="E106">
        <v>13.725</v>
      </c>
      <c r="F106">
        <v>9</v>
      </c>
      <c r="G106">
        <v>10</v>
      </c>
      <c r="H106">
        <v>9</v>
      </c>
      <c r="I106">
        <v>11</v>
      </c>
      <c r="J106">
        <v>15</v>
      </c>
      <c r="K106">
        <v>14</v>
      </c>
      <c r="L106">
        <v>11</v>
      </c>
      <c r="M106">
        <v>17</v>
      </c>
      <c r="N106">
        <v>16</v>
      </c>
      <c r="O106">
        <v>14</v>
      </c>
      <c r="P106">
        <v>16</v>
      </c>
      <c r="Q106">
        <v>15</v>
      </c>
      <c r="R106">
        <v>15</v>
      </c>
      <c r="S106">
        <v>15</v>
      </c>
      <c r="T106">
        <v>16</v>
      </c>
      <c r="U106">
        <v>14</v>
      </c>
      <c r="V106">
        <v>14</v>
      </c>
      <c r="W106">
        <v>14</v>
      </c>
      <c r="X106">
        <v>16</v>
      </c>
      <c r="Y106">
        <v>14</v>
      </c>
      <c r="Z106">
        <v>17</v>
      </c>
      <c r="AA106">
        <v>19</v>
      </c>
      <c r="AB106">
        <v>18</v>
      </c>
      <c r="AC106">
        <v>17</v>
      </c>
      <c r="AD106">
        <v>17</v>
      </c>
      <c r="AE106">
        <v>15</v>
      </c>
      <c r="AF106">
        <v>15</v>
      </c>
      <c r="AG106">
        <v>19</v>
      </c>
      <c r="AH106">
        <v>17</v>
      </c>
      <c r="AI106">
        <v>16</v>
      </c>
      <c r="AJ106">
        <v>14</v>
      </c>
      <c r="AK106">
        <v>14</v>
      </c>
      <c r="AL106">
        <v>13</v>
      </c>
      <c r="AM106">
        <v>13</v>
      </c>
      <c r="AN106">
        <v>11</v>
      </c>
      <c r="AO106">
        <v>14</v>
      </c>
      <c r="AP106">
        <v>14</v>
      </c>
      <c r="AQ106">
        <v>12</v>
      </c>
      <c r="AR106">
        <v>10</v>
      </c>
      <c r="AS106">
        <v>11</v>
      </c>
      <c r="AT106">
        <v>11</v>
      </c>
      <c r="AU106">
        <v>11</v>
      </c>
      <c r="AV106">
        <v>11</v>
      </c>
      <c r="AW106">
        <v>11</v>
      </c>
      <c r="AX106">
        <v>11</v>
      </c>
      <c r="AY106">
        <v>13</v>
      </c>
      <c r="AZ106">
        <v>11</v>
      </c>
      <c r="BA106">
        <v>13</v>
      </c>
      <c r="BB106">
        <v>12</v>
      </c>
      <c r="BC106">
        <v>12</v>
      </c>
      <c r="BD106">
        <v>13</v>
      </c>
    </row>
    <row r="107" spans="1:56" x14ac:dyDescent="0.25">
      <c r="A107" t="s">
        <v>4269</v>
      </c>
      <c r="B107" t="s">
        <v>144</v>
      </c>
      <c r="C107" t="s">
        <v>109</v>
      </c>
      <c r="D107">
        <v>1012</v>
      </c>
      <c r="E107">
        <v>12.471</v>
      </c>
      <c r="F107">
        <v>9</v>
      </c>
      <c r="G107">
        <v>11</v>
      </c>
      <c r="H107">
        <v>10</v>
      </c>
      <c r="I107">
        <v>11</v>
      </c>
      <c r="J107">
        <v>15</v>
      </c>
      <c r="K107">
        <v>13</v>
      </c>
      <c r="L107">
        <v>10</v>
      </c>
      <c r="M107">
        <v>13</v>
      </c>
      <c r="N107">
        <v>16</v>
      </c>
      <c r="O107">
        <v>13</v>
      </c>
      <c r="P107">
        <v>14</v>
      </c>
      <c r="Q107">
        <v>15</v>
      </c>
      <c r="R107">
        <v>13</v>
      </c>
      <c r="S107">
        <v>12</v>
      </c>
      <c r="T107">
        <v>15</v>
      </c>
      <c r="U107">
        <v>13</v>
      </c>
      <c r="V107">
        <v>12</v>
      </c>
      <c r="W107">
        <v>13</v>
      </c>
      <c r="X107">
        <v>15</v>
      </c>
      <c r="Y107">
        <v>13</v>
      </c>
      <c r="Z107">
        <v>17</v>
      </c>
      <c r="AA107">
        <v>18</v>
      </c>
      <c r="AB107">
        <v>18</v>
      </c>
      <c r="AC107">
        <v>15</v>
      </c>
      <c r="AD107">
        <v>17</v>
      </c>
      <c r="AE107">
        <v>13</v>
      </c>
      <c r="AF107">
        <v>13</v>
      </c>
      <c r="AG107">
        <v>17</v>
      </c>
      <c r="AH107">
        <v>15</v>
      </c>
      <c r="AI107">
        <v>15</v>
      </c>
      <c r="AJ107">
        <v>13</v>
      </c>
      <c r="AK107">
        <v>13</v>
      </c>
      <c r="AL107">
        <v>12</v>
      </c>
      <c r="AM107">
        <v>12</v>
      </c>
      <c r="AN107">
        <v>10</v>
      </c>
      <c r="AO107">
        <v>13</v>
      </c>
      <c r="AP107">
        <v>12</v>
      </c>
      <c r="AQ107">
        <v>11</v>
      </c>
      <c r="AR107">
        <v>8</v>
      </c>
      <c r="AS107">
        <v>9</v>
      </c>
      <c r="AT107">
        <v>9</v>
      </c>
      <c r="AU107">
        <v>10</v>
      </c>
      <c r="AV107">
        <v>9</v>
      </c>
      <c r="AW107">
        <v>8</v>
      </c>
      <c r="AX107">
        <v>9</v>
      </c>
      <c r="AY107">
        <v>12</v>
      </c>
      <c r="AZ107">
        <v>8</v>
      </c>
      <c r="BA107">
        <v>11</v>
      </c>
      <c r="BB107">
        <v>11</v>
      </c>
      <c r="BC107">
        <v>11</v>
      </c>
      <c r="BD107">
        <v>11</v>
      </c>
    </row>
    <row r="108" spans="1:56" x14ac:dyDescent="0.25">
      <c r="A108" t="s">
        <v>4270</v>
      </c>
      <c r="B108" t="s">
        <v>145</v>
      </c>
      <c r="C108" t="s">
        <v>109</v>
      </c>
      <c r="D108">
        <v>541</v>
      </c>
      <c r="E108">
        <v>16.137</v>
      </c>
      <c r="F108">
        <v>8</v>
      </c>
      <c r="G108">
        <v>9</v>
      </c>
      <c r="H108">
        <v>9</v>
      </c>
      <c r="I108">
        <v>11</v>
      </c>
      <c r="J108">
        <v>15</v>
      </c>
      <c r="K108">
        <v>16</v>
      </c>
      <c r="L108">
        <v>13</v>
      </c>
      <c r="M108">
        <v>24</v>
      </c>
      <c r="N108">
        <v>18</v>
      </c>
      <c r="O108">
        <v>16</v>
      </c>
      <c r="P108">
        <v>19</v>
      </c>
      <c r="Q108">
        <v>16</v>
      </c>
      <c r="R108">
        <v>18</v>
      </c>
      <c r="S108">
        <v>20</v>
      </c>
      <c r="T108">
        <v>19</v>
      </c>
      <c r="U108">
        <v>17</v>
      </c>
      <c r="V108">
        <v>17</v>
      </c>
      <c r="W108">
        <v>17</v>
      </c>
      <c r="X108">
        <v>18</v>
      </c>
      <c r="Y108">
        <v>18</v>
      </c>
      <c r="Z108">
        <v>16</v>
      </c>
      <c r="AA108">
        <v>20</v>
      </c>
      <c r="AB108">
        <v>17</v>
      </c>
      <c r="AC108">
        <v>19</v>
      </c>
      <c r="AD108">
        <v>18</v>
      </c>
      <c r="AE108">
        <v>19</v>
      </c>
      <c r="AF108">
        <v>18</v>
      </c>
      <c r="AG108">
        <v>22</v>
      </c>
      <c r="AH108">
        <v>19</v>
      </c>
      <c r="AI108">
        <v>16</v>
      </c>
      <c r="AJ108">
        <v>17</v>
      </c>
      <c r="AK108">
        <v>18</v>
      </c>
      <c r="AL108">
        <v>16</v>
      </c>
      <c r="AM108">
        <v>16</v>
      </c>
      <c r="AN108">
        <v>13</v>
      </c>
      <c r="AO108">
        <v>16</v>
      </c>
      <c r="AP108">
        <v>18</v>
      </c>
      <c r="AQ108">
        <v>15</v>
      </c>
      <c r="AR108">
        <v>14</v>
      </c>
      <c r="AS108">
        <v>14</v>
      </c>
      <c r="AT108">
        <v>14</v>
      </c>
      <c r="AU108">
        <v>13</v>
      </c>
      <c r="AV108">
        <v>15</v>
      </c>
      <c r="AW108">
        <v>16</v>
      </c>
      <c r="AX108">
        <v>15</v>
      </c>
      <c r="AY108">
        <v>15</v>
      </c>
      <c r="AZ108">
        <v>17</v>
      </c>
      <c r="BA108">
        <v>16</v>
      </c>
      <c r="BB108">
        <v>14</v>
      </c>
      <c r="BC108">
        <v>14</v>
      </c>
      <c r="BD108">
        <v>15</v>
      </c>
    </row>
    <row r="109" spans="1:56" x14ac:dyDescent="0.25">
      <c r="A109" t="s">
        <v>4271</v>
      </c>
      <c r="B109" t="s">
        <v>146</v>
      </c>
      <c r="C109" t="s">
        <v>109</v>
      </c>
      <c r="D109">
        <v>62</v>
      </c>
      <c r="E109">
        <v>13.275</v>
      </c>
      <c r="F109">
        <v>5</v>
      </c>
      <c r="G109">
        <v>13</v>
      </c>
      <c r="H109">
        <v>15</v>
      </c>
      <c r="I109">
        <v>21</v>
      </c>
      <c r="J109">
        <v>14</v>
      </c>
      <c r="K109">
        <v>12</v>
      </c>
      <c r="L109">
        <v>16</v>
      </c>
      <c r="M109">
        <v>13</v>
      </c>
      <c r="N109">
        <v>17</v>
      </c>
      <c r="O109">
        <v>22</v>
      </c>
      <c r="P109">
        <v>7</v>
      </c>
      <c r="Q109">
        <v>10</v>
      </c>
      <c r="R109">
        <v>14</v>
      </c>
      <c r="S109">
        <v>15</v>
      </c>
      <c r="T109">
        <v>15</v>
      </c>
      <c r="U109">
        <v>18</v>
      </c>
      <c r="V109">
        <v>9</v>
      </c>
      <c r="W109">
        <v>14</v>
      </c>
      <c r="X109">
        <v>13</v>
      </c>
      <c r="Y109">
        <v>23</v>
      </c>
      <c r="Z109">
        <v>20</v>
      </c>
      <c r="AA109">
        <v>17</v>
      </c>
      <c r="AB109">
        <v>14</v>
      </c>
      <c r="AC109">
        <v>23</v>
      </c>
      <c r="AD109">
        <v>13</v>
      </c>
      <c r="AE109">
        <v>20</v>
      </c>
      <c r="AF109">
        <v>10</v>
      </c>
      <c r="AG109">
        <v>15</v>
      </c>
      <c r="AH109">
        <v>18</v>
      </c>
      <c r="AI109">
        <v>19</v>
      </c>
      <c r="AJ109">
        <v>13</v>
      </c>
      <c r="AK109">
        <v>12</v>
      </c>
      <c r="AL109">
        <v>12</v>
      </c>
      <c r="AM109">
        <v>13</v>
      </c>
      <c r="AN109">
        <v>15</v>
      </c>
      <c r="AO109">
        <v>14</v>
      </c>
      <c r="AP109">
        <v>15</v>
      </c>
      <c r="AQ109">
        <v>8</v>
      </c>
      <c r="AR109">
        <v>13</v>
      </c>
      <c r="AS109">
        <v>14</v>
      </c>
      <c r="AT109">
        <v>9</v>
      </c>
      <c r="AU109">
        <v>7</v>
      </c>
      <c r="AV109">
        <v>10</v>
      </c>
      <c r="AW109">
        <v>12</v>
      </c>
      <c r="AX109">
        <v>9</v>
      </c>
      <c r="AY109">
        <v>12</v>
      </c>
      <c r="AZ109">
        <v>3</v>
      </c>
      <c r="BA109">
        <v>7</v>
      </c>
      <c r="BB109">
        <v>10</v>
      </c>
      <c r="BC109">
        <v>6</v>
      </c>
      <c r="BD109">
        <v>8</v>
      </c>
    </row>
    <row r="110" spans="1:56" x14ac:dyDescent="0.25">
      <c r="A110" t="s">
        <v>4272</v>
      </c>
      <c r="B110" t="s">
        <v>147</v>
      </c>
      <c r="C110" t="s">
        <v>109</v>
      </c>
      <c r="D110">
        <v>81</v>
      </c>
      <c r="E110">
        <v>20.391999999999999</v>
      </c>
      <c r="F110">
        <v>13</v>
      </c>
      <c r="G110">
        <v>20</v>
      </c>
      <c r="H110">
        <v>28</v>
      </c>
      <c r="I110">
        <v>17</v>
      </c>
      <c r="J110">
        <v>34</v>
      </c>
      <c r="K110">
        <v>23</v>
      </c>
      <c r="L110">
        <v>16</v>
      </c>
      <c r="M110">
        <v>15</v>
      </c>
      <c r="N110">
        <v>22</v>
      </c>
      <c r="O110">
        <v>27</v>
      </c>
      <c r="P110">
        <v>25</v>
      </c>
      <c r="Q110">
        <v>23</v>
      </c>
      <c r="R110">
        <v>23</v>
      </c>
      <c r="S110">
        <v>25</v>
      </c>
      <c r="T110">
        <v>20</v>
      </c>
      <c r="U110">
        <v>23</v>
      </c>
      <c r="V110">
        <v>26</v>
      </c>
      <c r="W110">
        <v>28</v>
      </c>
      <c r="X110">
        <v>20</v>
      </c>
      <c r="Y110">
        <v>22</v>
      </c>
      <c r="Z110">
        <v>28</v>
      </c>
      <c r="AA110">
        <v>22</v>
      </c>
      <c r="AB110">
        <v>24</v>
      </c>
      <c r="AC110">
        <v>32</v>
      </c>
      <c r="AD110">
        <v>34</v>
      </c>
      <c r="AE110">
        <v>27</v>
      </c>
      <c r="AF110">
        <v>23</v>
      </c>
      <c r="AG110">
        <v>30</v>
      </c>
      <c r="AH110">
        <v>14</v>
      </c>
      <c r="AI110">
        <v>32</v>
      </c>
      <c r="AJ110">
        <v>18</v>
      </c>
      <c r="AK110">
        <v>22</v>
      </c>
      <c r="AL110">
        <v>13</v>
      </c>
      <c r="AM110">
        <v>9</v>
      </c>
      <c r="AN110">
        <v>17</v>
      </c>
      <c r="AO110">
        <v>24</v>
      </c>
      <c r="AP110">
        <v>15</v>
      </c>
      <c r="AQ110">
        <v>16</v>
      </c>
      <c r="AR110">
        <v>17</v>
      </c>
      <c r="AS110">
        <v>13</v>
      </c>
      <c r="AT110">
        <v>12</v>
      </c>
      <c r="AU110">
        <v>12</v>
      </c>
      <c r="AV110">
        <v>18</v>
      </c>
      <c r="AW110">
        <v>15</v>
      </c>
      <c r="AX110">
        <v>14</v>
      </c>
      <c r="AY110">
        <v>18</v>
      </c>
      <c r="AZ110">
        <v>13</v>
      </c>
      <c r="BA110">
        <v>10</v>
      </c>
      <c r="BB110">
        <v>15</v>
      </c>
      <c r="BC110">
        <v>17</v>
      </c>
      <c r="BD110">
        <v>16</v>
      </c>
    </row>
    <row r="111" spans="1:56" x14ac:dyDescent="0.25">
      <c r="A111" t="s">
        <v>4273</v>
      </c>
      <c r="B111" t="s">
        <v>148</v>
      </c>
      <c r="C111" t="s">
        <v>109</v>
      </c>
      <c r="D111">
        <v>564</v>
      </c>
      <c r="E111">
        <v>33.667000000000002</v>
      </c>
      <c r="F111">
        <v>17</v>
      </c>
      <c r="G111">
        <v>25</v>
      </c>
      <c r="H111">
        <v>24</v>
      </c>
      <c r="I111">
        <v>36</v>
      </c>
      <c r="J111">
        <v>46</v>
      </c>
      <c r="K111">
        <v>39</v>
      </c>
      <c r="L111">
        <v>25</v>
      </c>
      <c r="M111">
        <v>36</v>
      </c>
      <c r="N111">
        <v>32</v>
      </c>
      <c r="O111">
        <v>33</v>
      </c>
      <c r="P111">
        <v>38</v>
      </c>
      <c r="Q111">
        <v>29</v>
      </c>
      <c r="R111">
        <v>36</v>
      </c>
      <c r="S111">
        <v>35</v>
      </c>
      <c r="T111">
        <v>35</v>
      </c>
      <c r="U111">
        <v>35</v>
      </c>
      <c r="V111">
        <v>36</v>
      </c>
      <c r="W111">
        <v>35</v>
      </c>
      <c r="X111">
        <v>38</v>
      </c>
      <c r="Y111">
        <v>35</v>
      </c>
      <c r="Z111">
        <v>36</v>
      </c>
      <c r="AA111">
        <v>37</v>
      </c>
      <c r="AB111">
        <v>39</v>
      </c>
      <c r="AC111">
        <v>40</v>
      </c>
      <c r="AD111">
        <v>38</v>
      </c>
      <c r="AE111">
        <v>43</v>
      </c>
      <c r="AF111">
        <v>44</v>
      </c>
      <c r="AG111">
        <v>45</v>
      </c>
      <c r="AH111">
        <v>47</v>
      </c>
      <c r="AI111">
        <v>42</v>
      </c>
      <c r="AJ111">
        <v>37</v>
      </c>
      <c r="AK111">
        <v>43</v>
      </c>
      <c r="AL111">
        <v>30</v>
      </c>
      <c r="AM111">
        <v>34</v>
      </c>
      <c r="AN111">
        <v>34</v>
      </c>
      <c r="AO111">
        <v>36</v>
      </c>
      <c r="AP111">
        <v>40</v>
      </c>
      <c r="AQ111">
        <v>38</v>
      </c>
      <c r="AR111">
        <v>28</v>
      </c>
      <c r="AS111">
        <v>32</v>
      </c>
      <c r="AT111">
        <v>31</v>
      </c>
      <c r="AU111">
        <v>30</v>
      </c>
      <c r="AV111">
        <v>26</v>
      </c>
      <c r="AW111">
        <v>28</v>
      </c>
      <c r="AX111">
        <v>26</v>
      </c>
      <c r="AY111">
        <v>27</v>
      </c>
      <c r="AZ111">
        <v>27</v>
      </c>
      <c r="BA111">
        <v>24</v>
      </c>
      <c r="BB111">
        <v>26</v>
      </c>
      <c r="BC111">
        <v>21</v>
      </c>
      <c r="BD111">
        <v>23</v>
      </c>
    </row>
    <row r="112" spans="1:56" x14ac:dyDescent="0.25">
      <c r="A112" t="s">
        <v>4274</v>
      </c>
      <c r="B112" t="s">
        <v>149</v>
      </c>
      <c r="C112" t="s">
        <v>109</v>
      </c>
      <c r="D112">
        <v>48</v>
      </c>
      <c r="E112">
        <v>34.588000000000001</v>
      </c>
      <c r="F112">
        <v>14</v>
      </c>
      <c r="G112">
        <v>45</v>
      </c>
      <c r="H112">
        <v>36</v>
      </c>
      <c r="I112">
        <v>43</v>
      </c>
      <c r="J112">
        <v>40</v>
      </c>
      <c r="K112">
        <v>45</v>
      </c>
      <c r="L112">
        <v>35</v>
      </c>
      <c r="M112">
        <v>37</v>
      </c>
      <c r="N112">
        <v>48</v>
      </c>
      <c r="O112">
        <v>37</v>
      </c>
      <c r="P112">
        <v>39</v>
      </c>
      <c r="Q112">
        <v>35</v>
      </c>
      <c r="R112">
        <v>33</v>
      </c>
      <c r="S112">
        <v>39</v>
      </c>
      <c r="T112">
        <v>40</v>
      </c>
      <c r="U112">
        <v>43</v>
      </c>
      <c r="V112">
        <v>46</v>
      </c>
      <c r="W112">
        <v>38</v>
      </c>
      <c r="X112">
        <v>39</v>
      </c>
      <c r="Y112">
        <v>47</v>
      </c>
      <c r="Z112">
        <v>35</v>
      </c>
      <c r="AA112">
        <v>42</v>
      </c>
      <c r="AB112">
        <v>42</v>
      </c>
      <c r="AC112">
        <v>40</v>
      </c>
      <c r="AD112">
        <v>46</v>
      </c>
      <c r="AE112">
        <v>46</v>
      </c>
      <c r="AF112">
        <v>41</v>
      </c>
      <c r="AG112">
        <v>40</v>
      </c>
      <c r="AH112">
        <v>37</v>
      </c>
      <c r="AI112">
        <v>39</v>
      </c>
      <c r="AJ112">
        <v>28</v>
      </c>
      <c r="AK112">
        <v>30</v>
      </c>
      <c r="AL112">
        <v>20</v>
      </c>
      <c r="AM112">
        <v>32</v>
      </c>
      <c r="AN112">
        <v>24</v>
      </c>
      <c r="AO112">
        <v>33</v>
      </c>
      <c r="AP112">
        <v>37</v>
      </c>
      <c r="AQ112">
        <v>22</v>
      </c>
      <c r="AR112">
        <v>32</v>
      </c>
      <c r="AS112">
        <v>32</v>
      </c>
      <c r="AT112">
        <v>32</v>
      </c>
      <c r="AU112">
        <v>39</v>
      </c>
      <c r="AV112">
        <v>27</v>
      </c>
      <c r="AW112">
        <v>25</v>
      </c>
      <c r="AX112">
        <v>23</v>
      </c>
      <c r="AY112">
        <v>25</v>
      </c>
      <c r="AZ112">
        <v>21</v>
      </c>
      <c r="BA112">
        <v>28</v>
      </c>
      <c r="BB112">
        <v>22</v>
      </c>
      <c r="BC112">
        <v>12</v>
      </c>
      <c r="BD112">
        <v>33</v>
      </c>
    </row>
    <row r="113" spans="1:56" x14ac:dyDescent="0.25">
      <c r="A113" t="s">
        <v>4275</v>
      </c>
      <c r="B113" t="s">
        <v>150</v>
      </c>
      <c r="C113" t="s">
        <v>109</v>
      </c>
      <c r="D113">
        <v>769</v>
      </c>
      <c r="E113">
        <v>15.333</v>
      </c>
      <c r="F113">
        <v>10</v>
      </c>
      <c r="G113">
        <v>13</v>
      </c>
      <c r="H113">
        <v>18</v>
      </c>
      <c r="I113">
        <v>16</v>
      </c>
      <c r="J113">
        <v>20</v>
      </c>
      <c r="K113">
        <v>18</v>
      </c>
      <c r="L113">
        <v>17</v>
      </c>
      <c r="M113">
        <v>17</v>
      </c>
      <c r="N113">
        <v>15</v>
      </c>
      <c r="O113">
        <v>15</v>
      </c>
      <c r="P113">
        <v>17</v>
      </c>
      <c r="Q113">
        <v>16</v>
      </c>
      <c r="R113">
        <v>18</v>
      </c>
      <c r="S113">
        <v>17</v>
      </c>
      <c r="T113">
        <v>16</v>
      </c>
      <c r="U113">
        <v>14</v>
      </c>
      <c r="V113">
        <v>13</v>
      </c>
      <c r="W113">
        <v>13</v>
      </c>
      <c r="X113">
        <v>13</v>
      </c>
      <c r="Y113">
        <v>12</v>
      </c>
      <c r="Z113">
        <v>10</v>
      </c>
      <c r="AA113">
        <v>11</v>
      </c>
      <c r="AB113">
        <v>11</v>
      </c>
      <c r="AC113">
        <v>12</v>
      </c>
      <c r="AD113">
        <v>14</v>
      </c>
      <c r="AE113">
        <v>15</v>
      </c>
      <c r="AF113">
        <v>17</v>
      </c>
      <c r="AG113">
        <v>16</v>
      </c>
      <c r="AH113">
        <v>17</v>
      </c>
      <c r="AI113">
        <v>16</v>
      </c>
      <c r="AJ113">
        <v>16</v>
      </c>
      <c r="AK113">
        <v>16</v>
      </c>
      <c r="AL113">
        <v>14</v>
      </c>
      <c r="AM113">
        <v>15</v>
      </c>
      <c r="AN113">
        <v>13</v>
      </c>
      <c r="AO113">
        <v>18</v>
      </c>
      <c r="AP113">
        <v>18</v>
      </c>
      <c r="AQ113">
        <v>17</v>
      </c>
      <c r="AR113">
        <v>13</v>
      </c>
      <c r="AS113">
        <v>16</v>
      </c>
      <c r="AT113">
        <v>16</v>
      </c>
      <c r="AU113">
        <v>15</v>
      </c>
      <c r="AV113">
        <v>15</v>
      </c>
      <c r="AW113">
        <v>17</v>
      </c>
      <c r="AX113">
        <v>18</v>
      </c>
      <c r="AY113">
        <v>14</v>
      </c>
      <c r="AZ113">
        <v>17</v>
      </c>
      <c r="BA113">
        <v>17</v>
      </c>
      <c r="BB113">
        <v>18</v>
      </c>
      <c r="BC113">
        <v>18</v>
      </c>
      <c r="BD113">
        <v>14</v>
      </c>
    </row>
    <row r="114" spans="1:56" x14ac:dyDescent="0.25">
      <c r="A114" t="s">
        <v>4276</v>
      </c>
      <c r="B114" t="s">
        <v>151</v>
      </c>
      <c r="C114" t="s">
        <v>109</v>
      </c>
      <c r="D114">
        <v>366</v>
      </c>
      <c r="E114">
        <v>9.5879999999999992</v>
      </c>
      <c r="F114">
        <v>5</v>
      </c>
      <c r="G114">
        <v>9</v>
      </c>
      <c r="H114">
        <v>13</v>
      </c>
      <c r="I114">
        <v>13</v>
      </c>
      <c r="J114">
        <v>15</v>
      </c>
      <c r="K114">
        <v>15</v>
      </c>
      <c r="L114">
        <v>14</v>
      </c>
      <c r="M114">
        <v>12</v>
      </c>
      <c r="N114">
        <v>11</v>
      </c>
      <c r="O114">
        <v>9</v>
      </c>
      <c r="P114">
        <v>14</v>
      </c>
      <c r="Q114">
        <v>13</v>
      </c>
      <c r="R114">
        <v>15</v>
      </c>
      <c r="S114">
        <v>14</v>
      </c>
      <c r="T114">
        <v>13</v>
      </c>
      <c r="U114">
        <v>12</v>
      </c>
      <c r="V114">
        <v>10</v>
      </c>
      <c r="W114">
        <v>9</v>
      </c>
      <c r="X114">
        <v>8</v>
      </c>
      <c r="Y114">
        <v>7</v>
      </c>
      <c r="Z114">
        <v>6</v>
      </c>
      <c r="AA114">
        <v>6</v>
      </c>
      <c r="AB114">
        <v>7</v>
      </c>
      <c r="AC114">
        <v>6</v>
      </c>
      <c r="AD114">
        <v>7</v>
      </c>
      <c r="AE114">
        <v>8</v>
      </c>
      <c r="AF114">
        <v>11</v>
      </c>
      <c r="AG114">
        <v>10</v>
      </c>
      <c r="AH114">
        <v>10</v>
      </c>
      <c r="AI114">
        <v>9</v>
      </c>
      <c r="AJ114">
        <v>8</v>
      </c>
      <c r="AK114">
        <v>10</v>
      </c>
      <c r="AL114">
        <v>8</v>
      </c>
      <c r="AM114">
        <v>7</v>
      </c>
      <c r="AN114">
        <v>5</v>
      </c>
      <c r="AO114">
        <v>13</v>
      </c>
      <c r="AP114">
        <v>10</v>
      </c>
      <c r="AQ114">
        <v>8</v>
      </c>
      <c r="AR114">
        <v>8</v>
      </c>
      <c r="AS114">
        <v>8</v>
      </c>
      <c r="AT114">
        <v>8</v>
      </c>
      <c r="AU114">
        <v>7</v>
      </c>
      <c r="AV114">
        <v>6</v>
      </c>
      <c r="AW114">
        <v>8</v>
      </c>
      <c r="AX114">
        <v>10</v>
      </c>
      <c r="AY114">
        <v>9</v>
      </c>
      <c r="AZ114">
        <v>9</v>
      </c>
      <c r="BA114">
        <v>8</v>
      </c>
      <c r="BB114">
        <v>10</v>
      </c>
      <c r="BC114">
        <v>10</v>
      </c>
      <c r="BD114">
        <v>8</v>
      </c>
    </row>
    <row r="115" spans="1:56" x14ac:dyDescent="0.25">
      <c r="A115" t="s">
        <v>4277</v>
      </c>
      <c r="B115" t="s">
        <v>152</v>
      </c>
      <c r="C115" t="s">
        <v>109</v>
      </c>
      <c r="D115">
        <v>46</v>
      </c>
      <c r="E115">
        <v>19.216000000000001</v>
      </c>
      <c r="F115">
        <v>19</v>
      </c>
      <c r="G115">
        <v>16</v>
      </c>
      <c r="H115">
        <v>23</v>
      </c>
      <c r="I115">
        <v>15</v>
      </c>
      <c r="J115">
        <v>33</v>
      </c>
      <c r="K115">
        <v>26</v>
      </c>
      <c r="L115">
        <v>26</v>
      </c>
      <c r="M115">
        <v>31</v>
      </c>
      <c r="N115">
        <v>19</v>
      </c>
      <c r="O115">
        <v>23</v>
      </c>
      <c r="P115">
        <v>15</v>
      </c>
      <c r="Q115">
        <v>24</v>
      </c>
      <c r="R115">
        <v>20</v>
      </c>
      <c r="S115">
        <v>16</v>
      </c>
      <c r="T115">
        <v>13</v>
      </c>
      <c r="U115">
        <v>15</v>
      </c>
      <c r="V115">
        <v>11</v>
      </c>
      <c r="W115">
        <v>15</v>
      </c>
      <c r="X115">
        <v>17</v>
      </c>
      <c r="Y115">
        <v>15</v>
      </c>
      <c r="Z115">
        <v>11</v>
      </c>
      <c r="AA115">
        <v>16</v>
      </c>
      <c r="AB115">
        <v>9</v>
      </c>
      <c r="AC115">
        <v>9</v>
      </c>
      <c r="AD115">
        <v>20</v>
      </c>
      <c r="AE115">
        <v>18</v>
      </c>
      <c r="AF115">
        <v>22</v>
      </c>
      <c r="AG115">
        <v>21</v>
      </c>
      <c r="AH115">
        <v>16</v>
      </c>
      <c r="AI115">
        <v>12</v>
      </c>
      <c r="AJ115">
        <v>11</v>
      </c>
      <c r="AK115">
        <v>18</v>
      </c>
      <c r="AL115">
        <v>15</v>
      </c>
      <c r="AM115">
        <v>21</v>
      </c>
      <c r="AN115">
        <v>12</v>
      </c>
      <c r="AO115">
        <v>19</v>
      </c>
      <c r="AP115">
        <v>28</v>
      </c>
      <c r="AQ115">
        <v>24</v>
      </c>
      <c r="AR115">
        <v>13</v>
      </c>
      <c r="AS115">
        <v>15</v>
      </c>
      <c r="AT115">
        <v>23</v>
      </c>
      <c r="AU115">
        <v>16</v>
      </c>
      <c r="AV115">
        <v>19</v>
      </c>
      <c r="AW115">
        <v>26</v>
      </c>
      <c r="AX115">
        <v>29</v>
      </c>
      <c r="AY115">
        <v>20</v>
      </c>
      <c r="AZ115">
        <v>23</v>
      </c>
      <c r="BA115">
        <v>24</v>
      </c>
      <c r="BB115">
        <v>27</v>
      </c>
      <c r="BC115">
        <v>28</v>
      </c>
      <c r="BD115">
        <v>23</v>
      </c>
    </row>
    <row r="116" spans="1:56" x14ac:dyDescent="0.25">
      <c r="A116" t="s">
        <v>4278</v>
      </c>
      <c r="B116" t="s">
        <v>153</v>
      </c>
      <c r="C116" t="s">
        <v>109</v>
      </c>
      <c r="D116">
        <v>679</v>
      </c>
      <c r="E116">
        <v>30.274999999999999</v>
      </c>
      <c r="F116">
        <v>18</v>
      </c>
      <c r="G116">
        <v>14</v>
      </c>
      <c r="H116">
        <v>23</v>
      </c>
      <c r="I116">
        <v>23</v>
      </c>
      <c r="J116">
        <v>28</v>
      </c>
      <c r="K116">
        <v>26</v>
      </c>
      <c r="L116">
        <v>26</v>
      </c>
      <c r="M116">
        <v>26</v>
      </c>
      <c r="N116">
        <v>28</v>
      </c>
      <c r="O116">
        <v>29</v>
      </c>
      <c r="P116">
        <v>30</v>
      </c>
      <c r="Q116">
        <v>32</v>
      </c>
      <c r="R116">
        <v>35</v>
      </c>
      <c r="S116">
        <v>37</v>
      </c>
      <c r="T116">
        <v>30</v>
      </c>
      <c r="U116">
        <v>35</v>
      </c>
      <c r="V116">
        <v>33</v>
      </c>
      <c r="W116">
        <v>37</v>
      </c>
      <c r="X116">
        <v>34</v>
      </c>
      <c r="Y116">
        <v>36</v>
      </c>
      <c r="Z116">
        <v>37</v>
      </c>
      <c r="AA116">
        <v>39</v>
      </c>
      <c r="AB116">
        <v>39</v>
      </c>
      <c r="AC116">
        <v>39</v>
      </c>
      <c r="AD116">
        <v>37</v>
      </c>
      <c r="AE116">
        <v>40</v>
      </c>
      <c r="AF116">
        <v>38</v>
      </c>
      <c r="AG116">
        <v>41</v>
      </c>
      <c r="AH116">
        <v>40</v>
      </c>
      <c r="AI116">
        <v>41</v>
      </c>
      <c r="AJ116">
        <v>36</v>
      </c>
      <c r="AK116">
        <v>35</v>
      </c>
      <c r="AL116">
        <v>36</v>
      </c>
      <c r="AM116">
        <v>33</v>
      </c>
      <c r="AN116">
        <v>36</v>
      </c>
      <c r="AO116">
        <v>33</v>
      </c>
      <c r="AP116">
        <v>31</v>
      </c>
      <c r="AQ116">
        <v>29</v>
      </c>
      <c r="AR116">
        <v>22</v>
      </c>
      <c r="AS116">
        <v>22</v>
      </c>
      <c r="AT116">
        <v>23</v>
      </c>
      <c r="AU116">
        <v>24</v>
      </c>
      <c r="AV116">
        <v>20</v>
      </c>
      <c r="AW116">
        <v>24</v>
      </c>
      <c r="AX116">
        <v>22</v>
      </c>
      <c r="AY116">
        <v>23</v>
      </c>
      <c r="AZ116">
        <v>24</v>
      </c>
      <c r="BA116">
        <v>25</v>
      </c>
      <c r="BB116">
        <v>24</v>
      </c>
      <c r="BC116">
        <v>26</v>
      </c>
      <c r="BD116">
        <v>25</v>
      </c>
    </row>
    <row r="117" spans="1:56" x14ac:dyDescent="0.25">
      <c r="A117" t="s">
        <v>4279</v>
      </c>
      <c r="B117" t="s">
        <v>154</v>
      </c>
      <c r="C117" t="s">
        <v>109</v>
      </c>
      <c r="D117">
        <v>90</v>
      </c>
      <c r="E117">
        <v>38.863</v>
      </c>
      <c r="F117">
        <v>47</v>
      </c>
      <c r="G117">
        <v>39</v>
      </c>
      <c r="H117">
        <v>22</v>
      </c>
      <c r="I117">
        <v>36</v>
      </c>
      <c r="J117">
        <v>35</v>
      </c>
      <c r="K117">
        <v>42</v>
      </c>
      <c r="L117">
        <v>34</v>
      </c>
      <c r="M117">
        <v>35</v>
      </c>
      <c r="N117">
        <v>43</v>
      </c>
      <c r="O117">
        <v>37</v>
      </c>
      <c r="P117">
        <v>43</v>
      </c>
      <c r="Q117">
        <v>40</v>
      </c>
      <c r="R117">
        <v>42</v>
      </c>
      <c r="S117">
        <v>40</v>
      </c>
      <c r="T117">
        <v>45</v>
      </c>
      <c r="U117">
        <v>33</v>
      </c>
      <c r="V117">
        <v>33</v>
      </c>
      <c r="W117">
        <v>31</v>
      </c>
      <c r="X117">
        <v>41</v>
      </c>
      <c r="Y117">
        <v>45</v>
      </c>
      <c r="Z117">
        <v>43</v>
      </c>
      <c r="AA117">
        <v>34</v>
      </c>
      <c r="AB117">
        <v>42</v>
      </c>
      <c r="AC117">
        <v>47</v>
      </c>
      <c r="AD117">
        <v>47</v>
      </c>
      <c r="AE117">
        <v>53</v>
      </c>
      <c r="AF117">
        <v>49</v>
      </c>
      <c r="AG117">
        <v>48</v>
      </c>
      <c r="AH117">
        <v>53</v>
      </c>
      <c r="AI117">
        <v>47</v>
      </c>
      <c r="AJ117">
        <v>41</v>
      </c>
      <c r="AK117">
        <v>42</v>
      </c>
      <c r="AL117">
        <v>35</v>
      </c>
      <c r="AM117">
        <v>33</v>
      </c>
      <c r="AN117">
        <v>31</v>
      </c>
      <c r="AO117">
        <v>42</v>
      </c>
      <c r="AP117">
        <v>50</v>
      </c>
      <c r="AQ117">
        <v>49</v>
      </c>
      <c r="AR117">
        <v>33</v>
      </c>
      <c r="AS117">
        <v>34</v>
      </c>
      <c r="AT117">
        <v>35</v>
      </c>
      <c r="AU117">
        <v>23</v>
      </c>
      <c r="AV117">
        <v>34</v>
      </c>
      <c r="AW117">
        <v>37</v>
      </c>
      <c r="AX117">
        <v>29</v>
      </c>
      <c r="AY117">
        <v>38</v>
      </c>
      <c r="AZ117">
        <v>39</v>
      </c>
      <c r="BA117">
        <v>29</v>
      </c>
      <c r="BB117">
        <v>41</v>
      </c>
      <c r="BC117">
        <v>26</v>
      </c>
      <c r="BD117">
        <v>35</v>
      </c>
    </row>
    <row r="118" spans="1:56" x14ac:dyDescent="0.25">
      <c r="A118" t="s">
        <v>4280</v>
      </c>
      <c r="B118" t="s">
        <v>155</v>
      </c>
      <c r="C118" t="s">
        <v>109</v>
      </c>
      <c r="D118">
        <v>162</v>
      </c>
      <c r="E118">
        <v>26.431000000000001</v>
      </c>
      <c r="F118">
        <v>20</v>
      </c>
      <c r="G118">
        <v>24</v>
      </c>
      <c r="H118">
        <v>29</v>
      </c>
      <c r="I118">
        <v>36</v>
      </c>
      <c r="J118">
        <v>30</v>
      </c>
      <c r="K118">
        <v>29</v>
      </c>
      <c r="L118">
        <v>22</v>
      </c>
      <c r="M118">
        <v>29</v>
      </c>
      <c r="N118">
        <v>30</v>
      </c>
      <c r="O118">
        <v>31</v>
      </c>
      <c r="P118">
        <v>33</v>
      </c>
      <c r="Q118">
        <v>21</v>
      </c>
      <c r="R118">
        <v>32</v>
      </c>
      <c r="S118">
        <v>30</v>
      </c>
      <c r="T118">
        <v>29</v>
      </c>
      <c r="U118">
        <v>29</v>
      </c>
      <c r="V118">
        <v>32</v>
      </c>
      <c r="W118">
        <v>27</v>
      </c>
      <c r="X118">
        <v>32</v>
      </c>
      <c r="Y118">
        <v>33</v>
      </c>
      <c r="Z118">
        <v>31</v>
      </c>
      <c r="AA118">
        <v>29</v>
      </c>
      <c r="AB118">
        <v>35</v>
      </c>
      <c r="AC118">
        <v>33</v>
      </c>
      <c r="AD118">
        <v>29</v>
      </c>
      <c r="AE118">
        <v>33</v>
      </c>
      <c r="AF118">
        <v>33</v>
      </c>
      <c r="AG118">
        <v>30</v>
      </c>
      <c r="AH118">
        <v>35</v>
      </c>
      <c r="AI118">
        <v>31</v>
      </c>
      <c r="AJ118">
        <v>31</v>
      </c>
      <c r="AK118">
        <v>26</v>
      </c>
      <c r="AL118">
        <v>17</v>
      </c>
      <c r="AM118">
        <v>22</v>
      </c>
      <c r="AN118">
        <v>26</v>
      </c>
      <c r="AO118">
        <v>28</v>
      </c>
      <c r="AP118">
        <v>27</v>
      </c>
      <c r="AQ118">
        <v>26</v>
      </c>
      <c r="AR118">
        <v>20</v>
      </c>
      <c r="AS118">
        <v>25</v>
      </c>
      <c r="AT118">
        <v>22</v>
      </c>
      <c r="AU118">
        <v>21</v>
      </c>
      <c r="AV118">
        <v>20</v>
      </c>
      <c r="AW118">
        <v>25</v>
      </c>
      <c r="AX118">
        <v>18</v>
      </c>
      <c r="AY118">
        <v>16</v>
      </c>
      <c r="AZ118">
        <v>16</v>
      </c>
      <c r="BA118">
        <v>14</v>
      </c>
      <c r="BB118">
        <v>18</v>
      </c>
      <c r="BC118">
        <v>14</v>
      </c>
      <c r="BD118">
        <v>19</v>
      </c>
    </row>
    <row r="119" spans="1:56" x14ac:dyDescent="0.25">
      <c r="A119" t="s">
        <v>4281</v>
      </c>
      <c r="B119" t="s">
        <v>156</v>
      </c>
      <c r="C119" t="s">
        <v>109</v>
      </c>
      <c r="D119">
        <v>94</v>
      </c>
      <c r="E119">
        <v>25.373000000000001</v>
      </c>
      <c r="F119">
        <v>22</v>
      </c>
      <c r="G119">
        <v>20</v>
      </c>
      <c r="H119">
        <v>26</v>
      </c>
      <c r="I119">
        <v>33</v>
      </c>
      <c r="J119">
        <v>38</v>
      </c>
      <c r="K119">
        <v>39</v>
      </c>
      <c r="L119">
        <v>20</v>
      </c>
      <c r="M119">
        <v>20</v>
      </c>
      <c r="N119">
        <v>29</v>
      </c>
      <c r="O119">
        <v>24</v>
      </c>
      <c r="P119">
        <v>26</v>
      </c>
      <c r="Q119">
        <v>32</v>
      </c>
      <c r="R119">
        <v>25</v>
      </c>
      <c r="S119">
        <v>28</v>
      </c>
      <c r="T119">
        <v>28</v>
      </c>
      <c r="U119">
        <v>21</v>
      </c>
      <c r="V119">
        <v>28</v>
      </c>
      <c r="W119">
        <v>19</v>
      </c>
      <c r="X119">
        <v>22</v>
      </c>
      <c r="Y119">
        <v>25</v>
      </c>
      <c r="Z119">
        <v>20</v>
      </c>
      <c r="AA119">
        <v>27</v>
      </c>
      <c r="AB119">
        <v>28</v>
      </c>
      <c r="AC119">
        <v>26</v>
      </c>
      <c r="AD119">
        <v>26</v>
      </c>
      <c r="AE119">
        <v>30</v>
      </c>
      <c r="AF119">
        <v>22</v>
      </c>
      <c r="AG119">
        <v>27</v>
      </c>
      <c r="AH119">
        <v>25</v>
      </c>
      <c r="AI119">
        <v>32</v>
      </c>
      <c r="AJ119">
        <v>34</v>
      </c>
      <c r="AK119">
        <v>23</v>
      </c>
      <c r="AL119">
        <v>25</v>
      </c>
      <c r="AM119">
        <v>16</v>
      </c>
      <c r="AN119">
        <v>30</v>
      </c>
      <c r="AO119">
        <v>29</v>
      </c>
      <c r="AP119">
        <v>29</v>
      </c>
      <c r="AQ119">
        <v>22</v>
      </c>
      <c r="AR119">
        <v>16</v>
      </c>
      <c r="AS119">
        <v>24</v>
      </c>
      <c r="AT119">
        <v>30</v>
      </c>
      <c r="AU119">
        <v>27</v>
      </c>
      <c r="AV119">
        <v>19</v>
      </c>
      <c r="AW119">
        <v>21</v>
      </c>
      <c r="AX119">
        <v>19</v>
      </c>
      <c r="AY119">
        <v>20</v>
      </c>
      <c r="AZ119">
        <v>26</v>
      </c>
      <c r="BA119">
        <v>33</v>
      </c>
      <c r="BB119">
        <v>16</v>
      </c>
      <c r="BC119">
        <v>23</v>
      </c>
      <c r="BD119">
        <v>24</v>
      </c>
    </row>
    <row r="120" spans="1:56" x14ac:dyDescent="0.25">
      <c r="A120" t="s">
        <v>4282</v>
      </c>
      <c r="B120" t="s">
        <v>157</v>
      </c>
      <c r="C120" t="s">
        <v>109</v>
      </c>
      <c r="D120">
        <v>62</v>
      </c>
      <c r="E120">
        <v>34.255000000000003</v>
      </c>
      <c r="F120">
        <v>30</v>
      </c>
      <c r="G120">
        <v>42</v>
      </c>
      <c r="H120">
        <v>55</v>
      </c>
      <c r="I120">
        <v>53</v>
      </c>
      <c r="J120">
        <v>67</v>
      </c>
      <c r="K120">
        <v>45</v>
      </c>
      <c r="L120">
        <v>29</v>
      </c>
      <c r="M120">
        <v>49</v>
      </c>
      <c r="N120">
        <v>50</v>
      </c>
      <c r="O120">
        <v>36</v>
      </c>
      <c r="P120">
        <v>29</v>
      </c>
      <c r="Q120">
        <v>32</v>
      </c>
      <c r="R120">
        <v>28</v>
      </c>
      <c r="S120">
        <v>40</v>
      </c>
      <c r="T120">
        <v>34</v>
      </c>
      <c r="U120">
        <v>35</v>
      </c>
      <c r="V120">
        <v>40</v>
      </c>
      <c r="W120">
        <v>42</v>
      </c>
      <c r="X120">
        <v>45</v>
      </c>
      <c r="Y120">
        <v>41</v>
      </c>
      <c r="Z120">
        <v>43</v>
      </c>
      <c r="AA120">
        <v>32</v>
      </c>
      <c r="AB120">
        <v>36</v>
      </c>
      <c r="AC120">
        <v>40</v>
      </c>
      <c r="AD120">
        <v>38</v>
      </c>
      <c r="AE120">
        <v>38</v>
      </c>
      <c r="AF120">
        <v>37</v>
      </c>
      <c r="AG120">
        <v>31</v>
      </c>
      <c r="AH120">
        <v>33</v>
      </c>
      <c r="AI120">
        <v>39</v>
      </c>
      <c r="AJ120">
        <v>35</v>
      </c>
      <c r="AK120">
        <v>30</v>
      </c>
      <c r="AL120">
        <v>24</v>
      </c>
      <c r="AM120">
        <v>25</v>
      </c>
      <c r="AN120">
        <v>37</v>
      </c>
      <c r="AO120">
        <v>30</v>
      </c>
      <c r="AP120">
        <v>41</v>
      </c>
      <c r="AQ120">
        <v>34</v>
      </c>
      <c r="AR120">
        <v>28</v>
      </c>
      <c r="AS120">
        <v>35</v>
      </c>
      <c r="AT120">
        <v>22</v>
      </c>
      <c r="AU120">
        <v>27</v>
      </c>
      <c r="AV120">
        <v>30</v>
      </c>
      <c r="AW120">
        <v>27</v>
      </c>
      <c r="AX120">
        <v>27</v>
      </c>
      <c r="AY120">
        <v>20</v>
      </c>
      <c r="AZ120">
        <v>17</v>
      </c>
      <c r="BA120">
        <v>22</v>
      </c>
      <c r="BB120">
        <v>18</v>
      </c>
      <c r="BC120">
        <v>15</v>
      </c>
      <c r="BD120">
        <v>14</v>
      </c>
    </row>
    <row r="121" spans="1:56" x14ac:dyDescent="0.25">
      <c r="A121" t="s">
        <v>4283</v>
      </c>
      <c r="B121" t="s">
        <v>158</v>
      </c>
      <c r="C121" t="s">
        <v>109</v>
      </c>
      <c r="D121">
        <v>169</v>
      </c>
      <c r="E121">
        <v>17.039000000000001</v>
      </c>
      <c r="F121">
        <v>15</v>
      </c>
      <c r="G121">
        <v>13</v>
      </c>
      <c r="H121">
        <v>17</v>
      </c>
      <c r="I121">
        <v>12</v>
      </c>
      <c r="J121">
        <v>18</v>
      </c>
      <c r="K121">
        <v>21</v>
      </c>
      <c r="L121">
        <v>18</v>
      </c>
      <c r="M121">
        <v>23</v>
      </c>
      <c r="N121">
        <v>17</v>
      </c>
      <c r="O121">
        <v>20</v>
      </c>
      <c r="P121">
        <v>18</v>
      </c>
      <c r="Q121">
        <v>21</v>
      </c>
      <c r="R121">
        <v>14</v>
      </c>
      <c r="S121">
        <v>17</v>
      </c>
      <c r="T121">
        <v>22</v>
      </c>
      <c r="U121">
        <v>17</v>
      </c>
      <c r="V121">
        <v>20</v>
      </c>
      <c r="W121">
        <v>16</v>
      </c>
      <c r="X121">
        <v>19</v>
      </c>
      <c r="Y121">
        <v>18</v>
      </c>
      <c r="Z121">
        <v>19</v>
      </c>
      <c r="AA121">
        <v>19</v>
      </c>
      <c r="AB121">
        <v>22</v>
      </c>
      <c r="AC121">
        <v>19</v>
      </c>
      <c r="AD121">
        <v>18</v>
      </c>
      <c r="AE121">
        <v>28</v>
      </c>
      <c r="AF121">
        <v>28</v>
      </c>
      <c r="AG121">
        <v>17</v>
      </c>
      <c r="AH121">
        <v>18</v>
      </c>
      <c r="AI121">
        <v>14</v>
      </c>
      <c r="AJ121">
        <v>17</v>
      </c>
      <c r="AK121">
        <v>20</v>
      </c>
      <c r="AL121">
        <v>7</v>
      </c>
      <c r="AM121">
        <v>9</v>
      </c>
      <c r="AN121">
        <v>8</v>
      </c>
      <c r="AO121">
        <v>14</v>
      </c>
      <c r="AP121">
        <v>13</v>
      </c>
      <c r="AQ121">
        <v>16</v>
      </c>
      <c r="AR121">
        <v>13</v>
      </c>
      <c r="AS121">
        <v>19</v>
      </c>
      <c r="AT121">
        <v>15</v>
      </c>
      <c r="AU121">
        <v>22</v>
      </c>
      <c r="AV121">
        <v>16</v>
      </c>
      <c r="AW121">
        <v>17</v>
      </c>
      <c r="AX121">
        <v>20</v>
      </c>
      <c r="AY121">
        <v>19</v>
      </c>
      <c r="AZ121">
        <v>19</v>
      </c>
      <c r="BA121">
        <v>13</v>
      </c>
      <c r="BB121">
        <v>12</v>
      </c>
      <c r="BC121">
        <v>11</v>
      </c>
      <c r="BD121">
        <v>11</v>
      </c>
    </row>
    <row r="122" spans="1:56" x14ac:dyDescent="0.25">
      <c r="A122" t="s">
        <v>4284</v>
      </c>
      <c r="B122" t="s">
        <v>159</v>
      </c>
      <c r="C122" t="s">
        <v>109</v>
      </c>
      <c r="D122">
        <v>178</v>
      </c>
      <c r="E122">
        <v>21.391999999999999</v>
      </c>
      <c r="F122">
        <v>7</v>
      </c>
      <c r="G122">
        <v>16</v>
      </c>
      <c r="H122">
        <v>16</v>
      </c>
      <c r="I122">
        <v>17</v>
      </c>
      <c r="J122">
        <v>29</v>
      </c>
      <c r="K122">
        <v>20</v>
      </c>
      <c r="L122">
        <v>22</v>
      </c>
      <c r="M122">
        <v>20</v>
      </c>
      <c r="N122">
        <v>23</v>
      </c>
      <c r="O122">
        <v>22</v>
      </c>
      <c r="P122">
        <v>26</v>
      </c>
      <c r="Q122">
        <v>24</v>
      </c>
      <c r="R122">
        <v>16</v>
      </c>
      <c r="S122">
        <v>21</v>
      </c>
      <c r="T122">
        <v>24</v>
      </c>
      <c r="U122">
        <v>19</v>
      </c>
      <c r="V122">
        <v>19</v>
      </c>
      <c r="W122">
        <v>24</v>
      </c>
      <c r="X122">
        <v>28</v>
      </c>
      <c r="Y122">
        <v>19</v>
      </c>
      <c r="Z122">
        <v>28</v>
      </c>
      <c r="AA122">
        <v>20</v>
      </c>
      <c r="AB122">
        <v>27</v>
      </c>
      <c r="AC122">
        <v>25</v>
      </c>
      <c r="AD122">
        <v>21</v>
      </c>
      <c r="AE122">
        <v>27</v>
      </c>
      <c r="AF122">
        <v>23</v>
      </c>
      <c r="AG122">
        <v>23</v>
      </c>
      <c r="AH122">
        <v>21</v>
      </c>
      <c r="AI122">
        <v>27</v>
      </c>
      <c r="AJ122">
        <v>24</v>
      </c>
      <c r="AK122">
        <v>22</v>
      </c>
      <c r="AL122">
        <v>18</v>
      </c>
      <c r="AM122">
        <v>18</v>
      </c>
      <c r="AN122">
        <v>16</v>
      </c>
      <c r="AO122">
        <v>23</v>
      </c>
      <c r="AP122">
        <v>25</v>
      </c>
      <c r="AQ122">
        <v>25</v>
      </c>
      <c r="AR122">
        <v>20</v>
      </c>
      <c r="AS122">
        <v>22</v>
      </c>
      <c r="AT122">
        <v>24</v>
      </c>
      <c r="AU122">
        <v>24</v>
      </c>
      <c r="AV122">
        <v>24</v>
      </c>
      <c r="AW122">
        <v>18</v>
      </c>
      <c r="AX122">
        <v>22</v>
      </c>
      <c r="AY122">
        <v>22</v>
      </c>
      <c r="AZ122">
        <v>17</v>
      </c>
      <c r="BA122">
        <v>16</v>
      </c>
      <c r="BB122">
        <v>18</v>
      </c>
      <c r="BC122">
        <v>16</v>
      </c>
      <c r="BD122">
        <v>23</v>
      </c>
    </row>
    <row r="123" spans="1:56" x14ac:dyDescent="0.25">
      <c r="A123" t="s">
        <v>4285</v>
      </c>
      <c r="B123" t="s">
        <v>160</v>
      </c>
      <c r="C123" t="s">
        <v>109</v>
      </c>
      <c r="D123">
        <v>512</v>
      </c>
      <c r="E123">
        <v>26.98</v>
      </c>
      <c r="F123">
        <v>25</v>
      </c>
      <c r="G123">
        <v>31</v>
      </c>
      <c r="H123">
        <v>28</v>
      </c>
      <c r="I123">
        <v>30</v>
      </c>
      <c r="J123">
        <v>38</v>
      </c>
      <c r="K123">
        <v>34</v>
      </c>
      <c r="L123">
        <v>22</v>
      </c>
      <c r="M123">
        <v>31</v>
      </c>
      <c r="N123">
        <v>29</v>
      </c>
      <c r="O123">
        <v>30</v>
      </c>
      <c r="P123">
        <v>30</v>
      </c>
      <c r="Q123">
        <v>27</v>
      </c>
      <c r="R123">
        <v>27</v>
      </c>
      <c r="S123">
        <v>29</v>
      </c>
      <c r="T123">
        <v>27</v>
      </c>
      <c r="U123">
        <v>28</v>
      </c>
      <c r="V123">
        <v>29</v>
      </c>
      <c r="W123">
        <v>25</v>
      </c>
      <c r="X123">
        <v>33</v>
      </c>
      <c r="Y123">
        <v>34</v>
      </c>
      <c r="Z123">
        <v>27</v>
      </c>
      <c r="AA123">
        <v>29</v>
      </c>
      <c r="AB123">
        <v>32</v>
      </c>
      <c r="AC123">
        <v>29</v>
      </c>
      <c r="AD123">
        <v>35</v>
      </c>
      <c r="AE123">
        <v>33</v>
      </c>
      <c r="AF123">
        <v>32</v>
      </c>
      <c r="AG123">
        <v>31</v>
      </c>
      <c r="AH123">
        <v>32</v>
      </c>
      <c r="AI123">
        <v>31</v>
      </c>
      <c r="AJ123">
        <v>27</v>
      </c>
      <c r="AK123">
        <v>29</v>
      </c>
      <c r="AL123">
        <v>23</v>
      </c>
      <c r="AM123">
        <v>21</v>
      </c>
      <c r="AN123">
        <v>26</v>
      </c>
      <c r="AO123">
        <v>26</v>
      </c>
      <c r="AP123">
        <v>31</v>
      </c>
      <c r="AQ123">
        <v>23</v>
      </c>
      <c r="AR123">
        <v>26</v>
      </c>
      <c r="AS123">
        <v>24</v>
      </c>
      <c r="AT123">
        <v>20</v>
      </c>
      <c r="AU123">
        <v>23</v>
      </c>
      <c r="AV123">
        <v>21</v>
      </c>
      <c r="AW123">
        <v>21</v>
      </c>
      <c r="AX123">
        <v>22</v>
      </c>
      <c r="AY123">
        <v>19</v>
      </c>
      <c r="AZ123">
        <v>19</v>
      </c>
      <c r="BA123">
        <v>20</v>
      </c>
      <c r="BB123">
        <v>18</v>
      </c>
      <c r="BC123">
        <v>21</v>
      </c>
      <c r="BD123">
        <v>18</v>
      </c>
    </row>
    <row r="124" spans="1:56" x14ac:dyDescent="0.25">
      <c r="A124" t="s">
        <v>4286</v>
      </c>
      <c r="B124" t="s">
        <v>244</v>
      </c>
      <c r="C124" t="s">
        <v>109</v>
      </c>
      <c r="D124">
        <v>653</v>
      </c>
      <c r="E124">
        <v>30.960999999999999</v>
      </c>
      <c r="F124">
        <v>14</v>
      </c>
      <c r="G124">
        <v>19</v>
      </c>
      <c r="H124">
        <v>25</v>
      </c>
      <c r="I124">
        <v>32</v>
      </c>
      <c r="J124">
        <v>38</v>
      </c>
      <c r="K124">
        <v>34</v>
      </c>
      <c r="L124">
        <v>23</v>
      </c>
      <c r="M124">
        <v>30</v>
      </c>
      <c r="N124">
        <v>32</v>
      </c>
      <c r="O124">
        <v>32</v>
      </c>
      <c r="P124">
        <v>33</v>
      </c>
      <c r="Q124">
        <v>33</v>
      </c>
      <c r="R124">
        <v>34</v>
      </c>
      <c r="S124">
        <v>30</v>
      </c>
      <c r="T124">
        <v>33</v>
      </c>
      <c r="U124">
        <v>30</v>
      </c>
      <c r="V124">
        <v>32</v>
      </c>
      <c r="W124">
        <v>34</v>
      </c>
      <c r="X124">
        <v>34</v>
      </c>
      <c r="Y124">
        <v>34</v>
      </c>
      <c r="Z124">
        <v>32</v>
      </c>
      <c r="AA124">
        <v>37</v>
      </c>
      <c r="AB124">
        <v>38</v>
      </c>
      <c r="AC124">
        <v>38</v>
      </c>
      <c r="AD124">
        <v>39</v>
      </c>
      <c r="AE124">
        <v>40</v>
      </c>
      <c r="AF124">
        <v>43</v>
      </c>
      <c r="AG124">
        <v>42</v>
      </c>
      <c r="AH124">
        <v>39</v>
      </c>
      <c r="AI124">
        <v>35</v>
      </c>
      <c r="AJ124">
        <v>34</v>
      </c>
      <c r="AK124">
        <v>33</v>
      </c>
      <c r="AL124">
        <v>30</v>
      </c>
      <c r="AM124">
        <v>27</v>
      </c>
      <c r="AN124">
        <v>32</v>
      </c>
      <c r="AO124">
        <v>35</v>
      </c>
      <c r="AP124">
        <v>32</v>
      </c>
      <c r="AQ124">
        <v>30</v>
      </c>
      <c r="AR124">
        <v>27</v>
      </c>
      <c r="AS124">
        <v>29</v>
      </c>
      <c r="AT124">
        <v>27</v>
      </c>
      <c r="AU124">
        <v>27</v>
      </c>
      <c r="AV124">
        <v>27</v>
      </c>
      <c r="AW124">
        <v>26</v>
      </c>
      <c r="AX124">
        <v>24</v>
      </c>
      <c r="AY124">
        <v>24</v>
      </c>
      <c r="AZ124">
        <v>27</v>
      </c>
      <c r="BA124">
        <v>27</v>
      </c>
      <c r="BB124">
        <v>25</v>
      </c>
      <c r="BC124">
        <v>25</v>
      </c>
      <c r="BD124">
        <v>22</v>
      </c>
    </row>
    <row r="125" spans="1:56" x14ac:dyDescent="0.25">
      <c r="A125" t="s">
        <v>4287</v>
      </c>
      <c r="B125" t="s">
        <v>245</v>
      </c>
      <c r="C125" t="s">
        <v>109</v>
      </c>
      <c r="D125">
        <v>132</v>
      </c>
      <c r="E125">
        <v>31.314</v>
      </c>
      <c r="F125">
        <v>7</v>
      </c>
      <c r="G125">
        <v>34</v>
      </c>
      <c r="H125">
        <v>34</v>
      </c>
      <c r="I125">
        <v>29</v>
      </c>
      <c r="J125">
        <v>42</v>
      </c>
      <c r="K125">
        <v>36</v>
      </c>
      <c r="L125">
        <v>22</v>
      </c>
      <c r="M125">
        <v>31</v>
      </c>
      <c r="N125">
        <v>37</v>
      </c>
      <c r="O125">
        <v>31</v>
      </c>
      <c r="P125">
        <v>30</v>
      </c>
      <c r="Q125">
        <v>24</v>
      </c>
      <c r="R125">
        <v>38</v>
      </c>
      <c r="S125">
        <v>32</v>
      </c>
      <c r="T125">
        <v>34</v>
      </c>
      <c r="U125">
        <v>34</v>
      </c>
      <c r="V125">
        <v>38</v>
      </c>
      <c r="W125">
        <v>38</v>
      </c>
      <c r="X125">
        <v>34</v>
      </c>
      <c r="Y125">
        <v>39</v>
      </c>
      <c r="Z125">
        <v>35</v>
      </c>
      <c r="AA125">
        <v>35</v>
      </c>
      <c r="AB125">
        <v>37</v>
      </c>
      <c r="AC125">
        <v>36</v>
      </c>
      <c r="AD125">
        <v>43</v>
      </c>
      <c r="AE125">
        <v>40</v>
      </c>
      <c r="AF125">
        <v>36</v>
      </c>
      <c r="AG125">
        <v>41</v>
      </c>
      <c r="AH125">
        <v>40</v>
      </c>
      <c r="AI125">
        <v>31</v>
      </c>
      <c r="AJ125">
        <v>30</v>
      </c>
      <c r="AK125">
        <v>30</v>
      </c>
      <c r="AL125">
        <v>29</v>
      </c>
      <c r="AM125">
        <v>27</v>
      </c>
      <c r="AN125">
        <v>33</v>
      </c>
      <c r="AO125">
        <v>35</v>
      </c>
      <c r="AP125">
        <v>30</v>
      </c>
      <c r="AQ125">
        <v>32</v>
      </c>
      <c r="AR125">
        <v>28</v>
      </c>
      <c r="AS125">
        <v>24</v>
      </c>
      <c r="AT125">
        <v>24</v>
      </c>
      <c r="AU125">
        <v>24</v>
      </c>
      <c r="AV125">
        <v>27</v>
      </c>
      <c r="AW125">
        <v>22</v>
      </c>
      <c r="AX125">
        <v>24</v>
      </c>
      <c r="AY125">
        <v>30</v>
      </c>
      <c r="AZ125">
        <v>31</v>
      </c>
      <c r="BA125">
        <v>22</v>
      </c>
      <c r="BB125">
        <v>25</v>
      </c>
      <c r="BC125">
        <v>28</v>
      </c>
      <c r="BD125">
        <v>24</v>
      </c>
    </row>
    <row r="126" spans="1:56" x14ac:dyDescent="0.25">
      <c r="A126" t="s">
        <v>4288</v>
      </c>
      <c r="B126" t="s">
        <v>246</v>
      </c>
      <c r="C126" t="s">
        <v>109</v>
      </c>
      <c r="D126">
        <v>237</v>
      </c>
      <c r="E126">
        <v>28.039000000000001</v>
      </c>
      <c r="F126">
        <v>11</v>
      </c>
      <c r="G126">
        <v>27</v>
      </c>
      <c r="H126">
        <v>24</v>
      </c>
      <c r="I126">
        <v>35</v>
      </c>
      <c r="J126">
        <v>43</v>
      </c>
      <c r="K126">
        <v>37</v>
      </c>
      <c r="L126">
        <v>24</v>
      </c>
      <c r="M126">
        <v>35</v>
      </c>
      <c r="N126">
        <v>34</v>
      </c>
      <c r="O126">
        <v>31</v>
      </c>
      <c r="P126">
        <v>32</v>
      </c>
      <c r="Q126">
        <v>29</v>
      </c>
      <c r="R126">
        <v>29</v>
      </c>
      <c r="S126">
        <v>31</v>
      </c>
      <c r="T126">
        <v>30</v>
      </c>
      <c r="U126">
        <v>32</v>
      </c>
      <c r="V126">
        <v>29</v>
      </c>
      <c r="W126">
        <v>30</v>
      </c>
      <c r="X126">
        <v>34</v>
      </c>
      <c r="Y126">
        <v>27</v>
      </c>
      <c r="Z126">
        <v>33</v>
      </c>
      <c r="AA126">
        <v>35</v>
      </c>
      <c r="AB126">
        <v>30</v>
      </c>
      <c r="AC126">
        <v>31</v>
      </c>
      <c r="AD126">
        <v>32</v>
      </c>
      <c r="AE126">
        <v>31</v>
      </c>
      <c r="AF126">
        <v>30</v>
      </c>
      <c r="AG126">
        <v>35</v>
      </c>
      <c r="AH126">
        <v>30</v>
      </c>
      <c r="AI126">
        <v>32</v>
      </c>
      <c r="AJ126">
        <v>26</v>
      </c>
      <c r="AK126">
        <v>26</v>
      </c>
      <c r="AL126">
        <v>19</v>
      </c>
      <c r="AM126">
        <v>21</v>
      </c>
      <c r="AN126">
        <v>24</v>
      </c>
      <c r="AO126">
        <v>30</v>
      </c>
      <c r="AP126">
        <v>28</v>
      </c>
      <c r="AQ126">
        <v>29</v>
      </c>
      <c r="AR126">
        <v>26</v>
      </c>
      <c r="AS126">
        <v>25</v>
      </c>
      <c r="AT126">
        <v>29</v>
      </c>
      <c r="AU126">
        <v>27</v>
      </c>
      <c r="AV126">
        <v>26</v>
      </c>
      <c r="AW126">
        <v>26</v>
      </c>
      <c r="AX126">
        <v>23</v>
      </c>
      <c r="AY126">
        <v>23</v>
      </c>
      <c r="AZ126">
        <v>20</v>
      </c>
      <c r="BA126">
        <v>23</v>
      </c>
      <c r="BB126">
        <v>20</v>
      </c>
      <c r="BC126">
        <v>20</v>
      </c>
      <c r="BD126">
        <v>16</v>
      </c>
    </row>
    <row r="127" spans="1:56" x14ac:dyDescent="0.25">
      <c r="A127" t="s">
        <v>4289</v>
      </c>
      <c r="B127" t="s">
        <v>164</v>
      </c>
      <c r="C127" t="s">
        <v>109</v>
      </c>
      <c r="D127">
        <v>46</v>
      </c>
      <c r="E127">
        <v>30.667000000000002</v>
      </c>
      <c r="F127">
        <v>16</v>
      </c>
      <c r="G127">
        <v>32</v>
      </c>
      <c r="H127">
        <v>25</v>
      </c>
      <c r="I127">
        <v>30</v>
      </c>
      <c r="J127">
        <v>36</v>
      </c>
      <c r="K127">
        <v>38</v>
      </c>
      <c r="L127">
        <v>32</v>
      </c>
      <c r="M127">
        <v>36</v>
      </c>
      <c r="N127">
        <v>39</v>
      </c>
      <c r="O127">
        <v>30</v>
      </c>
      <c r="P127">
        <v>24</v>
      </c>
      <c r="Q127">
        <v>11</v>
      </c>
      <c r="R127">
        <v>37</v>
      </c>
      <c r="S127">
        <v>21</v>
      </c>
      <c r="T127">
        <v>33</v>
      </c>
      <c r="U127">
        <v>22</v>
      </c>
      <c r="V127">
        <v>34</v>
      </c>
      <c r="W127">
        <v>22</v>
      </c>
      <c r="X127">
        <v>45</v>
      </c>
      <c r="Y127">
        <v>36</v>
      </c>
      <c r="Z127">
        <v>40</v>
      </c>
      <c r="AA127">
        <v>43</v>
      </c>
      <c r="AB127">
        <v>31</v>
      </c>
      <c r="AC127">
        <v>30</v>
      </c>
      <c r="AD127">
        <v>20</v>
      </c>
      <c r="AE127">
        <v>37</v>
      </c>
      <c r="AF127">
        <v>34</v>
      </c>
      <c r="AG127">
        <v>28</v>
      </c>
      <c r="AH127">
        <v>43</v>
      </c>
      <c r="AI127">
        <v>45</v>
      </c>
      <c r="AJ127">
        <v>36</v>
      </c>
      <c r="AK127">
        <v>36</v>
      </c>
      <c r="AL127">
        <v>32</v>
      </c>
      <c r="AM127">
        <v>27</v>
      </c>
      <c r="AN127">
        <v>22</v>
      </c>
      <c r="AO127">
        <v>32</v>
      </c>
      <c r="AP127">
        <v>36</v>
      </c>
      <c r="AQ127">
        <v>22</v>
      </c>
      <c r="AR127">
        <v>23</v>
      </c>
      <c r="AS127">
        <v>37</v>
      </c>
      <c r="AT127">
        <v>32</v>
      </c>
      <c r="AU127">
        <v>32</v>
      </c>
      <c r="AV127">
        <v>38</v>
      </c>
      <c r="AW127">
        <v>25</v>
      </c>
      <c r="AX127">
        <v>35</v>
      </c>
      <c r="AY127">
        <v>19</v>
      </c>
      <c r="AZ127">
        <v>23</v>
      </c>
      <c r="BA127">
        <v>24</v>
      </c>
      <c r="BB127">
        <v>27</v>
      </c>
      <c r="BC127">
        <v>37</v>
      </c>
      <c r="BD127">
        <v>19</v>
      </c>
    </row>
    <row r="128" spans="1:56" x14ac:dyDescent="0.25">
      <c r="A128" t="s">
        <v>4290</v>
      </c>
      <c r="B128" t="s">
        <v>165</v>
      </c>
      <c r="C128" t="s">
        <v>109</v>
      </c>
      <c r="D128">
        <v>201</v>
      </c>
      <c r="E128">
        <v>26.117999999999999</v>
      </c>
      <c r="F128">
        <v>8</v>
      </c>
      <c r="G128">
        <v>31</v>
      </c>
      <c r="H128">
        <v>29</v>
      </c>
      <c r="I128">
        <v>26</v>
      </c>
      <c r="J128">
        <v>38</v>
      </c>
      <c r="K128">
        <v>32</v>
      </c>
      <c r="L128">
        <v>26</v>
      </c>
      <c r="M128">
        <v>27</v>
      </c>
      <c r="N128">
        <v>32</v>
      </c>
      <c r="O128">
        <v>22</v>
      </c>
      <c r="P128">
        <v>30</v>
      </c>
      <c r="Q128">
        <v>24</v>
      </c>
      <c r="R128">
        <v>33</v>
      </c>
      <c r="S128">
        <v>34</v>
      </c>
      <c r="T128">
        <v>25</v>
      </c>
      <c r="U128">
        <v>27</v>
      </c>
      <c r="V128">
        <v>28</v>
      </c>
      <c r="W128">
        <v>38</v>
      </c>
      <c r="X128">
        <v>26</v>
      </c>
      <c r="Y128">
        <v>24</v>
      </c>
      <c r="Z128">
        <v>28</v>
      </c>
      <c r="AA128">
        <v>31</v>
      </c>
      <c r="AB128">
        <v>30</v>
      </c>
      <c r="AC128">
        <v>28</v>
      </c>
      <c r="AD128">
        <v>30</v>
      </c>
      <c r="AE128">
        <v>24</v>
      </c>
      <c r="AF128">
        <v>29</v>
      </c>
      <c r="AG128">
        <v>38</v>
      </c>
      <c r="AH128">
        <v>31</v>
      </c>
      <c r="AI128">
        <v>36</v>
      </c>
      <c r="AJ128">
        <v>29</v>
      </c>
      <c r="AK128">
        <v>31</v>
      </c>
      <c r="AL128">
        <v>28</v>
      </c>
      <c r="AM128">
        <v>25</v>
      </c>
      <c r="AN128">
        <v>21</v>
      </c>
      <c r="AO128">
        <v>23</v>
      </c>
      <c r="AP128">
        <v>29</v>
      </c>
      <c r="AQ128">
        <v>29</v>
      </c>
      <c r="AR128">
        <v>21</v>
      </c>
      <c r="AS128">
        <v>14</v>
      </c>
      <c r="AT128">
        <v>17</v>
      </c>
      <c r="AU128">
        <v>23</v>
      </c>
      <c r="AV128">
        <v>16</v>
      </c>
      <c r="AW128">
        <v>19</v>
      </c>
      <c r="AX128">
        <v>16</v>
      </c>
      <c r="AY128">
        <v>18</v>
      </c>
      <c r="AZ128">
        <v>14</v>
      </c>
      <c r="BA128">
        <v>25</v>
      </c>
      <c r="BB128">
        <v>26</v>
      </c>
      <c r="BC128">
        <v>23</v>
      </c>
      <c r="BD128">
        <v>20</v>
      </c>
    </row>
    <row r="129" spans="1:56" x14ac:dyDescent="0.25">
      <c r="A129" t="s">
        <v>4291</v>
      </c>
      <c r="B129" t="s">
        <v>166</v>
      </c>
      <c r="C129" t="s">
        <v>109</v>
      </c>
      <c r="D129">
        <v>90</v>
      </c>
      <c r="E129">
        <v>27.137</v>
      </c>
      <c r="F129">
        <v>19</v>
      </c>
      <c r="G129">
        <v>10</v>
      </c>
      <c r="H129">
        <v>23</v>
      </c>
      <c r="I129">
        <v>18</v>
      </c>
      <c r="J129">
        <v>50</v>
      </c>
      <c r="K129">
        <v>35</v>
      </c>
      <c r="L129">
        <v>30</v>
      </c>
      <c r="M129">
        <v>25</v>
      </c>
      <c r="N129">
        <v>20</v>
      </c>
      <c r="O129">
        <v>17</v>
      </c>
      <c r="P129">
        <v>27</v>
      </c>
      <c r="Q129">
        <v>23</v>
      </c>
      <c r="R129">
        <v>24</v>
      </c>
      <c r="S129">
        <v>34</v>
      </c>
      <c r="T129">
        <v>38</v>
      </c>
      <c r="U129">
        <v>30</v>
      </c>
      <c r="V129">
        <v>32</v>
      </c>
      <c r="W129">
        <v>36</v>
      </c>
      <c r="X129">
        <v>28</v>
      </c>
      <c r="Y129">
        <v>36</v>
      </c>
      <c r="Z129">
        <v>35</v>
      </c>
      <c r="AA129">
        <v>32</v>
      </c>
      <c r="AB129">
        <v>36</v>
      </c>
      <c r="AC129">
        <v>31</v>
      </c>
      <c r="AD129">
        <v>33</v>
      </c>
      <c r="AE129">
        <v>30</v>
      </c>
      <c r="AF129">
        <v>30</v>
      </c>
      <c r="AG129">
        <v>27</v>
      </c>
      <c r="AH129">
        <v>34</v>
      </c>
      <c r="AI129">
        <v>23</v>
      </c>
      <c r="AJ129">
        <v>22</v>
      </c>
      <c r="AK129">
        <v>26</v>
      </c>
      <c r="AL129">
        <v>22</v>
      </c>
      <c r="AM129">
        <v>16</v>
      </c>
      <c r="AN129">
        <v>31</v>
      </c>
      <c r="AO129">
        <v>26</v>
      </c>
      <c r="AP129">
        <v>28</v>
      </c>
      <c r="AQ129">
        <v>26</v>
      </c>
      <c r="AR129">
        <v>30</v>
      </c>
      <c r="AS129">
        <v>26</v>
      </c>
      <c r="AT129">
        <v>24</v>
      </c>
      <c r="AU129">
        <v>29</v>
      </c>
      <c r="AV129">
        <v>29</v>
      </c>
      <c r="AW129">
        <v>28</v>
      </c>
      <c r="AX129">
        <v>24</v>
      </c>
      <c r="AY129">
        <v>21</v>
      </c>
      <c r="AZ129">
        <v>27</v>
      </c>
      <c r="BA129">
        <v>22</v>
      </c>
      <c r="BB129">
        <v>18</v>
      </c>
      <c r="BC129">
        <v>27</v>
      </c>
      <c r="BD129">
        <v>16</v>
      </c>
    </row>
    <row r="130" spans="1:56" x14ac:dyDescent="0.25">
      <c r="A130" t="s">
        <v>4292</v>
      </c>
      <c r="B130" t="s">
        <v>167</v>
      </c>
      <c r="C130" t="s">
        <v>109</v>
      </c>
      <c r="D130">
        <v>204</v>
      </c>
      <c r="E130">
        <v>35.902000000000001</v>
      </c>
      <c r="F130">
        <v>28</v>
      </c>
      <c r="G130">
        <v>29</v>
      </c>
      <c r="H130">
        <v>34</v>
      </c>
      <c r="I130">
        <v>44</v>
      </c>
      <c r="J130">
        <v>48</v>
      </c>
      <c r="K130">
        <v>43</v>
      </c>
      <c r="L130">
        <v>36</v>
      </c>
      <c r="M130">
        <v>47</v>
      </c>
      <c r="N130">
        <v>48</v>
      </c>
      <c r="O130">
        <v>40</v>
      </c>
      <c r="P130">
        <v>40</v>
      </c>
      <c r="Q130">
        <v>44</v>
      </c>
      <c r="R130">
        <v>37</v>
      </c>
      <c r="S130">
        <v>40</v>
      </c>
      <c r="T130">
        <v>41</v>
      </c>
      <c r="U130">
        <v>39</v>
      </c>
      <c r="V130">
        <v>37</v>
      </c>
      <c r="W130">
        <v>40</v>
      </c>
      <c r="X130">
        <v>43</v>
      </c>
      <c r="Y130">
        <v>39</v>
      </c>
      <c r="Z130">
        <v>45</v>
      </c>
      <c r="AA130">
        <v>49</v>
      </c>
      <c r="AB130">
        <v>47</v>
      </c>
      <c r="AC130">
        <v>42</v>
      </c>
      <c r="AD130">
        <v>46</v>
      </c>
      <c r="AE130">
        <v>45</v>
      </c>
      <c r="AF130">
        <v>38</v>
      </c>
      <c r="AG130">
        <v>40</v>
      </c>
      <c r="AH130">
        <v>44</v>
      </c>
      <c r="AI130">
        <v>37</v>
      </c>
      <c r="AJ130">
        <v>36</v>
      </c>
      <c r="AK130">
        <v>34</v>
      </c>
      <c r="AL130">
        <v>43</v>
      </c>
      <c r="AM130">
        <v>35</v>
      </c>
      <c r="AN130">
        <v>25</v>
      </c>
      <c r="AO130">
        <v>32</v>
      </c>
      <c r="AP130">
        <v>27</v>
      </c>
      <c r="AQ130">
        <v>31</v>
      </c>
      <c r="AR130">
        <v>29</v>
      </c>
      <c r="AS130">
        <v>30</v>
      </c>
      <c r="AT130">
        <v>30</v>
      </c>
      <c r="AU130">
        <v>20</v>
      </c>
      <c r="AV130">
        <v>25</v>
      </c>
      <c r="AW130">
        <v>26</v>
      </c>
      <c r="AX130">
        <v>29</v>
      </c>
      <c r="AY130">
        <v>31</v>
      </c>
      <c r="AZ130">
        <v>24</v>
      </c>
      <c r="BA130">
        <v>29</v>
      </c>
      <c r="BB130">
        <v>19</v>
      </c>
      <c r="BC130">
        <v>21</v>
      </c>
      <c r="BD130">
        <v>25</v>
      </c>
    </row>
    <row r="131" spans="1:56" x14ac:dyDescent="0.25">
      <c r="A131" t="s">
        <v>4293</v>
      </c>
      <c r="B131" t="s">
        <v>247</v>
      </c>
      <c r="C131" t="s">
        <v>109</v>
      </c>
      <c r="D131">
        <v>170</v>
      </c>
      <c r="E131">
        <v>23.117999999999999</v>
      </c>
      <c r="F131">
        <v>14</v>
      </c>
      <c r="G131">
        <v>24</v>
      </c>
      <c r="H131">
        <v>24</v>
      </c>
      <c r="I131">
        <v>22</v>
      </c>
      <c r="J131">
        <v>16</v>
      </c>
      <c r="K131">
        <v>19</v>
      </c>
      <c r="L131">
        <v>19</v>
      </c>
      <c r="M131">
        <v>25</v>
      </c>
      <c r="N131">
        <v>22</v>
      </c>
      <c r="O131">
        <v>27</v>
      </c>
      <c r="P131">
        <v>23</v>
      </c>
      <c r="Q131">
        <v>19</v>
      </c>
      <c r="R131">
        <v>17</v>
      </c>
      <c r="S131">
        <v>26</v>
      </c>
      <c r="T131">
        <v>26</v>
      </c>
      <c r="U131">
        <v>20</v>
      </c>
      <c r="V131">
        <v>29</v>
      </c>
      <c r="W131">
        <v>17</v>
      </c>
      <c r="X131">
        <v>28</v>
      </c>
      <c r="Y131">
        <v>29</v>
      </c>
      <c r="Z131">
        <v>31</v>
      </c>
      <c r="AA131">
        <v>23</v>
      </c>
      <c r="AB131">
        <v>28</v>
      </c>
      <c r="AC131">
        <v>38</v>
      </c>
      <c r="AD131">
        <v>27</v>
      </c>
      <c r="AE131">
        <v>22</v>
      </c>
      <c r="AF131">
        <v>32</v>
      </c>
      <c r="AG131">
        <v>26</v>
      </c>
      <c r="AH131">
        <v>25</v>
      </c>
      <c r="AI131">
        <v>41</v>
      </c>
      <c r="AJ131">
        <v>23</v>
      </c>
      <c r="AK131">
        <v>29</v>
      </c>
      <c r="AL131">
        <v>24</v>
      </c>
      <c r="AM131">
        <v>14</v>
      </c>
      <c r="AN131">
        <v>16</v>
      </c>
      <c r="AO131">
        <v>19</v>
      </c>
      <c r="AP131">
        <v>20</v>
      </c>
      <c r="AQ131">
        <v>21</v>
      </c>
      <c r="AR131">
        <v>22</v>
      </c>
      <c r="AS131">
        <v>29</v>
      </c>
      <c r="AT131">
        <v>18</v>
      </c>
      <c r="AU131">
        <v>21</v>
      </c>
      <c r="AV131">
        <v>22</v>
      </c>
      <c r="AW131">
        <v>23</v>
      </c>
      <c r="AX131">
        <v>20</v>
      </c>
      <c r="AY131">
        <v>17</v>
      </c>
      <c r="AZ131">
        <v>15</v>
      </c>
      <c r="BA131">
        <v>26</v>
      </c>
      <c r="BB131">
        <v>16</v>
      </c>
      <c r="BC131">
        <v>19</v>
      </c>
      <c r="BD131">
        <v>26</v>
      </c>
    </row>
    <row r="132" spans="1:56" x14ac:dyDescent="0.25">
      <c r="A132" t="s">
        <v>4294</v>
      </c>
      <c r="B132" t="s">
        <v>169</v>
      </c>
      <c r="C132" t="s">
        <v>109</v>
      </c>
      <c r="D132">
        <v>114</v>
      </c>
      <c r="E132">
        <v>31.059000000000001</v>
      </c>
      <c r="F132">
        <v>23</v>
      </c>
      <c r="G132">
        <v>27</v>
      </c>
      <c r="H132">
        <v>20</v>
      </c>
      <c r="I132">
        <v>20</v>
      </c>
      <c r="J132">
        <v>30</v>
      </c>
      <c r="K132">
        <v>26</v>
      </c>
      <c r="L132">
        <v>32</v>
      </c>
      <c r="M132">
        <v>43</v>
      </c>
      <c r="N132">
        <v>31</v>
      </c>
      <c r="O132">
        <v>46</v>
      </c>
      <c r="P132">
        <v>42</v>
      </c>
      <c r="Q132">
        <v>31</v>
      </c>
      <c r="R132">
        <v>39</v>
      </c>
      <c r="S132">
        <v>33</v>
      </c>
      <c r="T132">
        <v>31</v>
      </c>
      <c r="U132">
        <v>33</v>
      </c>
      <c r="V132">
        <v>34</v>
      </c>
      <c r="W132">
        <v>30</v>
      </c>
      <c r="X132">
        <v>36</v>
      </c>
      <c r="Y132">
        <v>42</v>
      </c>
      <c r="Z132">
        <v>40</v>
      </c>
      <c r="AA132">
        <v>34</v>
      </c>
      <c r="AB132">
        <v>38</v>
      </c>
      <c r="AC132">
        <v>42</v>
      </c>
      <c r="AD132">
        <v>37</v>
      </c>
      <c r="AE132">
        <v>39</v>
      </c>
      <c r="AF132">
        <v>36</v>
      </c>
      <c r="AG132">
        <v>40</v>
      </c>
      <c r="AH132">
        <v>33</v>
      </c>
      <c r="AI132">
        <v>24</v>
      </c>
      <c r="AJ132">
        <v>36</v>
      </c>
      <c r="AK132">
        <v>28</v>
      </c>
      <c r="AL132">
        <v>23</v>
      </c>
      <c r="AM132">
        <v>31</v>
      </c>
      <c r="AN132">
        <v>25</v>
      </c>
      <c r="AO132">
        <v>29</v>
      </c>
      <c r="AP132">
        <v>37</v>
      </c>
      <c r="AQ132">
        <v>27</v>
      </c>
      <c r="AR132">
        <v>25</v>
      </c>
      <c r="AS132">
        <v>27</v>
      </c>
      <c r="AT132">
        <v>28</v>
      </c>
      <c r="AU132">
        <v>28</v>
      </c>
      <c r="AV132">
        <v>26</v>
      </c>
      <c r="AW132">
        <v>31</v>
      </c>
      <c r="AX132">
        <v>26</v>
      </c>
      <c r="AY132">
        <v>29</v>
      </c>
      <c r="AZ132">
        <v>26</v>
      </c>
      <c r="BA132">
        <v>26</v>
      </c>
      <c r="BB132">
        <v>21</v>
      </c>
      <c r="BC132">
        <v>17</v>
      </c>
      <c r="BD132">
        <v>26</v>
      </c>
    </row>
    <row r="133" spans="1:56" x14ac:dyDescent="0.25">
      <c r="A133" t="s">
        <v>4295</v>
      </c>
      <c r="B133" t="s">
        <v>170</v>
      </c>
      <c r="C133" t="s">
        <v>109</v>
      </c>
      <c r="D133">
        <v>775</v>
      </c>
      <c r="E133">
        <v>29.940999999999999</v>
      </c>
      <c r="F133">
        <v>11</v>
      </c>
      <c r="G133">
        <v>23</v>
      </c>
      <c r="H133">
        <v>24</v>
      </c>
      <c r="I133">
        <v>32</v>
      </c>
      <c r="J133">
        <v>38</v>
      </c>
      <c r="K133">
        <v>33</v>
      </c>
      <c r="L133">
        <v>24</v>
      </c>
      <c r="M133">
        <v>29</v>
      </c>
      <c r="N133">
        <v>30</v>
      </c>
      <c r="O133">
        <v>31</v>
      </c>
      <c r="P133">
        <v>32</v>
      </c>
      <c r="Q133">
        <v>26</v>
      </c>
      <c r="R133">
        <v>32</v>
      </c>
      <c r="S133">
        <v>32</v>
      </c>
      <c r="T133">
        <v>31</v>
      </c>
      <c r="U133">
        <v>32</v>
      </c>
      <c r="V133">
        <v>33</v>
      </c>
      <c r="W133">
        <v>32</v>
      </c>
      <c r="X133">
        <v>33</v>
      </c>
      <c r="Y133">
        <v>33</v>
      </c>
      <c r="Z133">
        <v>34</v>
      </c>
      <c r="AA133">
        <v>34</v>
      </c>
      <c r="AB133">
        <v>35</v>
      </c>
      <c r="AC133">
        <v>37</v>
      </c>
      <c r="AD133">
        <v>35</v>
      </c>
      <c r="AE133">
        <v>39</v>
      </c>
      <c r="AF133">
        <v>37</v>
      </c>
      <c r="AG133">
        <v>39</v>
      </c>
      <c r="AH133">
        <v>39</v>
      </c>
      <c r="AI133">
        <v>38</v>
      </c>
      <c r="AJ133">
        <v>32</v>
      </c>
      <c r="AK133">
        <v>35</v>
      </c>
      <c r="AL133">
        <v>27</v>
      </c>
      <c r="AM133">
        <v>30</v>
      </c>
      <c r="AN133">
        <v>30</v>
      </c>
      <c r="AO133">
        <v>32</v>
      </c>
      <c r="AP133">
        <v>35</v>
      </c>
      <c r="AQ133">
        <v>32</v>
      </c>
      <c r="AR133">
        <v>26</v>
      </c>
      <c r="AS133">
        <v>28</v>
      </c>
      <c r="AT133">
        <v>27</v>
      </c>
      <c r="AU133">
        <v>28</v>
      </c>
      <c r="AV133">
        <v>24</v>
      </c>
      <c r="AW133">
        <v>25</v>
      </c>
      <c r="AX133">
        <v>24</v>
      </c>
      <c r="AY133">
        <v>25</v>
      </c>
      <c r="AZ133">
        <v>24</v>
      </c>
      <c r="BA133">
        <v>21</v>
      </c>
      <c r="BB133">
        <v>23</v>
      </c>
      <c r="BC133">
        <v>19</v>
      </c>
      <c r="BD133">
        <v>22</v>
      </c>
    </row>
    <row r="134" spans="1:56" x14ac:dyDescent="0.25">
      <c r="A134" t="s">
        <v>4296</v>
      </c>
      <c r="B134" t="s">
        <v>45</v>
      </c>
      <c r="C134" t="s">
        <v>108</v>
      </c>
      <c r="D134">
        <v>17354</v>
      </c>
      <c r="E134">
        <v>29.843</v>
      </c>
      <c r="F134">
        <v>23</v>
      </c>
      <c r="G134">
        <v>30</v>
      </c>
      <c r="H134">
        <v>31</v>
      </c>
      <c r="I134">
        <v>30</v>
      </c>
      <c r="J134">
        <v>31</v>
      </c>
      <c r="K134">
        <v>30</v>
      </c>
      <c r="L134">
        <v>31</v>
      </c>
      <c r="M134">
        <v>31</v>
      </c>
      <c r="N134">
        <v>28</v>
      </c>
      <c r="O134">
        <v>29</v>
      </c>
      <c r="P134">
        <v>29</v>
      </c>
      <c r="Q134">
        <v>27</v>
      </c>
      <c r="R134">
        <v>29</v>
      </c>
      <c r="S134">
        <v>29</v>
      </c>
      <c r="T134">
        <v>28</v>
      </c>
      <c r="U134">
        <v>30</v>
      </c>
      <c r="V134">
        <v>30</v>
      </c>
      <c r="W134">
        <v>30</v>
      </c>
      <c r="X134">
        <v>31</v>
      </c>
      <c r="Y134">
        <v>31</v>
      </c>
      <c r="Z134">
        <v>31</v>
      </c>
      <c r="AA134">
        <v>32</v>
      </c>
      <c r="AB134">
        <v>33</v>
      </c>
      <c r="AC134">
        <v>32</v>
      </c>
      <c r="AD134">
        <v>33</v>
      </c>
      <c r="AE134">
        <v>33</v>
      </c>
      <c r="AF134">
        <v>32</v>
      </c>
      <c r="AG134">
        <v>32</v>
      </c>
      <c r="AH134">
        <v>32</v>
      </c>
      <c r="AI134">
        <v>33</v>
      </c>
      <c r="AJ134">
        <v>32</v>
      </c>
      <c r="AK134">
        <v>33</v>
      </c>
      <c r="AL134">
        <v>32</v>
      </c>
      <c r="AM134">
        <v>32</v>
      </c>
      <c r="AN134">
        <v>31</v>
      </c>
      <c r="AO134">
        <v>32</v>
      </c>
      <c r="AP134">
        <v>31</v>
      </c>
      <c r="AQ134">
        <v>29</v>
      </c>
      <c r="AR134">
        <v>26</v>
      </c>
      <c r="AS134">
        <v>28</v>
      </c>
      <c r="AT134">
        <v>27</v>
      </c>
      <c r="AU134">
        <v>27</v>
      </c>
      <c r="AV134">
        <v>28</v>
      </c>
      <c r="AW134">
        <v>27</v>
      </c>
      <c r="AX134">
        <v>28</v>
      </c>
      <c r="AY134">
        <v>28</v>
      </c>
      <c r="AZ134">
        <v>28</v>
      </c>
      <c r="BA134">
        <v>28</v>
      </c>
      <c r="BB134">
        <v>29</v>
      </c>
      <c r="BC134">
        <v>27</v>
      </c>
      <c r="BD134">
        <v>28</v>
      </c>
    </row>
    <row r="135" spans="1:56" x14ac:dyDescent="0.25">
      <c r="A135" t="s">
        <v>4297</v>
      </c>
      <c r="B135" t="s">
        <v>110</v>
      </c>
      <c r="C135" t="s">
        <v>108</v>
      </c>
      <c r="D135">
        <v>4755</v>
      </c>
      <c r="E135">
        <v>35.725000000000001</v>
      </c>
      <c r="F135">
        <v>32</v>
      </c>
      <c r="G135">
        <v>38</v>
      </c>
      <c r="H135">
        <v>39</v>
      </c>
      <c r="I135">
        <v>39</v>
      </c>
      <c r="J135">
        <v>38</v>
      </c>
      <c r="K135">
        <v>38</v>
      </c>
      <c r="L135">
        <v>42</v>
      </c>
      <c r="M135">
        <v>41</v>
      </c>
      <c r="N135">
        <v>37</v>
      </c>
      <c r="O135">
        <v>39</v>
      </c>
      <c r="P135">
        <v>40</v>
      </c>
      <c r="Q135">
        <v>37</v>
      </c>
      <c r="R135">
        <v>39</v>
      </c>
      <c r="S135">
        <v>38</v>
      </c>
      <c r="T135">
        <v>37</v>
      </c>
      <c r="U135">
        <v>38</v>
      </c>
      <c r="V135">
        <v>37</v>
      </c>
      <c r="W135">
        <v>37</v>
      </c>
      <c r="X135">
        <v>38</v>
      </c>
      <c r="Y135">
        <v>39</v>
      </c>
      <c r="Z135">
        <v>38</v>
      </c>
      <c r="AA135">
        <v>38</v>
      </c>
      <c r="AB135">
        <v>40</v>
      </c>
      <c r="AC135">
        <v>38</v>
      </c>
      <c r="AD135">
        <v>39</v>
      </c>
      <c r="AE135">
        <v>38</v>
      </c>
      <c r="AF135">
        <v>37</v>
      </c>
      <c r="AG135">
        <v>36</v>
      </c>
      <c r="AH135">
        <v>36</v>
      </c>
      <c r="AI135">
        <v>36</v>
      </c>
      <c r="AJ135">
        <v>37</v>
      </c>
      <c r="AK135">
        <v>37</v>
      </c>
      <c r="AL135">
        <v>37</v>
      </c>
      <c r="AM135">
        <v>37</v>
      </c>
      <c r="AN135">
        <v>36</v>
      </c>
      <c r="AO135">
        <v>35</v>
      </c>
      <c r="AP135">
        <v>36</v>
      </c>
      <c r="AQ135">
        <v>32</v>
      </c>
      <c r="AR135">
        <v>29</v>
      </c>
      <c r="AS135">
        <v>31</v>
      </c>
      <c r="AT135">
        <v>30</v>
      </c>
      <c r="AU135">
        <v>31</v>
      </c>
      <c r="AV135">
        <v>32</v>
      </c>
      <c r="AW135">
        <v>30</v>
      </c>
      <c r="AX135">
        <v>30</v>
      </c>
      <c r="AY135">
        <v>32</v>
      </c>
      <c r="AZ135">
        <v>31</v>
      </c>
      <c r="BA135">
        <v>30</v>
      </c>
      <c r="BB135">
        <v>31</v>
      </c>
      <c r="BC135">
        <v>29</v>
      </c>
      <c r="BD135">
        <v>30</v>
      </c>
    </row>
    <row r="136" spans="1:56" x14ac:dyDescent="0.25">
      <c r="A136" t="s">
        <v>4298</v>
      </c>
      <c r="B136" t="s">
        <v>111</v>
      </c>
      <c r="C136" t="s">
        <v>108</v>
      </c>
      <c r="D136">
        <v>61</v>
      </c>
      <c r="E136">
        <v>19</v>
      </c>
      <c r="F136">
        <v>20</v>
      </c>
      <c r="G136">
        <v>22</v>
      </c>
      <c r="H136">
        <v>21</v>
      </c>
      <c r="I136">
        <v>19</v>
      </c>
      <c r="J136">
        <v>19</v>
      </c>
      <c r="K136">
        <v>23</v>
      </c>
      <c r="L136">
        <v>17</v>
      </c>
      <c r="M136">
        <v>18</v>
      </c>
      <c r="N136">
        <v>23</v>
      </c>
      <c r="O136">
        <v>20</v>
      </c>
      <c r="P136">
        <v>27</v>
      </c>
      <c r="Q136">
        <v>20</v>
      </c>
      <c r="R136">
        <v>24</v>
      </c>
      <c r="S136">
        <v>17</v>
      </c>
      <c r="T136">
        <v>22</v>
      </c>
      <c r="U136">
        <v>21</v>
      </c>
      <c r="V136">
        <v>28</v>
      </c>
      <c r="W136">
        <v>20</v>
      </c>
      <c r="X136">
        <v>25</v>
      </c>
      <c r="Y136">
        <v>21</v>
      </c>
      <c r="Z136">
        <v>23</v>
      </c>
      <c r="AA136">
        <v>19</v>
      </c>
      <c r="AB136">
        <v>15</v>
      </c>
      <c r="AC136">
        <v>18</v>
      </c>
      <c r="AD136">
        <v>14</v>
      </c>
      <c r="AE136">
        <v>23</v>
      </c>
      <c r="AF136">
        <v>14</v>
      </c>
      <c r="AG136">
        <v>23</v>
      </c>
      <c r="AH136">
        <v>23</v>
      </c>
      <c r="AI136">
        <v>17</v>
      </c>
      <c r="AJ136">
        <v>21</v>
      </c>
      <c r="AK136">
        <v>16</v>
      </c>
      <c r="AL136">
        <v>24</v>
      </c>
      <c r="AM136">
        <v>20</v>
      </c>
      <c r="AN136">
        <v>19</v>
      </c>
      <c r="AO136">
        <v>17</v>
      </c>
      <c r="AP136">
        <v>23</v>
      </c>
      <c r="AQ136">
        <v>16</v>
      </c>
      <c r="AR136">
        <v>20</v>
      </c>
      <c r="AS136">
        <v>23</v>
      </c>
      <c r="AT136">
        <v>13</v>
      </c>
      <c r="AU136">
        <v>18</v>
      </c>
      <c r="AV136">
        <v>19</v>
      </c>
      <c r="AW136">
        <v>18</v>
      </c>
      <c r="AX136">
        <v>9</v>
      </c>
      <c r="AY136">
        <v>11</v>
      </c>
      <c r="AZ136">
        <v>12</v>
      </c>
      <c r="BA136">
        <v>9</v>
      </c>
      <c r="BB136">
        <v>13</v>
      </c>
      <c r="BC136">
        <v>13</v>
      </c>
      <c r="BD136">
        <v>19</v>
      </c>
    </row>
    <row r="137" spans="1:56" x14ac:dyDescent="0.25">
      <c r="A137" t="s">
        <v>4299</v>
      </c>
      <c r="B137" t="s">
        <v>112</v>
      </c>
      <c r="C137" t="s">
        <v>108</v>
      </c>
      <c r="D137">
        <v>181</v>
      </c>
      <c r="E137">
        <v>29.391999999999999</v>
      </c>
      <c r="F137">
        <v>25</v>
      </c>
      <c r="G137">
        <v>36</v>
      </c>
      <c r="H137">
        <v>39</v>
      </c>
      <c r="I137">
        <v>38</v>
      </c>
      <c r="J137">
        <v>33</v>
      </c>
      <c r="K137">
        <v>36</v>
      </c>
      <c r="L137">
        <v>39</v>
      </c>
      <c r="M137">
        <v>38</v>
      </c>
      <c r="N137">
        <v>26</v>
      </c>
      <c r="O137">
        <v>31</v>
      </c>
      <c r="P137">
        <v>30</v>
      </c>
      <c r="Q137">
        <v>33</v>
      </c>
      <c r="R137">
        <v>34</v>
      </c>
      <c r="S137">
        <v>31</v>
      </c>
      <c r="T137">
        <v>32</v>
      </c>
      <c r="U137">
        <v>33</v>
      </c>
      <c r="V137">
        <v>33</v>
      </c>
      <c r="W137">
        <v>34</v>
      </c>
      <c r="X137">
        <v>29</v>
      </c>
      <c r="Y137">
        <v>35</v>
      </c>
      <c r="Z137">
        <v>35</v>
      </c>
      <c r="AA137">
        <v>34</v>
      </c>
      <c r="AB137">
        <v>33</v>
      </c>
      <c r="AC137">
        <v>39</v>
      </c>
      <c r="AD137">
        <v>34</v>
      </c>
      <c r="AE137">
        <v>31</v>
      </c>
      <c r="AF137">
        <v>32</v>
      </c>
      <c r="AG137">
        <v>31</v>
      </c>
      <c r="AH137">
        <v>32</v>
      </c>
      <c r="AI137">
        <v>31</v>
      </c>
      <c r="AJ137">
        <v>29</v>
      </c>
      <c r="AK137">
        <v>29</v>
      </c>
      <c r="AL137">
        <v>34</v>
      </c>
      <c r="AM137">
        <v>31</v>
      </c>
      <c r="AN137">
        <v>30</v>
      </c>
      <c r="AO137">
        <v>32</v>
      </c>
      <c r="AP137">
        <v>25</v>
      </c>
      <c r="AQ137">
        <v>25</v>
      </c>
      <c r="AR137">
        <v>20</v>
      </c>
      <c r="AS137">
        <v>19</v>
      </c>
      <c r="AT137">
        <v>19</v>
      </c>
      <c r="AU137">
        <v>23</v>
      </c>
      <c r="AV137">
        <v>22</v>
      </c>
      <c r="AW137">
        <v>23</v>
      </c>
      <c r="AX137">
        <v>20</v>
      </c>
      <c r="AY137">
        <v>24</v>
      </c>
      <c r="AZ137">
        <v>19</v>
      </c>
      <c r="BA137">
        <v>21</v>
      </c>
      <c r="BB137">
        <v>14</v>
      </c>
      <c r="BC137">
        <v>21</v>
      </c>
      <c r="BD137">
        <v>22</v>
      </c>
    </row>
    <row r="138" spans="1:56" x14ac:dyDescent="0.25">
      <c r="A138" t="s">
        <v>4300</v>
      </c>
      <c r="B138" t="s">
        <v>113</v>
      </c>
      <c r="C138" t="s">
        <v>108</v>
      </c>
      <c r="D138">
        <v>94</v>
      </c>
      <c r="E138">
        <v>26.824000000000002</v>
      </c>
      <c r="F138">
        <v>29</v>
      </c>
      <c r="G138">
        <v>25</v>
      </c>
      <c r="H138">
        <v>32</v>
      </c>
      <c r="I138">
        <v>39</v>
      </c>
      <c r="J138">
        <v>27</v>
      </c>
      <c r="K138">
        <v>24</v>
      </c>
      <c r="L138">
        <v>25</v>
      </c>
      <c r="M138">
        <v>28</v>
      </c>
      <c r="N138">
        <v>21</v>
      </c>
      <c r="O138">
        <v>32</v>
      </c>
      <c r="P138">
        <v>29</v>
      </c>
      <c r="Q138">
        <v>22</v>
      </c>
      <c r="R138">
        <v>35</v>
      </c>
      <c r="S138">
        <v>30</v>
      </c>
      <c r="T138">
        <v>23</v>
      </c>
      <c r="U138">
        <v>40</v>
      </c>
      <c r="V138">
        <v>37</v>
      </c>
      <c r="W138">
        <v>27</v>
      </c>
      <c r="X138">
        <v>34</v>
      </c>
      <c r="Y138">
        <v>34</v>
      </c>
      <c r="Z138">
        <v>29</v>
      </c>
      <c r="AA138">
        <v>23</v>
      </c>
      <c r="AB138">
        <v>32</v>
      </c>
      <c r="AC138">
        <v>32</v>
      </c>
      <c r="AD138">
        <v>28</v>
      </c>
      <c r="AE138">
        <v>29</v>
      </c>
      <c r="AF138">
        <v>32</v>
      </c>
      <c r="AG138">
        <v>20</v>
      </c>
      <c r="AH138">
        <v>21</v>
      </c>
      <c r="AI138">
        <v>27</v>
      </c>
      <c r="AJ138">
        <v>31</v>
      </c>
      <c r="AK138">
        <v>29</v>
      </c>
      <c r="AL138">
        <v>27</v>
      </c>
      <c r="AM138">
        <v>24</v>
      </c>
      <c r="AN138">
        <v>32</v>
      </c>
      <c r="AO138">
        <v>18</v>
      </c>
      <c r="AP138">
        <v>23</v>
      </c>
      <c r="AQ138">
        <v>21</v>
      </c>
      <c r="AR138">
        <v>16</v>
      </c>
      <c r="AS138">
        <v>18</v>
      </c>
      <c r="AT138">
        <v>21</v>
      </c>
      <c r="AU138">
        <v>19</v>
      </c>
      <c r="AV138">
        <v>20</v>
      </c>
      <c r="AW138">
        <v>23</v>
      </c>
      <c r="AX138">
        <v>23</v>
      </c>
      <c r="AY138">
        <v>28</v>
      </c>
      <c r="AZ138">
        <v>26</v>
      </c>
      <c r="BA138">
        <v>28</v>
      </c>
      <c r="BB138">
        <v>32</v>
      </c>
      <c r="BC138">
        <v>17</v>
      </c>
      <c r="BD138">
        <v>26</v>
      </c>
    </row>
    <row r="139" spans="1:56" x14ac:dyDescent="0.25">
      <c r="A139" t="s">
        <v>4301</v>
      </c>
      <c r="B139" t="s">
        <v>114</v>
      </c>
      <c r="C139" t="s">
        <v>108</v>
      </c>
      <c r="D139">
        <v>159</v>
      </c>
      <c r="E139">
        <v>35.411999999999999</v>
      </c>
      <c r="F139">
        <v>31</v>
      </c>
      <c r="G139">
        <v>39</v>
      </c>
      <c r="H139">
        <v>37</v>
      </c>
      <c r="I139">
        <v>41</v>
      </c>
      <c r="J139">
        <v>39</v>
      </c>
      <c r="K139">
        <v>37</v>
      </c>
      <c r="L139">
        <v>38</v>
      </c>
      <c r="M139">
        <v>43</v>
      </c>
      <c r="N139">
        <v>44</v>
      </c>
      <c r="O139">
        <v>35</v>
      </c>
      <c r="P139">
        <v>40</v>
      </c>
      <c r="Q139">
        <v>36</v>
      </c>
      <c r="R139">
        <v>35</v>
      </c>
      <c r="S139">
        <v>33</v>
      </c>
      <c r="T139">
        <v>41</v>
      </c>
      <c r="U139">
        <v>34</v>
      </c>
      <c r="V139">
        <v>31</v>
      </c>
      <c r="W139">
        <v>41</v>
      </c>
      <c r="X139">
        <v>36</v>
      </c>
      <c r="Y139">
        <v>43</v>
      </c>
      <c r="Z139">
        <v>35</v>
      </c>
      <c r="AA139">
        <v>34</v>
      </c>
      <c r="AB139">
        <v>38</v>
      </c>
      <c r="AC139">
        <v>36</v>
      </c>
      <c r="AD139">
        <v>35</v>
      </c>
      <c r="AE139">
        <v>33</v>
      </c>
      <c r="AF139">
        <v>38</v>
      </c>
      <c r="AG139">
        <v>35</v>
      </c>
      <c r="AH139">
        <v>35</v>
      </c>
      <c r="AI139">
        <v>43</v>
      </c>
      <c r="AJ139">
        <v>33</v>
      </c>
      <c r="AK139">
        <v>41</v>
      </c>
      <c r="AL139">
        <v>39</v>
      </c>
      <c r="AM139">
        <v>35</v>
      </c>
      <c r="AN139">
        <v>31</v>
      </c>
      <c r="AO139">
        <v>33</v>
      </c>
      <c r="AP139">
        <v>34</v>
      </c>
      <c r="AQ139">
        <v>36</v>
      </c>
      <c r="AR139">
        <v>27</v>
      </c>
      <c r="AS139">
        <v>33</v>
      </c>
      <c r="AT139">
        <v>28</v>
      </c>
      <c r="AU139">
        <v>29</v>
      </c>
      <c r="AV139">
        <v>33</v>
      </c>
      <c r="AW139">
        <v>26</v>
      </c>
      <c r="AX139">
        <v>33</v>
      </c>
      <c r="AY139">
        <v>31</v>
      </c>
      <c r="AZ139">
        <v>34</v>
      </c>
      <c r="BA139">
        <v>32</v>
      </c>
      <c r="BB139">
        <v>38</v>
      </c>
      <c r="BC139">
        <v>36</v>
      </c>
      <c r="BD139">
        <v>28</v>
      </c>
    </row>
    <row r="140" spans="1:56" x14ac:dyDescent="0.25">
      <c r="A140" t="s">
        <v>4302</v>
      </c>
      <c r="B140" t="s">
        <v>115</v>
      </c>
      <c r="C140" t="s">
        <v>108</v>
      </c>
      <c r="D140">
        <v>101</v>
      </c>
      <c r="E140">
        <v>37.078000000000003</v>
      </c>
      <c r="F140">
        <v>32</v>
      </c>
      <c r="G140">
        <v>39</v>
      </c>
      <c r="H140">
        <v>38</v>
      </c>
      <c r="I140">
        <v>47</v>
      </c>
      <c r="J140">
        <v>42</v>
      </c>
      <c r="K140">
        <v>43</v>
      </c>
      <c r="L140">
        <v>38</v>
      </c>
      <c r="M140">
        <v>45</v>
      </c>
      <c r="N140">
        <v>48</v>
      </c>
      <c r="O140">
        <v>39</v>
      </c>
      <c r="P140">
        <v>38</v>
      </c>
      <c r="Q140">
        <v>38</v>
      </c>
      <c r="R140">
        <v>42</v>
      </c>
      <c r="S140">
        <v>36</v>
      </c>
      <c r="T140">
        <v>42</v>
      </c>
      <c r="U140">
        <v>34</v>
      </c>
      <c r="V140">
        <v>36</v>
      </c>
      <c r="W140">
        <v>40</v>
      </c>
      <c r="X140">
        <v>42</v>
      </c>
      <c r="Y140">
        <v>47</v>
      </c>
      <c r="Z140">
        <v>40</v>
      </c>
      <c r="AA140">
        <v>41</v>
      </c>
      <c r="AB140">
        <v>38</v>
      </c>
      <c r="AC140">
        <v>38</v>
      </c>
      <c r="AD140">
        <v>34</v>
      </c>
      <c r="AE140">
        <v>33</v>
      </c>
      <c r="AF140">
        <v>48</v>
      </c>
      <c r="AG140">
        <v>36</v>
      </c>
      <c r="AH140">
        <v>37</v>
      </c>
      <c r="AI140">
        <v>43</v>
      </c>
      <c r="AJ140">
        <v>36</v>
      </c>
      <c r="AK140">
        <v>43</v>
      </c>
      <c r="AL140">
        <v>40</v>
      </c>
      <c r="AM140">
        <v>38</v>
      </c>
      <c r="AN140">
        <v>31</v>
      </c>
      <c r="AO140">
        <v>34</v>
      </c>
      <c r="AP140">
        <v>31</v>
      </c>
      <c r="AQ140">
        <v>35</v>
      </c>
      <c r="AR140">
        <v>28</v>
      </c>
      <c r="AS140">
        <v>31</v>
      </c>
      <c r="AT140">
        <v>33</v>
      </c>
      <c r="AU140">
        <v>28</v>
      </c>
      <c r="AV140">
        <v>33</v>
      </c>
      <c r="AW140">
        <v>26</v>
      </c>
      <c r="AX140">
        <v>31</v>
      </c>
      <c r="AY140">
        <v>32</v>
      </c>
      <c r="AZ140">
        <v>37</v>
      </c>
      <c r="BA140">
        <v>28</v>
      </c>
      <c r="BB140">
        <v>39</v>
      </c>
      <c r="BC140">
        <v>33</v>
      </c>
      <c r="BD140">
        <v>30</v>
      </c>
    </row>
    <row r="141" spans="1:56" x14ac:dyDescent="0.25">
      <c r="A141" t="s">
        <v>4303</v>
      </c>
      <c r="B141" t="s">
        <v>116</v>
      </c>
      <c r="C141" t="s">
        <v>108</v>
      </c>
      <c r="D141">
        <v>112</v>
      </c>
      <c r="E141">
        <v>26.49</v>
      </c>
      <c r="F141">
        <v>23</v>
      </c>
      <c r="G141">
        <v>26</v>
      </c>
      <c r="H141">
        <v>28</v>
      </c>
      <c r="I141">
        <v>27</v>
      </c>
      <c r="J141">
        <v>27</v>
      </c>
      <c r="K141">
        <v>28</v>
      </c>
      <c r="L141">
        <v>26</v>
      </c>
      <c r="M141">
        <v>28</v>
      </c>
      <c r="N141">
        <v>29</v>
      </c>
      <c r="O141">
        <v>31</v>
      </c>
      <c r="P141">
        <v>31</v>
      </c>
      <c r="Q141">
        <v>30</v>
      </c>
      <c r="R141">
        <v>28</v>
      </c>
      <c r="S141">
        <v>28</v>
      </c>
      <c r="T141">
        <v>23</v>
      </c>
      <c r="U141">
        <v>28</v>
      </c>
      <c r="V141">
        <v>28</v>
      </c>
      <c r="W141">
        <v>24</v>
      </c>
      <c r="X141">
        <v>28</v>
      </c>
      <c r="Y141">
        <v>26</v>
      </c>
      <c r="Z141">
        <v>26</v>
      </c>
      <c r="AA141">
        <v>25</v>
      </c>
      <c r="AB141">
        <v>33</v>
      </c>
      <c r="AC141">
        <v>27</v>
      </c>
      <c r="AD141">
        <v>25</v>
      </c>
      <c r="AE141">
        <v>33</v>
      </c>
      <c r="AF141">
        <v>26</v>
      </c>
      <c r="AG141">
        <v>25</v>
      </c>
      <c r="AH141">
        <v>22</v>
      </c>
      <c r="AI141">
        <v>25</v>
      </c>
      <c r="AJ141">
        <v>26</v>
      </c>
      <c r="AK141">
        <v>30</v>
      </c>
      <c r="AL141">
        <v>27</v>
      </c>
      <c r="AM141">
        <v>27</v>
      </c>
      <c r="AN141">
        <v>27</v>
      </c>
      <c r="AO141">
        <v>25</v>
      </c>
      <c r="AP141">
        <v>25</v>
      </c>
      <c r="AQ141">
        <v>23</v>
      </c>
      <c r="AR141">
        <v>15</v>
      </c>
      <c r="AS141">
        <v>22</v>
      </c>
      <c r="AT141">
        <v>28</v>
      </c>
      <c r="AU141">
        <v>26</v>
      </c>
      <c r="AV141">
        <v>28</v>
      </c>
      <c r="AW141">
        <v>21</v>
      </c>
      <c r="AX141">
        <v>22</v>
      </c>
      <c r="AY141">
        <v>32</v>
      </c>
      <c r="AZ141">
        <v>22</v>
      </c>
      <c r="BA141">
        <v>27</v>
      </c>
      <c r="BB141">
        <v>30</v>
      </c>
      <c r="BC141">
        <v>29</v>
      </c>
      <c r="BD141">
        <v>25</v>
      </c>
    </row>
    <row r="142" spans="1:56" x14ac:dyDescent="0.25">
      <c r="A142" t="s">
        <v>4304</v>
      </c>
      <c r="B142" t="s">
        <v>117</v>
      </c>
      <c r="C142" t="s">
        <v>108</v>
      </c>
      <c r="D142">
        <v>114</v>
      </c>
      <c r="E142">
        <v>31.451000000000001</v>
      </c>
      <c r="F142">
        <v>26</v>
      </c>
      <c r="G142">
        <v>34</v>
      </c>
      <c r="H142">
        <v>36</v>
      </c>
      <c r="I142">
        <v>33</v>
      </c>
      <c r="J142">
        <v>32</v>
      </c>
      <c r="K142">
        <v>31</v>
      </c>
      <c r="L142">
        <v>38</v>
      </c>
      <c r="M142">
        <v>40</v>
      </c>
      <c r="N142">
        <v>36</v>
      </c>
      <c r="O142">
        <v>36</v>
      </c>
      <c r="P142">
        <v>32</v>
      </c>
      <c r="Q142">
        <v>34</v>
      </c>
      <c r="R142">
        <v>34</v>
      </c>
      <c r="S142">
        <v>34</v>
      </c>
      <c r="T142">
        <v>35</v>
      </c>
      <c r="U142">
        <v>36</v>
      </c>
      <c r="V142">
        <v>34</v>
      </c>
      <c r="W142">
        <v>31</v>
      </c>
      <c r="X142">
        <v>31</v>
      </c>
      <c r="Y142">
        <v>33</v>
      </c>
      <c r="Z142">
        <v>40</v>
      </c>
      <c r="AA142">
        <v>33</v>
      </c>
      <c r="AB142">
        <v>35</v>
      </c>
      <c r="AC142">
        <v>36</v>
      </c>
      <c r="AD142">
        <v>41</v>
      </c>
      <c r="AE142">
        <v>28</v>
      </c>
      <c r="AF142">
        <v>35</v>
      </c>
      <c r="AG142">
        <v>34</v>
      </c>
      <c r="AH142">
        <v>31</v>
      </c>
      <c r="AI142">
        <v>33</v>
      </c>
      <c r="AJ142">
        <v>35</v>
      </c>
      <c r="AK142">
        <v>30</v>
      </c>
      <c r="AL142">
        <v>32</v>
      </c>
      <c r="AM142">
        <v>32</v>
      </c>
      <c r="AN142">
        <v>32</v>
      </c>
      <c r="AO142">
        <v>30</v>
      </c>
      <c r="AP142">
        <v>34</v>
      </c>
      <c r="AQ142">
        <v>30</v>
      </c>
      <c r="AR142">
        <v>21</v>
      </c>
      <c r="AS142">
        <v>23</v>
      </c>
      <c r="AT142">
        <v>27</v>
      </c>
      <c r="AU142">
        <v>29</v>
      </c>
      <c r="AV142">
        <v>27</v>
      </c>
      <c r="AW142">
        <v>20</v>
      </c>
      <c r="AX142">
        <v>25</v>
      </c>
      <c r="AY142">
        <v>22</v>
      </c>
      <c r="AZ142">
        <v>23</v>
      </c>
      <c r="BA142">
        <v>25</v>
      </c>
      <c r="BB142">
        <v>31</v>
      </c>
      <c r="BC142">
        <v>29</v>
      </c>
      <c r="BD142">
        <v>25</v>
      </c>
    </row>
    <row r="143" spans="1:56" x14ac:dyDescent="0.25">
      <c r="A143" t="s">
        <v>4305</v>
      </c>
      <c r="B143" t="s">
        <v>118</v>
      </c>
      <c r="C143" t="s">
        <v>108</v>
      </c>
      <c r="D143">
        <v>106</v>
      </c>
      <c r="E143">
        <v>30.274999999999999</v>
      </c>
      <c r="F143">
        <v>23</v>
      </c>
      <c r="G143">
        <v>35</v>
      </c>
      <c r="H143">
        <v>36</v>
      </c>
      <c r="I143">
        <v>36</v>
      </c>
      <c r="J143">
        <v>30</v>
      </c>
      <c r="K143">
        <v>26</v>
      </c>
      <c r="L143">
        <v>30</v>
      </c>
      <c r="M143">
        <v>35</v>
      </c>
      <c r="N143">
        <v>35</v>
      </c>
      <c r="O143">
        <v>36</v>
      </c>
      <c r="P143">
        <v>34</v>
      </c>
      <c r="Q143">
        <v>29</v>
      </c>
      <c r="R143">
        <v>30</v>
      </c>
      <c r="S143">
        <v>33</v>
      </c>
      <c r="T143">
        <v>38</v>
      </c>
      <c r="U143">
        <v>34</v>
      </c>
      <c r="V143">
        <v>29</v>
      </c>
      <c r="W143">
        <v>39</v>
      </c>
      <c r="X143">
        <v>33</v>
      </c>
      <c r="Y143">
        <v>40</v>
      </c>
      <c r="Z143">
        <v>33</v>
      </c>
      <c r="AA143">
        <v>34</v>
      </c>
      <c r="AB143">
        <v>34</v>
      </c>
      <c r="AC143">
        <v>32</v>
      </c>
      <c r="AD143">
        <v>33</v>
      </c>
      <c r="AE143">
        <v>31</v>
      </c>
      <c r="AF143">
        <v>36</v>
      </c>
      <c r="AG143">
        <v>33</v>
      </c>
      <c r="AH143">
        <v>37</v>
      </c>
      <c r="AI143">
        <v>28</v>
      </c>
      <c r="AJ143">
        <v>36</v>
      </c>
      <c r="AK143">
        <v>31</v>
      </c>
      <c r="AL143">
        <v>28</v>
      </c>
      <c r="AM143">
        <v>28</v>
      </c>
      <c r="AN143">
        <v>33</v>
      </c>
      <c r="AO143">
        <v>25</v>
      </c>
      <c r="AP143">
        <v>27</v>
      </c>
      <c r="AQ143">
        <v>28</v>
      </c>
      <c r="AR143">
        <v>27</v>
      </c>
      <c r="AS143">
        <v>24</v>
      </c>
      <c r="AT143">
        <v>20</v>
      </c>
      <c r="AU143">
        <v>25</v>
      </c>
      <c r="AV143">
        <v>22</v>
      </c>
      <c r="AW143">
        <v>19</v>
      </c>
      <c r="AX143">
        <v>26</v>
      </c>
      <c r="AY143">
        <v>30</v>
      </c>
      <c r="AZ143">
        <v>24</v>
      </c>
      <c r="BA143">
        <v>29</v>
      </c>
      <c r="BB143">
        <v>26</v>
      </c>
      <c r="BC143">
        <v>27</v>
      </c>
      <c r="BD143">
        <v>17</v>
      </c>
    </row>
    <row r="144" spans="1:56" x14ac:dyDescent="0.25">
      <c r="A144" t="s">
        <v>4306</v>
      </c>
      <c r="B144" t="s">
        <v>119</v>
      </c>
      <c r="C144" t="s">
        <v>108</v>
      </c>
      <c r="D144">
        <v>200</v>
      </c>
      <c r="E144">
        <v>34.255000000000003</v>
      </c>
      <c r="F144">
        <v>28</v>
      </c>
      <c r="G144">
        <v>34</v>
      </c>
      <c r="H144">
        <v>33</v>
      </c>
      <c r="I144">
        <v>33</v>
      </c>
      <c r="J144">
        <v>36</v>
      </c>
      <c r="K144">
        <v>36</v>
      </c>
      <c r="L144">
        <v>41</v>
      </c>
      <c r="M144">
        <v>41</v>
      </c>
      <c r="N144">
        <v>38</v>
      </c>
      <c r="O144">
        <v>39</v>
      </c>
      <c r="P144">
        <v>37</v>
      </c>
      <c r="Q144">
        <v>34</v>
      </c>
      <c r="R144">
        <v>33</v>
      </c>
      <c r="S144">
        <v>35</v>
      </c>
      <c r="T144">
        <v>38</v>
      </c>
      <c r="U144">
        <v>31</v>
      </c>
      <c r="V144">
        <v>31</v>
      </c>
      <c r="W144">
        <v>31</v>
      </c>
      <c r="X144">
        <v>32</v>
      </c>
      <c r="Y144">
        <v>40</v>
      </c>
      <c r="Z144">
        <v>36</v>
      </c>
      <c r="AA144">
        <v>39</v>
      </c>
      <c r="AB144">
        <v>40</v>
      </c>
      <c r="AC144">
        <v>37</v>
      </c>
      <c r="AD144">
        <v>39</v>
      </c>
      <c r="AE144">
        <v>36</v>
      </c>
      <c r="AF144">
        <v>33</v>
      </c>
      <c r="AG144">
        <v>34</v>
      </c>
      <c r="AH144">
        <v>36</v>
      </c>
      <c r="AI144">
        <v>41</v>
      </c>
      <c r="AJ144">
        <v>33</v>
      </c>
      <c r="AK144">
        <v>36</v>
      </c>
      <c r="AL144">
        <v>37</v>
      </c>
      <c r="AM144">
        <v>39</v>
      </c>
      <c r="AN144">
        <v>36</v>
      </c>
      <c r="AO144">
        <v>36</v>
      </c>
      <c r="AP144">
        <v>34</v>
      </c>
      <c r="AQ144">
        <v>37</v>
      </c>
      <c r="AR144">
        <v>33</v>
      </c>
      <c r="AS144">
        <v>35</v>
      </c>
      <c r="AT144">
        <v>31</v>
      </c>
      <c r="AU144">
        <v>32</v>
      </c>
      <c r="AV144">
        <v>30</v>
      </c>
      <c r="AW144">
        <v>30</v>
      </c>
      <c r="AX144">
        <v>27</v>
      </c>
      <c r="AY144">
        <v>31</v>
      </c>
      <c r="AZ144">
        <v>28</v>
      </c>
      <c r="BA144">
        <v>27</v>
      </c>
      <c r="BB144">
        <v>30</v>
      </c>
      <c r="BC144">
        <v>27</v>
      </c>
      <c r="BD144">
        <v>26</v>
      </c>
    </row>
    <row r="145" spans="1:56" x14ac:dyDescent="0.25">
      <c r="A145" t="s">
        <v>4307</v>
      </c>
      <c r="B145" t="s">
        <v>120</v>
      </c>
      <c r="C145" t="s">
        <v>108</v>
      </c>
      <c r="D145">
        <v>55</v>
      </c>
      <c r="E145">
        <v>36.706000000000003</v>
      </c>
      <c r="F145">
        <v>20</v>
      </c>
      <c r="G145">
        <v>22</v>
      </c>
      <c r="H145">
        <v>37</v>
      </c>
      <c r="I145">
        <v>39</v>
      </c>
      <c r="J145">
        <v>27</v>
      </c>
      <c r="K145">
        <v>39</v>
      </c>
      <c r="L145">
        <v>34</v>
      </c>
      <c r="M145">
        <v>40</v>
      </c>
      <c r="N145">
        <v>35</v>
      </c>
      <c r="O145">
        <v>31</v>
      </c>
      <c r="P145">
        <v>35</v>
      </c>
      <c r="Q145">
        <v>27</v>
      </c>
      <c r="R145">
        <v>28</v>
      </c>
      <c r="S145">
        <v>35</v>
      </c>
      <c r="T145">
        <v>27</v>
      </c>
      <c r="U145">
        <v>29</v>
      </c>
      <c r="V145">
        <v>28</v>
      </c>
      <c r="W145">
        <v>26</v>
      </c>
      <c r="X145">
        <v>29</v>
      </c>
      <c r="Y145">
        <v>41</v>
      </c>
      <c r="Z145">
        <v>40</v>
      </c>
      <c r="AA145">
        <v>38</v>
      </c>
      <c r="AB145">
        <v>36</v>
      </c>
      <c r="AC145">
        <v>46</v>
      </c>
      <c r="AD145">
        <v>51</v>
      </c>
      <c r="AE145">
        <v>46</v>
      </c>
      <c r="AF145">
        <v>45</v>
      </c>
      <c r="AG145">
        <v>41</v>
      </c>
      <c r="AH145">
        <v>40</v>
      </c>
      <c r="AI145">
        <v>37</v>
      </c>
      <c r="AJ145">
        <v>37</v>
      </c>
      <c r="AK145">
        <v>37</v>
      </c>
      <c r="AL145">
        <v>38</v>
      </c>
      <c r="AM145">
        <v>38</v>
      </c>
      <c r="AN145">
        <v>43</v>
      </c>
      <c r="AO145">
        <v>36</v>
      </c>
      <c r="AP145">
        <v>35</v>
      </c>
      <c r="AQ145">
        <v>41</v>
      </c>
      <c r="AR145">
        <v>35</v>
      </c>
      <c r="AS145">
        <v>31</v>
      </c>
      <c r="AT145">
        <v>43</v>
      </c>
      <c r="AU145">
        <v>35</v>
      </c>
      <c r="AV145">
        <v>34</v>
      </c>
      <c r="AW145">
        <v>50</v>
      </c>
      <c r="AX145">
        <v>43</v>
      </c>
      <c r="AY145">
        <v>39</v>
      </c>
      <c r="AZ145">
        <v>38</v>
      </c>
      <c r="BA145">
        <v>45</v>
      </c>
      <c r="BB145">
        <v>43</v>
      </c>
      <c r="BC145">
        <v>40</v>
      </c>
      <c r="BD145">
        <v>42</v>
      </c>
    </row>
    <row r="146" spans="1:56" x14ac:dyDescent="0.25">
      <c r="A146" t="s">
        <v>4308</v>
      </c>
      <c r="B146" t="s">
        <v>121</v>
      </c>
      <c r="C146" t="s">
        <v>108</v>
      </c>
      <c r="D146">
        <v>351</v>
      </c>
      <c r="E146">
        <v>37.058999999999997</v>
      </c>
      <c r="F146">
        <v>33</v>
      </c>
      <c r="G146">
        <v>35</v>
      </c>
      <c r="H146">
        <v>41</v>
      </c>
      <c r="I146">
        <v>39</v>
      </c>
      <c r="J146">
        <v>41</v>
      </c>
      <c r="K146">
        <v>40</v>
      </c>
      <c r="L146">
        <v>46</v>
      </c>
      <c r="M146">
        <v>45</v>
      </c>
      <c r="N146">
        <v>41</v>
      </c>
      <c r="O146">
        <v>44</v>
      </c>
      <c r="P146">
        <v>39</v>
      </c>
      <c r="Q146">
        <v>41</v>
      </c>
      <c r="R146">
        <v>39</v>
      </c>
      <c r="S146">
        <v>43</v>
      </c>
      <c r="T146">
        <v>42</v>
      </c>
      <c r="U146">
        <v>40</v>
      </c>
      <c r="V146">
        <v>39</v>
      </c>
      <c r="W146">
        <v>37</v>
      </c>
      <c r="X146">
        <v>46</v>
      </c>
      <c r="Y146">
        <v>41</v>
      </c>
      <c r="Z146">
        <v>36</v>
      </c>
      <c r="AA146">
        <v>44</v>
      </c>
      <c r="AB146">
        <v>44</v>
      </c>
      <c r="AC146">
        <v>41</v>
      </c>
      <c r="AD146">
        <v>40</v>
      </c>
      <c r="AE146">
        <v>40</v>
      </c>
      <c r="AF146">
        <v>45</v>
      </c>
      <c r="AG146">
        <v>38</v>
      </c>
      <c r="AH146">
        <v>38</v>
      </c>
      <c r="AI146">
        <v>41</v>
      </c>
      <c r="AJ146">
        <v>40</v>
      </c>
      <c r="AK146">
        <v>42</v>
      </c>
      <c r="AL146">
        <v>34</v>
      </c>
      <c r="AM146">
        <v>39</v>
      </c>
      <c r="AN146">
        <v>35</v>
      </c>
      <c r="AO146">
        <v>36</v>
      </c>
      <c r="AP146">
        <v>38</v>
      </c>
      <c r="AQ146">
        <v>29</v>
      </c>
      <c r="AR146">
        <v>26</v>
      </c>
      <c r="AS146">
        <v>29</v>
      </c>
      <c r="AT146">
        <v>29</v>
      </c>
      <c r="AU146">
        <v>30</v>
      </c>
      <c r="AV146">
        <v>32</v>
      </c>
      <c r="AW146">
        <v>30</v>
      </c>
      <c r="AX146">
        <v>29</v>
      </c>
      <c r="AY146">
        <v>29</v>
      </c>
      <c r="AZ146">
        <v>26</v>
      </c>
      <c r="BA146">
        <v>28</v>
      </c>
      <c r="BB146">
        <v>28</v>
      </c>
      <c r="BC146">
        <v>29</v>
      </c>
      <c r="BD146">
        <v>33</v>
      </c>
    </row>
    <row r="147" spans="1:56" x14ac:dyDescent="0.25">
      <c r="A147" t="s">
        <v>4309</v>
      </c>
      <c r="B147" t="s">
        <v>122</v>
      </c>
      <c r="C147" t="s">
        <v>108</v>
      </c>
      <c r="D147">
        <v>208</v>
      </c>
      <c r="E147">
        <v>29.175999999999998</v>
      </c>
      <c r="F147">
        <v>29</v>
      </c>
      <c r="G147">
        <v>36</v>
      </c>
      <c r="H147">
        <v>34</v>
      </c>
      <c r="I147">
        <v>37</v>
      </c>
      <c r="J147">
        <v>32</v>
      </c>
      <c r="K147">
        <v>31</v>
      </c>
      <c r="L147">
        <v>34</v>
      </c>
      <c r="M147">
        <v>34</v>
      </c>
      <c r="N147">
        <v>32</v>
      </c>
      <c r="O147">
        <v>32</v>
      </c>
      <c r="P147">
        <v>35</v>
      </c>
      <c r="Q147">
        <v>35</v>
      </c>
      <c r="R147">
        <v>34</v>
      </c>
      <c r="S147">
        <v>37</v>
      </c>
      <c r="T147">
        <v>36</v>
      </c>
      <c r="U147">
        <v>32</v>
      </c>
      <c r="V147">
        <v>34</v>
      </c>
      <c r="W147">
        <v>36</v>
      </c>
      <c r="X147">
        <v>28</v>
      </c>
      <c r="Y147">
        <v>34</v>
      </c>
      <c r="Z147">
        <v>27</v>
      </c>
      <c r="AA147">
        <v>26</v>
      </c>
      <c r="AB147">
        <v>34</v>
      </c>
      <c r="AC147">
        <v>29</v>
      </c>
      <c r="AD147">
        <v>31</v>
      </c>
      <c r="AE147">
        <v>32</v>
      </c>
      <c r="AF147">
        <v>33</v>
      </c>
      <c r="AG147">
        <v>27</v>
      </c>
      <c r="AH147">
        <v>25</v>
      </c>
      <c r="AI147">
        <v>28</v>
      </c>
      <c r="AJ147">
        <v>25</v>
      </c>
      <c r="AK147">
        <v>31</v>
      </c>
      <c r="AL147">
        <v>29</v>
      </c>
      <c r="AM147">
        <v>28</v>
      </c>
      <c r="AN147">
        <v>31</v>
      </c>
      <c r="AO147">
        <v>28</v>
      </c>
      <c r="AP147">
        <v>30</v>
      </c>
      <c r="AQ147">
        <v>23</v>
      </c>
      <c r="AR147">
        <v>19</v>
      </c>
      <c r="AS147">
        <v>26</v>
      </c>
      <c r="AT147">
        <v>22</v>
      </c>
      <c r="AU147">
        <v>25</v>
      </c>
      <c r="AV147">
        <v>22</v>
      </c>
      <c r="AW147">
        <v>23</v>
      </c>
      <c r="AX147">
        <v>17</v>
      </c>
      <c r="AY147">
        <v>27</v>
      </c>
      <c r="AZ147">
        <v>26</v>
      </c>
      <c r="BA147">
        <v>24</v>
      </c>
      <c r="BB147">
        <v>24</v>
      </c>
      <c r="BC147">
        <v>20</v>
      </c>
      <c r="BD147">
        <v>24</v>
      </c>
    </row>
    <row r="148" spans="1:56" x14ac:dyDescent="0.25">
      <c r="A148" t="s">
        <v>4310</v>
      </c>
      <c r="B148" t="s">
        <v>123</v>
      </c>
      <c r="C148" t="s">
        <v>108</v>
      </c>
      <c r="D148">
        <v>184</v>
      </c>
      <c r="E148">
        <v>28.608000000000001</v>
      </c>
      <c r="F148">
        <v>19</v>
      </c>
      <c r="G148">
        <v>28</v>
      </c>
      <c r="H148">
        <v>26</v>
      </c>
      <c r="I148">
        <v>36</v>
      </c>
      <c r="J148">
        <v>32</v>
      </c>
      <c r="K148">
        <v>34</v>
      </c>
      <c r="L148">
        <v>42</v>
      </c>
      <c r="M148">
        <v>37</v>
      </c>
      <c r="N148">
        <v>32</v>
      </c>
      <c r="O148">
        <v>34</v>
      </c>
      <c r="P148">
        <v>32</v>
      </c>
      <c r="Q148">
        <v>31</v>
      </c>
      <c r="R148">
        <v>32</v>
      </c>
      <c r="S148">
        <v>27</v>
      </c>
      <c r="T148">
        <v>22</v>
      </c>
      <c r="U148">
        <v>31</v>
      </c>
      <c r="V148">
        <v>30</v>
      </c>
      <c r="W148">
        <v>29</v>
      </c>
      <c r="X148">
        <v>29</v>
      </c>
      <c r="Y148">
        <v>30</v>
      </c>
      <c r="Z148">
        <v>34</v>
      </c>
      <c r="AA148">
        <v>33</v>
      </c>
      <c r="AB148">
        <v>34</v>
      </c>
      <c r="AC148">
        <v>32</v>
      </c>
      <c r="AD148">
        <v>39</v>
      </c>
      <c r="AE148">
        <v>29</v>
      </c>
      <c r="AF148">
        <v>34</v>
      </c>
      <c r="AG148">
        <v>32</v>
      </c>
      <c r="AH148">
        <v>27</v>
      </c>
      <c r="AI148">
        <v>30</v>
      </c>
      <c r="AJ148">
        <v>30</v>
      </c>
      <c r="AK148">
        <v>28</v>
      </c>
      <c r="AL148">
        <v>30</v>
      </c>
      <c r="AM148">
        <v>28</v>
      </c>
      <c r="AN148">
        <v>31</v>
      </c>
      <c r="AO148">
        <v>29</v>
      </c>
      <c r="AP148">
        <v>29</v>
      </c>
      <c r="AQ148">
        <v>29</v>
      </c>
      <c r="AR148">
        <v>24</v>
      </c>
      <c r="AS148">
        <v>24</v>
      </c>
      <c r="AT148">
        <v>22</v>
      </c>
      <c r="AU148">
        <v>23</v>
      </c>
      <c r="AV148">
        <v>24</v>
      </c>
      <c r="AW148">
        <v>20</v>
      </c>
      <c r="AX148">
        <v>17</v>
      </c>
      <c r="AY148">
        <v>22</v>
      </c>
      <c r="AZ148">
        <v>23</v>
      </c>
      <c r="BA148">
        <v>22</v>
      </c>
      <c r="BB148">
        <v>28</v>
      </c>
      <c r="BC148">
        <v>19</v>
      </c>
      <c r="BD148">
        <v>20</v>
      </c>
    </row>
    <row r="149" spans="1:56" x14ac:dyDescent="0.25">
      <c r="A149" t="s">
        <v>4311</v>
      </c>
      <c r="B149" t="s">
        <v>124</v>
      </c>
      <c r="C149" t="s">
        <v>108</v>
      </c>
      <c r="D149">
        <v>825</v>
      </c>
      <c r="E149">
        <v>30.332999999999998</v>
      </c>
      <c r="F149">
        <v>29</v>
      </c>
      <c r="G149">
        <v>33</v>
      </c>
      <c r="H149">
        <v>37</v>
      </c>
      <c r="I149">
        <v>35</v>
      </c>
      <c r="J149">
        <v>34</v>
      </c>
      <c r="K149">
        <v>36</v>
      </c>
      <c r="L149">
        <v>37</v>
      </c>
      <c r="M149">
        <v>35</v>
      </c>
      <c r="N149">
        <v>32</v>
      </c>
      <c r="O149">
        <v>34</v>
      </c>
      <c r="P149">
        <v>37</v>
      </c>
      <c r="Q149">
        <v>32</v>
      </c>
      <c r="R149">
        <v>35</v>
      </c>
      <c r="S149">
        <v>33</v>
      </c>
      <c r="T149">
        <v>33</v>
      </c>
      <c r="U149">
        <v>30</v>
      </c>
      <c r="V149">
        <v>33</v>
      </c>
      <c r="W149">
        <v>32</v>
      </c>
      <c r="X149">
        <v>31</v>
      </c>
      <c r="Y149">
        <v>32</v>
      </c>
      <c r="Z149">
        <v>33</v>
      </c>
      <c r="AA149">
        <v>33</v>
      </c>
      <c r="AB149">
        <v>35</v>
      </c>
      <c r="AC149">
        <v>30</v>
      </c>
      <c r="AD149">
        <v>31</v>
      </c>
      <c r="AE149">
        <v>32</v>
      </c>
      <c r="AF149">
        <v>30</v>
      </c>
      <c r="AG149">
        <v>30</v>
      </c>
      <c r="AH149">
        <v>30</v>
      </c>
      <c r="AI149">
        <v>31</v>
      </c>
      <c r="AJ149">
        <v>30</v>
      </c>
      <c r="AK149">
        <v>29</v>
      </c>
      <c r="AL149">
        <v>29</v>
      </c>
      <c r="AM149">
        <v>31</v>
      </c>
      <c r="AN149">
        <v>27</v>
      </c>
      <c r="AO149">
        <v>29</v>
      </c>
      <c r="AP149">
        <v>32</v>
      </c>
      <c r="AQ149">
        <v>26</v>
      </c>
      <c r="AR149">
        <v>26</v>
      </c>
      <c r="AS149">
        <v>23</v>
      </c>
      <c r="AT149">
        <v>25</v>
      </c>
      <c r="AU149">
        <v>26</v>
      </c>
      <c r="AV149">
        <v>28</v>
      </c>
      <c r="AW149">
        <v>25</v>
      </c>
      <c r="AX149">
        <v>25</v>
      </c>
      <c r="AY149">
        <v>25</v>
      </c>
      <c r="AZ149">
        <v>25</v>
      </c>
      <c r="BA149">
        <v>25</v>
      </c>
      <c r="BB149">
        <v>26</v>
      </c>
      <c r="BC149">
        <v>24</v>
      </c>
      <c r="BD149">
        <v>26</v>
      </c>
    </row>
    <row r="150" spans="1:56" x14ac:dyDescent="0.25">
      <c r="A150" t="s">
        <v>4312</v>
      </c>
      <c r="B150" t="s">
        <v>125</v>
      </c>
      <c r="C150" t="s">
        <v>108</v>
      </c>
      <c r="D150">
        <v>563</v>
      </c>
      <c r="E150">
        <v>51.372999999999998</v>
      </c>
      <c r="F150">
        <v>47</v>
      </c>
      <c r="G150">
        <v>53</v>
      </c>
      <c r="H150">
        <v>55</v>
      </c>
      <c r="I150">
        <v>57</v>
      </c>
      <c r="J150">
        <v>51</v>
      </c>
      <c r="K150">
        <v>51</v>
      </c>
      <c r="L150">
        <v>57</v>
      </c>
      <c r="M150">
        <v>55</v>
      </c>
      <c r="N150">
        <v>52</v>
      </c>
      <c r="O150">
        <v>55</v>
      </c>
      <c r="P150">
        <v>57</v>
      </c>
      <c r="Q150">
        <v>54</v>
      </c>
      <c r="R150">
        <v>56</v>
      </c>
      <c r="S150">
        <v>49</v>
      </c>
      <c r="T150">
        <v>52</v>
      </c>
      <c r="U150">
        <v>54</v>
      </c>
      <c r="V150">
        <v>52</v>
      </c>
      <c r="W150">
        <v>53</v>
      </c>
      <c r="X150">
        <v>54</v>
      </c>
      <c r="Y150">
        <v>54</v>
      </c>
      <c r="Z150">
        <v>51</v>
      </c>
      <c r="AA150">
        <v>53</v>
      </c>
      <c r="AB150">
        <v>56</v>
      </c>
      <c r="AC150">
        <v>52</v>
      </c>
      <c r="AD150">
        <v>55</v>
      </c>
      <c r="AE150">
        <v>54</v>
      </c>
      <c r="AF150">
        <v>51</v>
      </c>
      <c r="AG150">
        <v>48</v>
      </c>
      <c r="AH150">
        <v>52</v>
      </c>
      <c r="AI150">
        <v>49</v>
      </c>
      <c r="AJ150">
        <v>56</v>
      </c>
      <c r="AK150">
        <v>54</v>
      </c>
      <c r="AL150">
        <v>57</v>
      </c>
      <c r="AM150">
        <v>54</v>
      </c>
      <c r="AN150">
        <v>53</v>
      </c>
      <c r="AO150">
        <v>51</v>
      </c>
      <c r="AP150">
        <v>52</v>
      </c>
      <c r="AQ150">
        <v>48</v>
      </c>
      <c r="AR150">
        <v>46</v>
      </c>
      <c r="AS150">
        <v>48</v>
      </c>
      <c r="AT150">
        <v>47</v>
      </c>
      <c r="AU150">
        <v>47</v>
      </c>
      <c r="AV150">
        <v>48</v>
      </c>
      <c r="AW150">
        <v>46</v>
      </c>
      <c r="AX150">
        <v>46</v>
      </c>
      <c r="AY150">
        <v>44</v>
      </c>
      <c r="AZ150">
        <v>44</v>
      </c>
      <c r="BA150">
        <v>47</v>
      </c>
      <c r="BB150">
        <v>47</v>
      </c>
      <c r="BC150">
        <v>49</v>
      </c>
      <c r="BD150">
        <v>47</v>
      </c>
    </row>
    <row r="151" spans="1:56" x14ac:dyDescent="0.25">
      <c r="A151" t="s">
        <v>4313</v>
      </c>
      <c r="B151" t="s">
        <v>71</v>
      </c>
      <c r="C151" t="s">
        <v>108</v>
      </c>
      <c r="D151">
        <v>350</v>
      </c>
      <c r="E151">
        <v>52.921999999999997</v>
      </c>
      <c r="F151">
        <v>48</v>
      </c>
      <c r="G151">
        <v>54</v>
      </c>
      <c r="H151">
        <v>58</v>
      </c>
      <c r="I151">
        <v>56</v>
      </c>
      <c r="J151">
        <v>51</v>
      </c>
      <c r="K151">
        <v>52</v>
      </c>
      <c r="L151">
        <v>57</v>
      </c>
      <c r="M151">
        <v>56</v>
      </c>
      <c r="N151">
        <v>47</v>
      </c>
      <c r="O151">
        <v>55</v>
      </c>
      <c r="P151">
        <v>58</v>
      </c>
      <c r="Q151">
        <v>59</v>
      </c>
      <c r="R151">
        <v>59</v>
      </c>
      <c r="S151">
        <v>51</v>
      </c>
      <c r="T151">
        <v>54</v>
      </c>
      <c r="U151">
        <v>53</v>
      </c>
      <c r="V151">
        <v>55</v>
      </c>
      <c r="W151">
        <v>55</v>
      </c>
      <c r="X151">
        <v>53</v>
      </c>
      <c r="Y151">
        <v>53</v>
      </c>
      <c r="Z151">
        <v>53</v>
      </c>
      <c r="AA151">
        <v>55</v>
      </c>
      <c r="AB151">
        <v>60</v>
      </c>
      <c r="AC151">
        <v>56</v>
      </c>
      <c r="AD151">
        <v>58</v>
      </c>
      <c r="AE151">
        <v>54</v>
      </c>
      <c r="AF151">
        <v>53</v>
      </c>
      <c r="AG151">
        <v>52</v>
      </c>
      <c r="AH151">
        <v>53</v>
      </c>
      <c r="AI151">
        <v>49</v>
      </c>
      <c r="AJ151">
        <v>59</v>
      </c>
      <c r="AK151">
        <v>56</v>
      </c>
      <c r="AL151">
        <v>59</v>
      </c>
      <c r="AM151">
        <v>52</v>
      </c>
      <c r="AN151">
        <v>55</v>
      </c>
      <c r="AO151">
        <v>54</v>
      </c>
      <c r="AP151">
        <v>52</v>
      </c>
      <c r="AQ151">
        <v>50</v>
      </c>
      <c r="AR151">
        <v>52</v>
      </c>
      <c r="AS151">
        <v>52</v>
      </c>
      <c r="AT151">
        <v>49</v>
      </c>
      <c r="AU151">
        <v>50</v>
      </c>
      <c r="AV151">
        <v>49</v>
      </c>
      <c r="AW151">
        <v>45</v>
      </c>
      <c r="AX151">
        <v>47</v>
      </c>
      <c r="AY151">
        <v>49</v>
      </c>
      <c r="AZ151">
        <v>44</v>
      </c>
      <c r="BA151">
        <v>48</v>
      </c>
      <c r="BB151">
        <v>49</v>
      </c>
      <c r="BC151">
        <v>52</v>
      </c>
      <c r="BD151">
        <v>49</v>
      </c>
    </row>
    <row r="152" spans="1:56" x14ac:dyDescent="0.25">
      <c r="A152" t="s">
        <v>4314</v>
      </c>
      <c r="B152" t="s">
        <v>127</v>
      </c>
      <c r="C152" t="s">
        <v>108</v>
      </c>
      <c r="D152">
        <v>213</v>
      </c>
      <c r="E152">
        <v>49.255000000000003</v>
      </c>
      <c r="F152">
        <v>45</v>
      </c>
      <c r="G152">
        <v>52</v>
      </c>
      <c r="H152">
        <v>51</v>
      </c>
      <c r="I152">
        <v>58</v>
      </c>
      <c r="J152">
        <v>51</v>
      </c>
      <c r="K152">
        <v>50</v>
      </c>
      <c r="L152">
        <v>58</v>
      </c>
      <c r="M152">
        <v>55</v>
      </c>
      <c r="N152">
        <v>57</v>
      </c>
      <c r="O152">
        <v>55</v>
      </c>
      <c r="P152">
        <v>56</v>
      </c>
      <c r="Q152">
        <v>48</v>
      </c>
      <c r="R152">
        <v>53</v>
      </c>
      <c r="S152">
        <v>47</v>
      </c>
      <c r="T152">
        <v>50</v>
      </c>
      <c r="U152">
        <v>56</v>
      </c>
      <c r="V152">
        <v>47</v>
      </c>
      <c r="W152">
        <v>51</v>
      </c>
      <c r="X152">
        <v>56</v>
      </c>
      <c r="Y152">
        <v>54</v>
      </c>
      <c r="Z152">
        <v>48</v>
      </c>
      <c r="AA152">
        <v>49</v>
      </c>
      <c r="AB152">
        <v>49</v>
      </c>
      <c r="AC152">
        <v>47</v>
      </c>
      <c r="AD152">
        <v>50</v>
      </c>
      <c r="AE152">
        <v>52</v>
      </c>
      <c r="AF152">
        <v>48</v>
      </c>
      <c r="AG152">
        <v>44</v>
      </c>
      <c r="AH152">
        <v>51</v>
      </c>
      <c r="AI152">
        <v>50</v>
      </c>
      <c r="AJ152">
        <v>53</v>
      </c>
      <c r="AK152">
        <v>51</v>
      </c>
      <c r="AL152">
        <v>55</v>
      </c>
      <c r="AM152">
        <v>56</v>
      </c>
      <c r="AN152">
        <v>50</v>
      </c>
      <c r="AO152">
        <v>47</v>
      </c>
      <c r="AP152">
        <v>51</v>
      </c>
      <c r="AQ152">
        <v>45</v>
      </c>
      <c r="AR152">
        <v>36</v>
      </c>
      <c r="AS152">
        <v>42</v>
      </c>
      <c r="AT152">
        <v>44</v>
      </c>
      <c r="AU152">
        <v>43</v>
      </c>
      <c r="AV152">
        <v>48</v>
      </c>
      <c r="AW152">
        <v>46</v>
      </c>
      <c r="AX152">
        <v>45</v>
      </c>
      <c r="AY152">
        <v>37</v>
      </c>
      <c r="AZ152">
        <v>44</v>
      </c>
      <c r="BA152">
        <v>47</v>
      </c>
      <c r="BB152">
        <v>45</v>
      </c>
      <c r="BC152">
        <v>46</v>
      </c>
      <c r="BD152">
        <v>43</v>
      </c>
    </row>
    <row r="153" spans="1:56" x14ac:dyDescent="0.25">
      <c r="A153" t="s">
        <v>4315</v>
      </c>
      <c r="B153" t="s">
        <v>128</v>
      </c>
      <c r="C153" t="s">
        <v>108</v>
      </c>
      <c r="D153">
        <v>784</v>
      </c>
      <c r="E153">
        <v>38.881999999999998</v>
      </c>
      <c r="F153">
        <v>31</v>
      </c>
      <c r="G153">
        <v>40</v>
      </c>
      <c r="H153">
        <v>38</v>
      </c>
      <c r="I153">
        <v>38</v>
      </c>
      <c r="J153">
        <v>38</v>
      </c>
      <c r="K153">
        <v>38</v>
      </c>
      <c r="L153">
        <v>45</v>
      </c>
      <c r="M153">
        <v>43</v>
      </c>
      <c r="N153">
        <v>37</v>
      </c>
      <c r="O153">
        <v>39</v>
      </c>
      <c r="P153">
        <v>43</v>
      </c>
      <c r="Q153">
        <v>39</v>
      </c>
      <c r="R153">
        <v>41</v>
      </c>
      <c r="S153">
        <v>42</v>
      </c>
      <c r="T153">
        <v>39</v>
      </c>
      <c r="U153">
        <v>41</v>
      </c>
      <c r="V153">
        <v>40</v>
      </c>
      <c r="W153">
        <v>40</v>
      </c>
      <c r="X153">
        <v>41</v>
      </c>
      <c r="Y153">
        <v>45</v>
      </c>
      <c r="Z153">
        <v>42</v>
      </c>
      <c r="AA153">
        <v>43</v>
      </c>
      <c r="AB153">
        <v>45</v>
      </c>
      <c r="AC153">
        <v>41</v>
      </c>
      <c r="AD153">
        <v>41</v>
      </c>
      <c r="AE153">
        <v>42</v>
      </c>
      <c r="AF153">
        <v>37</v>
      </c>
      <c r="AG153">
        <v>41</v>
      </c>
      <c r="AH153">
        <v>40</v>
      </c>
      <c r="AI153">
        <v>39</v>
      </c>
      <c r="AJ153">
        <v>42</v>
      </c>
      <c r="AK153">
        <v>41</v>
      </c>
      <c r="AL153">
        <v>41</v>
      </c>
      <c r="AM153">
        <v>41</v>
      </c>
      <c r="AN153">
        <v>39</v>
      </c>
      <c r="AO153">
        <v>39</v>
      </c>
      <c r="AP153">
        <v>41</v>
      </c>
      <c r="AQ153">
        <v>36</v>
      </c>
      <c r="AR153">
        <v>35</v>
      </c>
      <c r="AS153">
        <v>35</v>
      </c>
      <c r="AT153">
        <v>35</v>
      </c>
      <c r="AU153">
        <v>34</v>
      </c>
      <c r="AV153">
        <v>37</v>
      </c>
      <c r="AW153">
        <v>33</v>
      </c>
      <c r="AX153">
        <v>38</v>
      </c>
      <c r="AY153">
        <v>37</v>
      </c>
      <c r="AZ153">
        <v>38</v>
      </c>
      <c r="BA153">
        <v>33</v>
      </c>
      <c r="BB153">
        <v>33</v>
      </c>
      <c r="BC153">
        <v>32</v>
      </c>
      <c r="BD153">
        <v>34</v>
      </c>
    </row>
    <row r="154" spans="1:56" x14ac:dyDescent="0.25">
      <c r="A154" t="s">
        <v>4316</v>
      </c>
      <c r="B154" t="s">
        <v>72</v>
      </c>
      <c r="C154" t="s">
        <v>108</v>
      </c>
      <c r="D154">
        <v>103</v>
      </c>
      <c r="E154">
        <v>51.51</v>
      </c>
      <c r="F154">
        <v>53</v>
      </c>
      <c r="G154">
        <v>52</v>
      </c>
      <c r="H154">
        <v>55</v>
      </c>
      <c r="I154">
        <v>54</v>
      </c>
      <c r="J154">
        <v>58</v>
      </c>
      <c r="K154">
        <v>53</v>
      </c>
      <c r="L154">
        <v>57</v>
      </c>
      <c r="M154">
        <v>57</v>
      </c>
      <c r="N154">
        <v>51</v>
      </c>
      <c r="O154">
        <v>62</v>
      </c>
      <c r="P154">
        <v>58</v>
      </c>
      <c r="Q154">
        <v>48</v>
      </c>
      <c r="R154">
        <v>61</v>
      </c>
      <c r="S154">
        <v>60</v>
      </c>
      <c r="T154">
        <v>55</v>
      </c>
      <c r="U154">
        <v>60</v>
      </c>
      <c r="V154">
        <v>54</v>
      </c>
      <c r="W154">
        <v>53</v>
      </c>
      <c r="X154">
        <v>61</v>
      </c>
      <c r="Y154">
        <v>56</v>
      </c>
      <c r="Z154">
        <v>51</v>
      </c>
      <c r="AA154">
        <v>54</v>
      </c>
      <c r="AB154">
        <v>49</v>
      </c>
      <c r="AC154">
        <v>56</v>
      </c>
      <c r="AD154">
        <v>65</v>
      </c>
      <c r="AE154">
        <v>64</v>
      </c>
      <c r="AF154">
        <v>50</v>
      </c>
      <c r="AG154">
        <v>55</v>
      </c>
      <c r="AH154">
        <v>48</v>
      </c>
      <c r="AI154">
        <v>48</v>
      </c>
      <c r="AJ154">
        <v>44</v>
      </c>
      <c r="AK154">
        <v>57</v>
      </c>
      <c r="AL154">
        <v>49</v>
      </c>
      <c r="AM154">
        <v>50</v>
      </c>
      <c r="AN154">
        <v>53</v>
      </c>
      <c r="AO154">
        <v>53</v>
      </c>
      <c r="AP154">
        <v>54</v>
      </c>
      <c r="AQ154">
        <v>40</v>
      </c>
      <c r="AR154">
        <v>46</v>
      </c>
      <c r="AS154">
        <v>42</v>
      </c>
      <c r="AT154">
        <v>45</v>
      </c>
      <c r="AU154">
        <v>43</v>
      </c>
      <c r="AV154">
        <v>49</v>
      </c>
      <c r="AW154">
        <v>46</v>
      </c>
      <c r="AX154">
        <v>39</v>
      </c>
      <c r="AY154">
        <v>47</v>
      </c>
      <c r="AZ154">
        <v>42</v>
      </c>
      <c r="BA154">
        <v>37</v>
      </c>
      <c r="BB154">
        <v>44</v>
      </c>
      <c r="BC154">
        <v>45</v>
      </c>
      <c r="BD154">
        <v>44</v>
      </c>
    </row>
    <row r="155" spans="1:56" x14ac:dyDescent="0.25">
      <c r="A155" t="s">
        <v>4317</v>
      </c>
      <c r="B155" t="s">
        <v>240</v>
      </c>
      <c r="C155" t="s">
        <v>108</v>
      </c>
      <c r="D155">
        <v>42</v>
      </c>
      <c r="E155">
        <v>38.156999999999996</v>
      </c>
      <c r="F155">
        <v>32</v>
      </c>
      <c r="G155">
        <v>47</v>
      </c>
      <c r="H155">
        <v>39</v>
      </c>
      <c r="I155">
        <v>42</v>
      </c>
      <c r="J155">
        <v>38</v>
      </c>
      <c r="K155">
        <v>41</v>
      </c>
      <c r="L155">
        <v>34</v>
      </c>
      <c r="M155">
        <v>39</v>
      </c>
      <c r="N155">
        <v>28</v>
      </c>
      <c r="O155">
        <v>34</v>
      </c>
      <c r="P155">
        <v>39</v>
      </c>
      <c r="Q155">
        <v>32</v>
      </c>
      <c r="R155">
        <v>48</v>
      </c>
      <c r="S155">
        <v>39</v>
      </c>
      <c r="T155">
        <v>32</v>
      </c>
      <c r="U155">
        <v>38</v>
      </c>
      <c r="V155">
        <v>62</v>
      </c>
      <c r="W155">
        <v>32</v>
      </c>
      <c r="X155">
        <v>43</v>
      </c>
      <c r="Y155">
        <v>39</v>
      </c>
      <c r="Z155">
        <v>46</v>
      </c>
      <c r="AA155">
        <v>44</v>
      </c>
      <c r="AB155">
        <v>39</v>
      </c>
      <c r="AC155">
        <v>31</v>
      </c>
      <c r="AD155">
        <v>38</v>
      </c>
      <c r="AE155">
        <v>46</v>
      </c>
      <c r="AF155">
        <v>57</v>
      </c>
      <c r="AG155">
        <v>46</v>
      </c>
      <c r="AH155">
        <v>50</v>
      </c>
      <c r="AI155">
        <v>54</v>
      </c>
      <c r="AJ155">
        <v>45</v>
      </c>
      <c r="AK155">
        <v>42</v>
      </c>
      <c r="AL155">
        <v>41</v>
      </c>
      <c r="AM155">
        <v>35</v>
      </c>
      <c r="AN155">
        <v>31</v>
      </c>
      <c r="AO155">
        <v>42</v>
      </c>
      <c r="AP155">
        <v>25</v>
      </c>
      <c r="AQ155">
        <v>30</v>
      </c>
      <c r="AR155">
        <v>27</v>
      </c>
      <c r="AS155">
        <v>39</v>
      </c>
      <c r="AT155">
        <v>33</v>
      </c>
      <c r="AU155">
        <v>29</v>
      </c>
      <c r="AV155">
        <v>31</v>
      </c>
      <c r="AW155">
        <v>43</v>
      </c>
      <c r="AX155">
        <v>32</v>
      </c>
      <c r="AY155">
        <v>42</v>
      </c>
      <c r="AZ155">
        <v>24</v>
      </c>
      <c r="BA155">
        <v>25</v>
      </c>
      <c r="BB155">
        <v>39</v>
      </c>
      <c r="BC155">
        <v>33</v>
      </c>
      <c r="BD155">
        <v>29</v>
      </c>
    </row>
    <row r="156" spans="1:56" x14ac:dyDescent="0.25">
      <c r="A156" t="s">
        <v>4318</v>
      </c>
      <c r="B156" t="s">
        <v>129</v>
      </c>
      <c r="C156" t="s">
        <v>108</v>
      </c>
      <c r="D156">
        <v>74</v>
      </c>
      <c r="E156">
        <v>38.744999999999997</v>
      </c>
      <c r="F156">
        <v>35</v>
      </c>
      <c r="G156">
        <v>38</v>
      </c>
      <c r="H156">
        <v>49</v>
      </c>
      <c r="I156">
        <v>40</v>
      </c>
      <c r="J156">
        <v>38</v>
      </c>
      <c r="K156">
        <v>47</v>
      </c>
      <c r="L156">
        <v>46</v>
      </c>
      <c r="M156">
        <v>47</v>
      </c>
      <c r="N156">
        <v>40</v>
      </c>
      <c r="O156">
        <v>44</v>
      </c>
      <c r="P156">
        <v>48</v>
      </c>
      <c r="Q156">
        <v>46</v>
      </c>
      <c r="R156">
        <v>38</v>
      </c>
      <c r="S156">
        <v>47</v>
      </c>
      <c r="T156">
        <v>41</v>
      </c>
      <c r="U156">
        <v>38</v>
      </c>
      <c r="V156">
        <v>45</v>
      </c>
      <c r="W156">
        <v>42</v>
      </c>
      <c r="X156">
        <v>47</v>
      </c>
      <c r="Y156">
        <v>43</v>
      </c>
      <c r="Z156">
        <v>40</v>
      </c>
      <c r="AA156">
        <v>46</v>
      </c>
      <c r="AB156">
        <v>43</v>
      </c>
      <c r="AC156">
        <v>41</v>
      </c>
      <c r="AD156">
        <v>44</v>
      </c>
      <c r="AE156">
        <v>48</v>
      </c>
      <c r="AF156">
        <v>48</v>
      </c>
      <c r="AG156">
        <v>39</v>
      </c>
      <c r="AH156">
        <v>38</v>
      </c>
      <c r="AI156">
        <v>41</v>
      </c>
      <c r="AJ156">
        <v>42</v>
      </c>
      <c r="AK156">
        <v>38</v>
      </c>
      <c r="AL156">
        <v>44</v>
      </c>
      <c r="AM156">
        <v>34</v>
      </c>
      <c r="AN156">
        <v>27</v>
      </c>
      <c r="AO156">
        <v>28</v>
      </c>
      <c r="AP156">
        <v>35</v>
      </c>
      <c r="AQ156">
        <v>34</v>
      </c>
      <c r="AR156">
        <v>33</v>
      </c>
      <c r="AS156">
        <v>32</v>
      </c>
      <c r="AT156">
        <v>21</v>
      </c>
      <c r="AU156">
        <v>35</v>
      </c>
      <c r="AV156">
        <v>32</v>
      </c>
      <c r="AW156">
        <v>36</v>
      </c>
      <c r="AX156">
        <v>33</v>
      </c>
      <c r="AY156">
        <v>31</v>
      </c>
      <c r="AZ156">
        <v>29</v>
      </c>
      <c r="BA156">
        <v>38</v>
      </c>
      <c r="BB156">
        <v>31</v>
      </c>
      <c r="BC156">
        <v>25</v>
      </c>
      <c r="BD156">
        <v>31</v>
      </c>
    </row>
    <row r="157" spans="1:56" x14ac:dyDescent="0.25">
      <c r="A157" t="s">
        <v>4319</v>
      </c>
      <c r="B157" t="s">
        <v>241</v>
      </c>
      <c r="C157" t="s">
        <v>108</v>
      </c>
      <c r="D157">
        <v>137</v>
      </c>
      <c r="E157">
        <v>45.823999999999998</v>
      </c>
      <c r="F157">
        <v>36</v>
      </c>
      <c r="G157">
        <v>45</v>
      </c>
      <c r="H157">
        <v>53</v>
      </c>
      <c r="I157">
        <v>45</v>
      </c>
      <c r="J157">
        <v>55</v>
      </c>
      <c r="K157">
        <v>43</v>
      </c>
      <c r="L157">
        <v>55</v>
      </c>
      <c r="M157">
        <v>59</v>
      </c>
      <c r="N157">
        <v>55</v>
      </c>
      <c r="O157">
        <v>53</v>
      </c>
      <c r="P157">
        <v>52</v>
      </c>
      <c r="Q157">
        <v>51</v>
      </c>
      <c r="R157">
        <v>52</v>
      </c>
      <c r="S157">
        <v>57</v>
      </c>
      <c r="T157">
        <v>51</v>
      </c>
      <c r="U157">
        <v>51</v>
      </c>
      <c r="V157">
        <v>49</v>
      </c>
      <c r="W157">
        <v>39</v>
      </c>
      <c r="X157">
        <v>46</v>
      </c>
      <c r="Y157">
        <v>50</v>
      </c>
      <c r="Z157">
        <v>50</v>
      </c>
      <c r="AA157">
        <v>46</v>
      </c>
      <c r="AB157">
        <v>49</v>
      </c>
      <c r="AC157">
        <v>51</v>
      </c>
      <c r="AD157">
        <v>51</v>
      </c>
      <c r="AE157">
        <v>50</v>
      </c>
      <c r="AF157">
        <v>50</v>
      </c>
      <c r="AG157">
        <v>48</v>
      </c>
      <c r="AH157">
        <v>48</v>
      </c>
      <c r="AI157">
        <v>50</v>
      </c>
      <c r="AJ157">
        <v>43</v>
      </c>
      <c r="AK157">
        <v>41</v>
      </c>
      <c r="AL157">
        <v>49</v>
      </c>
      <c r="AM157">
        <v>49</v>
      </c>
      <c r="AN157">
        <v>47</v>
      </c>
      <c r="AO157">
        <v>47</v>
      </c>
      <c r="AP157">
        <v>43</v>
      </c>
      <c r="AQ157">
        <v>40</v>
      </c>
      <c r="AR157">
        <v>34</v>
      </c>
      <c r="AS157">
        <v>39</v>
      </c>
      <c r="AT157">
        <v>37</v>
      </c>
      <c r="AU157">
        <v>39</v>
      </c>
      <c r="AV157">
        <v>33</v>
      </c>
      <c r="AW157">
        <v>34</v>
      </c>
      <c r="AX157">
        <v>39</v>
      </c>
      <c r="AY157">
        <v>45</v>
      </c>
      <c r="AZ157">
        <v>43</v>
      </c>
      <c r="BA157">
        <v>34</v>
      </c>
      <c r="BB157">
        <v>42</v>
      </c>
      <c r="BC157">
        <v>36</v>
      </c>
      <c r="BD157">
        <v>33</v>
      </c>
    </row>
    <row r="158" spans="1:56" x14ac:dyDescent="0.25">
      <c r="A158" t="s">
        <v>4320</v>
      </c>
      <c r="B158" t="s">
        <v>242</v>
      </c>
      <c r="C158" t="s">
        <v>108</v>
      </c>
      <c r="D158">
        <v>65</v>
      </c>
      <c r="E158">
        <v>32.195999999999998</v>
      </c>
      <c r="F158">
        <v>40</v>
      </c>
      <c r="G158">
        <v>44</v>
      </c>
      <c r="H158">
        <v>28</v>
      </c>
      <c r="I158">
        <v>48</v>
      </c>
      <c r="J158">
        <v>36</v>
      </c>
      <c r="K158">
        <v>33</v>
      </c>
      <c r="L158">
        <v>51</v>
      </c>
      <c r="M158">
        <v>41</v>
      </c>
      <c r="N158">
        <v>37</v>
      </c>
      <c r="O158">
        <v>48</v>
      </c>
      <c r="P158">
        <v>23</v>
      </c>
      <c r="Q158">
        <v>27</v>
      </c>
      <c r="R158">
        <v>31</v>
      </c>
      <c r="S158">
        <v>19</v>
      </c>
      <c r="T158">
        <v>23</v>
      </c>
      <c r="U158">
        <v>29</v>
      </c>
      <c r="V158">
        <v>31</v>
      </c>
      <c r="W158">
        <v>21</v>
      </c>
      <c r="X158">
        <v>30</v>
      </c>
      <c r="Y158">
        <v>31</v>
      </c>
      <c r="Z158">
        <v>23</v>
      </c>
      <c r="AA158">
        <v>30</v>
      </c>
      <c r="AB158">
        <v>39</v>
      </c>
      <c r="AC158">
        <v>29</v>
      </c>
      <c r="AD158">
        <v>32</v>
      </c>
      <c r="AE158">
        <v>40</v>
      </c>
      <c r="AF158">
        <v>42</v>
      </c>
      <c r="AG158">
        <v>32</v>
      </c>
      <c r="AH158">
        <v>39</v>
      </c>
      <c r="AI158">
        <v>27</v>
      </c>
      <c r="AJ158">
        <v>42</v>
      </c>
      <c r="AK158">
        <v>39</v>
      </c>
      <c r="AL158">
        <v>33</v>
      </c>
      <c r="AM158">
        <v>31</v>
      </c>
      <c r="AN158">
        <v>32</v>
      </c>
      <c r="AO158">
        <v>26</v>
      </c>
      <c r="AP158">
        <v>33</v>
      </c>
      <c r="AQ158">
        <v>23</v>
      </c>
      <c r="AR158">
        <v>34</v>
      </c>
      <c r="AS158">
        <v>30</v>
      </c>
      <c r="AT158">
        <v>30</v>
      </c>
      <c r="AU158">
        <v>27</v>
      </c>
      <c r="AV158">
        <v>32</v>
      </c>
      <c r="AW158">
        <v>39</v>
      </c>
      <c r="AX158">
        <v>29</v>
      </c>
      <c r="AY158">
        <v>30</v>
      </c>
      <c r="AZ158">
        <v>23</v>
      </c>
      <c r="BA158">
        <v>29</v>
      </c>
      <c r="BB158">
        <v>29</v>
      </c>
      <c r="BC158">
        <v>24</v>
      </c>
      <c r="BD158">
        <v>23</v>
      </c>
    </row>
    <row r="159" spans="1:56" x14ac:dyDescent="0.25">
      <c r="A159" t="s">
        <v>4321</v>
      </c>
      <c r="B159" t="s">
        <v>132</v>
      </c>
      <c r="C159" t="s">
        <v>108</v>
      </c>
      <c r="D159">
        <v>124</v>
      </c>
      <c r="E159">
        <v>21.097999999999999</v>
      </c>
      <c r="F159">
        <v>13</v>
      </c>
      <c r="G159">
        <v>11</v>
      </c>
      <c r="H159">
        <v>12</v>
      </c>
      <c r="I159">
        <v>9</v>
      </c>
      <c r="J159">
        <v>20</v>
      </c>
      <c r="K159">
        <v>17</v>
      </c>
      <c r="L159">
        <v>17</v>
      </c>
      <c r="M159">
        <v>19</v>
      </c>
      <c r="N159">
        <v>22</v>
      </c>
      <c r="O159">
        <v>20</v>
      </c>
      <c r="P159">
        <v>17</v>
      </c>
      <c r="Q159">
        <v>17</v>
      </c>
      <c r="R159">
        <v>17</v>
      </c>
      <c r="S159">
        <v>20</v>
      </c>
      <c r="T159">
        <v>18</v>
      </c>
      <c r="U159">
        <v>23</v>
      </c>
      <c r="V159">
        <v>28</v>
      </c>
      <c r="W159">
        <v>16</v>
      </c>
      <c r="X159">
        <v>22</v>
      </c>
      <c r="Y159">
        <v>24</v>
      </c>
      <c r="Z159">
        <v>17</v>
      </c>
      <c r="AA159">
        <v>25</v>
      </c>
      <c r="AB159">
        <v>27</v>
      </c>
      <c r="AC159">
        <v>28</v>
      </c>
      <c r="AD159">
        <v>28</v>
      </c>
      <c r="AE159">
        <v>26</v>
      </c>
      <c r="AF159">
        <v>25</v>
      </c>
      <c r="AG159">
        <v>30</v>
      </c>
      <c r="AH159">
        <v>27</v>
      </c>
      <c r="AI159">
        <v>26</v>
      </c>
      <c r="AJ159">
        <v>26</v>
      </c>
      <c r="AK159">
        <v>25</v>
      </c>
      <c r="AL159">
        <v>25</v>
      </c>
      <c r="AM159">
        <v>22</v>
      </c>
      <c r="AN159">
        <v>25</v>
      </c>
      <c r="AO159">
        <v>20</v>
      </c>
      <c r="AP159">
        <v>19</v>
      </c>
      <c r="AQ159">
        <v>23</v>
      </c>
      <c r="AR159">
        <v>14</v>
      </c>
      <c r="AS159">
        <v>17</v>
      </c>
      <c r="AT159">
        <v>19</v>
      </c>
      <c r="AU159">
        <v>21</v>
      </c>
      <c r="AV159">
        <v>24</v>
      </c>
      <c r="AW159">
        <v>26</v>
      </c>
      <c r="AX159">
        <v>22</v>
      </c>
      <c r="AY159">
        <v>20</v>
      </c>
      <c r="AZ159">
        <v>27</v>
      </c>
      <c r="BA159">
        <v>24</v>
      </c>
      <c r="BB159">
        <v>24</v>
      </c>
      <c r="BC159">
        <v>14</v>
      </c>
      <c r="BD159">
        <v>18</v>
      </c>
    </row>
    <row r="160" spans="1:56" x14ac:dyDescent="0.25">
      <c r="A160" t="s">
        <v>4322</v>
      </c>
      <c r="B160" t="s">
        <v>243</v>
      </c>
      <c r="C160" t="s">
        <v>108</v>
      </c>
      <c r="D160">
        <v>184</v>
      </c>
      <c r="E160">
        <v>18.137</v>
      </c>
      <c r="F160">
        <v>18</v>
      </c>
      <c r="G160">
        <v>21</v>
      </c>
      <c r="H160">
        <v>24</v>
      </c>
      <c r="I160">
        <v>25</v>
      </c>
      <c r="J160">
        <v>12</v>
      </c>
      <c r="K160">
        <v>18</v>
      </c>
      <c r="L160">
        <v>17</v>
      </c>
      <c r="M160">
        <v>24</v>
      </c>
      <c r="N160">
        <v>23</v>
      </c>
      <c r="O160">
        <v>22</v>
      </c>
      <c r="P160">
        <v>22</v>
      </c>
      <c r="Q160">
        <v>23</v>
      </c>
      <c r="R160">
        <v>13</v>
      </c>
      <c r="S160">
        <v>17</v>
      </c>
      <c r="T160">
        <v>16</v>
      </c>
      <c r="U160">
        <v>21</v>
      </c>
      <c r="V160">
        <v>16</v>
      </c>
      <c r="W160">
        <v>17</v>
      </c>
      <c r="X160">
        <v>17</v>
      </c>
      <c r="Y160">
        <v>18</v>
      </c>
      <c r="Z160">
        <v>21</v>
      </c>
      <c r="AA160">
        <v>14</v>
      </c>
      <c r="AB160">
        <v>17</v>
      </c>
      <c r="AC160">
        <v>19</v>
      </c>
      <c r="AD160">
        <v>15</v>
      </c>
      <c r="AE160">
        <v>17</v>
      </c>
      <c r="AF160">
        <v>19</v>
      </c>
      <c r="AG160">
        <v>18</v>
      </c>
      <c r="AH160">
        <v>19</v>
      </c>
      <c r="AI160">
        <v>14</v>
      </c>
      <c r="AJ160">
        <v>25</v>
      </c>
      <c r="AK160">
        <v>18</v>
      </c>
      <c r="AL160">
        <v>20</v>
      </c>
      <c r="AM160">
        <v>19</v>
      </c>
      <c r="AN160">
        <v>19</v>
      </c>
      <c r="AO160">
        <v>19</v>
      </c>
      <c r="AP160">
        <v>17</v>
      </c>
      <c r="AQ160">
        <v>12</v>
      </c>
      <c r="AR160">
        <v>14</v>
      </c>
      <c r="AS160">
        <v>14</v>
      </c>
      <c r="AT160">
        <v>19</v>
      </c>
      <c r="AU160">
        <v>23</v>
      </c>
      <c r="AV160">
        <v>21</v>
      </c>
      <c r="AW160">
        <v>17</v>
      </c>
      <c r="AX160">
        <v>17</v>
      </c>
      <c r="AY160">
        <v>18</v>
      </c>
      <c r="AZ160">
        <v>18</v>
      </c>
      <c r="BA160">
        <v>17</v>
      </c>
      <c r="BB160">
        <v>18</v>
      </c>
      <c r="BC160">
        <v>13</v>
      </c>
      <c r="BD160">
        <v>10</v>
      </c>
    </row>
    <row r="161" spans="1:56" x14ac:dyDescent="0.25">
      <c r="A161" t="s">
        <v>4323</v>
      </c>
      <c r="B161" t="s">
        <v>37</v>
      </c>
      <c r="C161" t="s">
        <v>108</v>
      </c>
      <c r="D161">
        <v>1152</v>
      </c>
      <c r="E161">
        <v>17.294</v>
      </c>
      <c r="F161">
        <v>8</v>
      </c>
      <c r="G161">
        <v>10</v>
      </c>
      <c r="H161">
        <v>11</v>
      </c>
      <c r="I161">
        <v>15</v>
      </c>
      <c r="J161">
        <v>14</v>
      </c>
      <c r="K161">
        <v>15</v>
      </c>
      <c r="L161">
        <v>16</v>
      </c>
      <c r="M161">
        <v>16</v>
      </c>
      <c r="N161">
        <v>14</v>
      </c>
      <c r="O161">
        <v>14</v>
      </c>
      <c r="P161">
        <v>16</v>
      </c>
      <c r="Q161">
        <v>13</v>
      </c>
      <c r="R161">
        <v>14</v>
      </c>
      <c r="S161">
        <v>16</v>
      </c>
      <c r="T161">
        <v>16</v>
      </c>
      <c r="U161">
        <v>15</v>
      </c>
      <c r="V161">
        <v>17</v>
      </c>
      <c r="W161">
        <v>16</v>
      </c>
      <c r="X161">
        <v>16</v>
      </c>
      <c r="Y161">
        <v>16</v>
      </c>
      <c r="Z161">
        <v>19</v>
      </c>
      <c r="AA161">
        <v>20</v>
      </c>
      <c r="AB161">
        <v>21</v>
      </c>
      <c r="AC161">
        <v>19</v>
      </c>
      <c r="AD161">
        <v>19</v>
      </c>
      <c r="AE161">
        <v>21</v>
      </c>
      <c r="AF161">
        <v>20</v>
      </c>
      <c r="AG161">
        <v>19</v>
      </c>
      <c r="AH161">
        <v>21</v>
      </c>
      <c r="AI161">
        <v>23</v>
      </c>
      <c r="AJ161">
        <v>21</v>
      </c>
      <c r="AK161">
        <v>20</v>
      </c>
      <c r="AL161">
        <v>21</v>
      </c>
      <c r="AM161">
        <v>21</v>
      </c>
      <c r="AN161">
        <v>21</v>
      </c>
      <c r="AO161">
        <v>23</v>
      </c>
      <c r="AP161">
        <v>19</v>
      </c>
      <c r="AQ161">
        <v>20</v>
      </c>
      <c r="AR161">
        <v>17</v>
      </c>
      <c r="AS161">
        <v>18</v>
      </c>
      <c r="AT161">
        <v>16</v>
      </c>
      <c r="AU161">
        <v>17</v>
      </c>
      <c r="AV161">
        <v>19</v>
      </c>
      <c r="AW161">
        <v>18</v>
      </c>
      <c r="AX161">
        <v>18</v>
      </c>
      <c r="AY161">
        <v>16</v>
      </c>
      <c r="AZ161">
        <v>18</v>
      </c>
      <c r="BA161">
        <v>17</v>
      </c>
      <c r="BB161">
        <v>16</v>
      </c>
      <c r="BC161">
        <v>17</v>
      </c>
      <c r="BD161">
        <v>19</v>
      </c>
    </row>
    <row r="162" spans="1:56" x14ac:dyDescent="0.25">
      <c r="A162" t="s">
        <v>4324</v>
      </c>
      <c r="B162" t="s">
        <v>134</v>
      </c>
      <c r="C162" t="s">
        <v>108</v>
      </c>
      <c r="D162">
        <v>373</v>
      </c>
      <c r="E162">
        <v>18.216000000000001</v>
      </c>
      <c r="F162">
        <v>7</v>
      </c>
      <c r="G162">
        <v>11</v>
      </c>
      <c r="H162">
        <v>9</v>
      </c>
      <c r="I162">
        <v>14</v>
      </c>
      <c r="J162">
        <v>12</v>
      </c>
      <c r="K162">
        <v>12</v>
      </c>
      <c r="L162">
        <v>16</v>
      </c>
      <c r="M162">
        <v>17</v>
      </c>
      <c r="N162">
        <v>15</v>
      </c>
      <c r="O162">
        <v>13</v>
      </c>
      <c r="P162">
        <v>17</v>
      </c>
      <c r="Q162">
        <v>12</v>
      </c>
      <c r="R162">
        <v>11</v>
      </c>
      <c r="S162">
        <v>16</v>
      </c>
      <c r="T162">
        <v>13</v>
      </c>
      <c r="U162">
        <v>17</v>
      </c>
      <c r="V162">
        <v>16</v>
      </c>
      <c r="W162">
        <v>17</v>
      </c>
      <c r="X162">
        <v>17</v>
      </c>
      <c r="Y162">
        <v>16</v>
      </c>
      <c r="Z162">
        <v>21</v>
      </c>
      <c r="AA162">
        <v>21</v>
      </c>
      <c r="AB162">
        <v>22</v>
      </c>
      <c r="AC162">
        <v>20</v>
      </c>
      <c r="AD162">
        <v>19</v>
      </c>
      <c r="AE162">
        <v>21</v>
      </c>
      <c r="AF162">
        <v>21</v>
      </c>
      <c r="AG162">
        <v>22</v>
      </c>
      <c r="AH162">
        <v>24</v>
      </c>
      <c r="AI162">
        <v>26</v>
      </c>
      <c r="AJ162">
        <v>25</v>
      </c>
      <c r="AK162">
        <v>22</v>
      </c>
      <c r="AL162">
        <v>23</v>
      </c>
      <c r="AM162">
        <v>26</v>
      </c>
      <c r="AN162">
        <v>24</v>
      </c>
      <c r="AO162">
        <v>25</v>
      </c>
      <c r="AP162">
        <v>20</v>
      </c>
      <c r="AQ162">
        <v>24</v>
      </c>
      <c r="AR162">
        <v>18</v>
      </c>
      <c r="AS162">
        <v>20</v>
      </c>
      <c r="AT162">
        <v>19</v>
      </c>
      <c r="AU162">
        <v>20</v>
      </c>
      <c r="AV162">
        <v>21</v>
      </c>
      <c r="AW162">
        <v>21</v>
      </c>
      <c r="AX162">
        <v>20</v>
      </c>
      <c r="AY162">
        <v>17</v>
      </c>
      <c r="AZ162">
        <v>20</v>
      </c>
      <c r="BA162">
        <v>17</v>
      </c>
      <c r="BB162">
        <v>16</v>
      </c>
      <c r="BC162">
        <v>16</v>
      </c>
      <c r="BD162">
        <v>20</v>
      </c>
    </row>
    <row r="163" spans="1:56" x14ac:dyDescent="0.25">
      <c r="A163" t="s">
        <v>4325</v>
      </c>
      <c r="B163" t="s">
        <v>135</v>
      </c>
      <c r="C163" t="s">
        <v>108</v>
      </c>
      <c r="D163">
        <v>159</v>
      </c>
      <c r="E163">
        <v>16.98</v>
      </c>
      <c r="F163">
        <v>7</v>
      </c>
      <c r="G163">
        <v>6</v>
      </c>
      <c r="H163">
        <v>12</v>
      </c>
      <c r="I163">
        <v>15</v>
      </c>
      <c r="J163">
        <v>15</v>
      </c>
      <c r="K163">
        <v>15</v>
      </c>
      <c r="L163">
        <v>15</v>
      </c>
      <c r="M163">
        <v>14</v>
      </c>
      <c r="N163">
        <v>13</v>
      </c>
      <c r="O163">
        <v>14</v>
      </c>
      <c r="P163">
        <v>14</v>
      </c>
      <c r="Q163">
        <v>15</v>
      </c>
      <c r="R163">
        <v>14</v>
      </c>
      <c r="S163">
        <v>16</v>
      </c>
      <c r="T163">
        <v>18</v>
      </c>
      <c r="U163">
        <v>16</v>
      </c>
      <c r="V163">
        <v>15</v>
      </c>
      <c r="W163">
        <v>14</v>
      </c>
      <c r="X163">
        <v>20</v>
      </c>
      <c r="Y163">
        <v>14</v>
      </c>
      <c r="Z163">
        <v>18</v>
      </c>
      <c r="AA163">
        <v>19</v>
      </c>
      <c r="AB163">
        <v>19</v>
      </c>
      <c r="AC163">
        <v>22</v>
      </c>
      <c r="AD163">
        <v>22</v>
      </c>
      <c r="AE163">
        <v>21</v>
      </c>
      <c r="AF163">
        <v>19</v>
      </c>
      <c r="AG163">
        <v>17</v>
      </c>
      <c r="AH163">
        <v>20</v>
      </c>
      <c r="AI163">
        <v>26</v>
      </c>
      <c r="AJ163">
        <v>18</v>
      </c>
      <c r="AK163">
        <v>25</v>
      </c>
      <c r="AL163">
        <v>23</v>
      </c>
      <c r="AM163">
        <v>22</v>
      </c>
      <c r="AN163">
        <v>12</v>
      </c>
      <c r="AO163">
        <v>21</v>
      </c>
      <c r="AP163">
        <v>20</v>
      </c>
      <c r="AQ163">
        <v>18</v>
      </c>
      <c r="AR163">
        <v>18</v>
      </c>
      <c r="AS163">
        <v>17</v>
      </c>
      <c r="AT163">
        <v>15</v>
      </c>
      <c r="AU163">
        <v>16</v>
      </c>
      <c r="AV163">
        <v>18</v>
      </c>
      <c r="AW163">
        <v>18</v>
      </c>
      <c r="AX163">
        <v>19</v>
      </c>
      <c r="AY163">
        <v>13</v>
      </c>
      <c r="AZ163">
        <v>20</v>
      </c>
      <c r="BA163">
        <v>14</v>
      </c>
      <c r="BB163">
        <v>21</v>
      </c>
      <c r="BC163">
        <v>20</v>
      </c>
      <c r="BD163">
        <v>13</v>
      </c>
    </row>
    <row r="164" spans="1:56" x14ac:dyDescent="0.25">
      <c r="A164" t="s">
        <v>4326</v>
      </c>
      <c r="B164" t="s">
        <v>136</v>
      </c>
      <c r="C164" t="s">
        <v>108</v>
      </c>
      <c r="D164">
        <v>436</v>
      </c>
      <c r="E164">
        <v>17.234999999999999</v>
      </c>
      <c r="F164">
        <v>11</v>
      </c>
      <c r="G164">
        <v>10</v>
      </c>
      <c r="H164">
        <v>14</v>
      </c>
      <c r="I164">
        <v>20</v>
      </c>
      <c r="J164">
        <v>18</v>
      </c>
      <c r="K164">
        <v>20</v>
      </c>
      <c r="L164">
        <v>16</v>
      </c>
      <c r="M164">
        <v>17</v>
      </c>
      <c r="N164">
        <v>13</v>
      </c>
      <c r="O164">
        <v>16</v>
      </c>
      <c r="P164">
        <v>18</v>
      </c>
      <c r="Q164">
        <v>13</v>
      </c>
      <c r="R164">
        <v>17</v>
      </c>
      <c r="S164">
        <v>17</v>
      </c>
      <c r="T164">
        <v>18</v>
      </c>
      <c r="U164">
        <v>14</v>
      </c>
      <c r="V164">
        <v>18</v>
      </c>
      <c r="W164">
        <v>16</v>
      </c>
      <c r="X164">
        <v>15</v>
      </c>
      <c r="Y164">
        <v>18</v>
      </c>
      <c r="Z164">
        <v>18</v>
      </c>
      <c r="AA164">
        <v>21</v>
      </c>
      <c r="AB164">
        <v>22</v>
      </c>
      <c r="AC164">
        <v>19</v>
      </c>
      <c r="AD164">
        <v>19</v>
      </c>
      <c r="AE164">
        <v>22</v>
      </c>
      <c r="AF164">
        <v>20</v>
      </c>
      <c r="AG164">
        <v>17</v>
      </c>
      <c r="AH164">
        <v>19</v>
      </c>
      <c r="AI164">
        <v>20</v>
      </c>
      <c r="AJ164">
        <v>18</v>
      </c>
      <c r="AK164">
        <v>16</v>
      </c>
      <c r="AL164">
        <v>19</v>
      </c>
      <c r="AM164">
        <v>17</v>
      </c>
      <c r="AN164">
        <v>21</v>
      </c>
      <c r="AO164">
        <v>22</v>
      </c>
      <c r="AP164">
        <v>17</v>
      </c>
      <c r="AQ164">
        <v>17</v>
      </c>
      <c r="AR164">
        <v>18</v>
      </c>
      <c r="AS164">
        <v>17</v>
      </c>
      <c r="AT164">
        <v>15</v>
      </c>
      <c r="AU164">
        <v>15</v>
      </c>
      <c r="AV164">
        <v>18</v>
      </c>
      <c r="AW164">
        <v>16</v>
      </c>
      <c r="AX164">
        <v>17</v>
      </c>
      <c r="AY164">
        <v>17</v>
      </c>
      <c r="AZ164">
        <v>17</v>
      </c>
      <c r="BA164">
        <v>16</v>
      </c>
      <c r="BB164">
        <v>14</v>
      </c>
      <c r="BC164">
        <v>16</v>
      </c>
      <c r="BD164">
        <v>20</v>
      </c>
    </row>
    <row r="165" spans="1:56" x14ac:dyDescent="0.25">
      <c r="A165" t="s">
        <v>4327</v>
      </c>
      <c r="B165" t="s">
        <v>38</v>
      </c>
      <c r="C165" t="s">
        <v>108</v>
      </c>
      <c r="D165">
        <v>3546</v>
      </c>
      <c r="E165">
        <v>24.274999999999999</v>
      </c>
      <c r="F165">
        <v>14</v>
      </c>
      <c r="G165">
        <v>20</v>
      </c>
      <c r="H165">
        <v>22</v>
      </c>
      <c r="I165">
        <v>21</v>
      </c>
      <c r="J165">
        <v>24</v>
      </c>
      <c r="K165">
        <v>22</v>
      </c>
      <c r="L165">
        <v>21</v>
      </c>
      <c r="M165">
        <v>23</v>
      </c>
      <c r="N165">
        <v>21</v>
      </c>
      <c r="O165">
        <v>21</v>
      </c>
      <c r="P165">
        <v>21</v>
      </c>
      <c r="Q165">
        <v>21</v>
      </c>
      <c r="R165">
        <v>22</v>
      </c>
      <c r="S165">
        <v>22</v>
      </c>
      <c r="T165">
        <v>22</v>
      </c>
      <c r="U165">
        <v>26</v>
      </c>
      <c r="V165">
        <v>25</v>
      </c>
      <c r="W165">
        <v>26</v>
      </c>
      <c r="X165">
        <v>26</v>
      </c>
      <c r="Y165">
        <v>26</v>
      </c>
      <c r="Z165">
        <v>27</v>
      </c>
      <c r="AA165">
        <v>26</v>
      </c>
      <c r="AB165">
        <v>29</v>
      </c>
      <c r="AC165">
        <v>27</v>
      </c>
      <c r="AD165">
        <v>28</v>
      </c>
      <c r="AE165">
        <v>29</v>
      </c>
      <c r="AF165">
        <v>27</v>
      </c>
      <c r="AG165">
        <v>28</v>
      </c>
      <c r="AH165">
        <v>29</v>
      </c>
      <c r="AI165">
        <v>29</v>
      </c>
      <c r="AJ165">
        <v>27</v>
      </c>
      <c r="AK165">
        <v>28</v>
      </c>
      <c r="AL165">
        <v>28</v>
      </c>
      <c r="AM165">
        <v>27</v>
      </c>
      <c r="AN165">
        <v>26</v>
      </c>
      <c r="AO165">
        <v>27</v>
      </c>
      <c r="AP165">
        <v>26</v>
      </c>
      <c r="AQ165">
        <v>24</v>
      </c>
      <c r="AR165">
        <v>23</v>
      </c>
      <c r="AS165">
        <v>24</v>
      </c>
      <c r="AT165">
        <v>24</v>
      </c>
      <c r="AU165">
        <v>23</v>
      </c>
      <c r="AV165">
        <v>23</v>
      </c>
      <c r="AW165">
        <v>22</v>
      </c>
      <c r="AX165">
        <v>23</v>
      </c>
      <c r="AY165">
        <v>24</v>
      </c>
      <c r="AZ165">
        <v>23</v>
      </c>
      <c r="BA165">
        <v>23</v>
      </c>
      <c r="BB165">
        <v>24</v>
      </c>
      <c r="BC165">
        <v>21</v>
      </c>
      <c r="BD165">
        <v>23</v>
      </c>
    </row>
    <row r="166" spans="1:56" x14ac:dyDescent="0.25">
      <c r="A166" t="s">
        <v>4328</v>
      </c>
      <c r="B166" t="s">
        <v>137</v>
      </c>
      <c r="C166" t="s">
        <v>108</v>
      </c>
      <c r="D166">
        <v>1740</v>
      </c>
      <c r="E166">
        <v>24.137</v>
      </c>
      <c r="F166">
        <v>14</v>
      </c>
      <c r="G166">
        <v>20</v>
      </c>
      <c r="H166">
        <v>19</v>
      </c>
      <c r="I166">
        <v>20</v>
      </c>
      <c r="J166">
        <v>24</v>
      </c>
      <c r="K166">
        <v>23</v>
      </c>
      <c r="L166">
        <v>23</v>
      </c>
      <c r="M166">
        <v>24</v>
      </c>
      <c r="N166">
        <v>21</v>
      </c>
      <c r="O166">
        <v>21</v>
      </c>
      <c r="P166">
        <v>21</v>
      </c>
      <c r="Q166">
        <v>20</v>
      </c>
      <c r="R166">
        <v>22</v>
      </c>
      <c r="S166">
        <v>22</v>
      </c>
      <c r="T166">
        <v>23</v>
      </c>
      <c r="U166">
        <v>24</v>
      </c>
      <c r="V166">
        <v>22</v>
      </c>
      <c r="W166">
        <v>24</v>
      </c>
      <c r="X166">
        <v>25</v>
      </c>
      <c r="Y166">
        <v>26</v>
      </c>
      <c r="Z166">
        <v>25</v>
      </c>
      <c r="AA166">
        <v>26</v>
      </c>
      <c r="AB166">
        <v>28</v>
      </c>
      <c r="AC166">
        <v>25</v>
      </c>
      <c r="AD166">
        <v>28</v>
      </c>
      <c r="AE166">
        <v>30</v>
      </c>
      <c r="AF166">
        <v>27</v>
      </c>
      <c r="AG166">
        <v>28</v>
      </c>
      <c r="AH166">
        <v>28</v>
      </c>
      <c r="AI166">
        <v>29</v>
      </c>
      <c r="AJ166">
        <v>27</v>
      </c>
      <c r="AK166">
        <v>27</v>
      </c>
      <c r="AL166">
        <v>27</v>
      </c>
      <c r="AM166">
        <v>27</v>
      </c>
      <c r="AN166">
        <v>26</v>
      </c>
      <c r="AO166">
        <v>28</v>
      </c>
      <c r="AP166">
        <v>26</v>
      </c>
      <c r="AQ166">
        <v>25</v>
      </c>
      <c r="AR166">
        <v>23</v>
      </c>
      <c r="AS166">
        <v>25</v>
      </c>
      <c r="AT166">
        <v>23</v>
      </c>
      <c r="AU166">
        <v>24</v>
      </c>
      <c r="AV166">
        <v>23</v>
      </c>
      <c r="AW166">
        <v>24</v>
      </c>
      <c r="AX166">
        <v>24</v>
      </c>
      <c r="AY166">
        <v>25</v>
      </c>
      <c r="AZ166">
        <v>22</v>
      </c>
      <c r="BA166">
        <v>24</v>
      </c>
      <c r="BB166">
        <v>25</v>
      </c>
      <c r="BC166">
        <v>21</v>
      </c>
      <c r="BD166">
        <v>23</v>
      </c>
    </row>
    <row r="167" spans="1:56" x14ac:dyDescent="0.25">
      <c r="A167" t="s">
        <v>4329</v>
      </c>
      <c r="B167" t="s">
        <v>138</v>
      </c>
      <c r="C167" t="s">
        <v>108</v>
      </c>
      <c r="D167">
        <v>1806</v>
      </c>
      <c r="E167">
        <v>25.902000000000001</v>
      </c>
      <c r="F167">
        <v>14</v>
      </c>
      <c r="G167">
        <v>21</v>
      </c>
      <c r="H167">
        <v>25</v>
      </c>
      <c r="I167">
        <v>23</v>
      </c>
      <c r="J167">
        <v>25</v>
      </c>
      <c r="K167">
        <v>21</v>
      </c>
      <c r="L167">
        <v>21</v>
      </c>
      <c r="M167">
        <v>23</v>
      </c>
      <c r="N167">
        <v>22</v>
      </c>
      <c r="O167">
        <v>23</v>
      </c>
      <c r="P167">
        <v>23</v>
      </c>
      <c r="Q167">
        <v>23</v>
      </c>
      <c r="R167">
        <v>24</v>
      </c>
      <c r="S167">
        <v>25</v>
      </c>
      <c r="T167">
        <v>22</v>
      </c>
      <c r="U167">
        <v>30</v>
      </c>
      <c r="V167">
        <v>31</v>
      </c>
      <c r="W167">
        <v>30</v>
      </c>
      <c r="X167">
        <v>30</v>
      </c>
      <c r="Y167">
        <v>28</v>
      </c>
      <c r="Z167">
        <v>30</v>
      </c>
      <c r="AA167">
        <v>28</v>
      </c>
      <c r="AB167">
        <v>32</v>
      </c>
      <c r="AC167">
        <v>30</v>
      </c>
      <c r="AD167">
        <v>29</v>
      </c>
      <c r="AE167">
        <v>30</v>
      </c>
      <c r="AF167">
        <v>28</v>
      </c>
      <c r="AG167">
        <v>30</v>
      </c>
      <c r="AH167">
        <v>30</v>
      </c>
      <c r="AI167">
        <v>31</v>
      </c>
      <c r="AJ167">
        <v>28</v>
      </c>
      <c r="AK167">
        <v>29</v>
      </c>
      <c r="AL167">
        <v>30</v>
      </c>
      <c r="AM167">
        <v>28</v>
      </c>
      <c r="AN167">
        <v>28</v>
      </c>
      <c r="AO167">
        <v>29</v>
      </c>
      <c r="AP167">
        <v>29</v>
      </c>
      <c r="AQ167">
        <v>26</v>
      </c>
      <c r="AR167">
        <v>24</v>
      </c>
      <c r="AS167">
        <v>26</v>
      </c>
      <c r="AT167">
        <v>27</v>
      </c>
      <c r="AU167">
        <v>24</v>
      </c>
      <c r="AV167">
        <v>25</v>
      </c>
      <c r="AW167">
        <v>23</v>
      </c>
      <c r="AX167">
        <v>23</v>
      </c>
      <c r="AY167">
        <v>25</v>
      </c>
      <c r="AZ167">
        <v>24</v>
      </c>
      <c r="BA167">
        <v>23</v>
      </c>
      <c r="BB167">
        <v>24</v>
      </c>
      <c r="BC167">
        <v>21</v>
      </c>
      <c r="BD167">
        <v>23</v>
      </c>
    </row>
    <row r="168" spans="1:56" x14ac:dyDescent="0.25">
      <c r="A168" t="s">
        <v>4330</v>
      </c>
      <c r="B168" t="s">
        <v>139</v>
      </c>
      <c r="C168" t="s">
        <v>108</v>
      </c>
      <c r="D168">
        <v>7988</v>
      </c>
      <c r="E168">
        <v>29.51</v>
      </c>
      <c r="F168">
        <v>21</v>
      </c>
      <c r="G168">
        <v>29</v>
      </c>
      <c r="H168">
        <v>31</v>
      </c>
      <c r="I168">
        <v>27</v>
      </c>
      <c r="J168">
        <v>30</v>
      </c>
      <c r="K168">
        <v>29</v>
      </c>
      <c r="L168">
        <v>28</v>
      </c>
      <c r="M168">
        <v>29</v>
      </c>
      <c r="N168">
        <v>26</v>
      </c>
      <c r="O168">
        <v>27</v>
      </c>
      <c r="P168">
        <v>26</v>
      </c>
      <c r="Q168">
        <v>26</v>
      </c>
      <c r="R168">
        <v>27</v>
      </c>
      <c r="S168">
        <v>28</v>
      </c>
      <c r="T168">
        <v>27</v>
      </c>
      <c r="U168">
        <v>29</v>
      </c>
      <c r="V168">
        <v>29</v>
      </c>
      <c r="W168">
        <v>29</v>
      </c>
      <c r="X168">
        <v>31</v>
      </c>
      <c r="Y168">
        <v>30</v>
      </c>
      <c r="Z168">
        <v>31</v>
      </c>
      <c r="AA168">
        <v>31</v>
      </c>
      <c r="AB168">
        <v>32</v>
      </c>
      <c r="AC168">
        <v>32</v>
      </c>
      <c r="AD168">
        <v>33</v>
      </c>
      <c r="AE168">
        <v>32</v>
      </c>
      <c r="AF168">
        <v>33</v>
      </c>
      <c r="AG168">
        <v>32</v>
      </c>
      <c r="AH168">
        <v>33</v>
      </c>
      <c r="AI168">
        <v>33</v>
      </c>
      <c r="AJ168">
        <v>32</v>
      </c>
      <c r="AK168">
        <v>33</v>
      </c>
      <c r="AL168">
        <v>31</v>
      </c>
      <c r="AM168">
        <v>31</v>
      </c>
      <c r="AN168">
        <v>31</v>
      </c>
      <c r="AO168">
        <v>32</v>
      </c>
      <c r="AP168">
        <v>32</v>
      </c>
      <c r="AQ168">
        <v>29</v>
      </c>
      <c r="AR168">
        <v>26</v>
      </c>
      <c r="AS168">
        <v>29</v>
      </c>
      <c r="AT168">
        <v>28</v>
      </c>
      <c r="AU168">
        <v>28</v>
      </c>
      <c r="AV168">
        <v>29</v>
      </c>
      <c r="AW168">
        <v>28</v>
      </c>
      <c r="AX168">
        <v>28</v>
      </c>
      <c r="AY168">
        <v>29</v>
      </c>
      <c r="AZ168">
        <v>29</v>
      </c>
      <c r="BA168">
        <v>29</v>
      </c>
      <c r="BB168">
        <v>31</v>
      </c>
      <c r="BC168">
        <v>29</v>
      </c>
      <c r="BD168">
        <v>30</v>
      </c>
    </row>
    <row r="169" spans="1:56" x14ac:dyDescent="0.25">
      <c r="A169" t="s">
        <v>4331</v>
      </c>
      <c r="B169" t="s">
        <v>140</v>
      </c>
      <c r="C169" t="s">
        <v>108</v>
      </c>
      <c r="D169">
        <v>1027</v>
      </c>
      <c r="E169">
        <v>14.255000000000001</v>
      </c>
      <c r="F169">
        <v>9</v>
      </c>
      <c r="G169">
        <v>14</v>
      </c>
      <c r="H169">
        <v>15</v>
      </c>
      <c r="I169">
        <v>11</v>
      </c>
      <c r="J169">
        <v>16</v>
      </c>
      <c r="K169">
        <v>16</v>
      </c>
      <c r="L169">
        <v>14</v>
      </c>
      <c r="M169">
        <v>14</v>
      </c>
      <c r="N169">
        <v>12</v>
      </c>
      <c r="O169">
        <v>11</v>
      </c>
      <c r="P169">
        <v>10</v>
      </c>
      <c r="Q169">
        <v>9</v>
      </c>
      <c r="R169">
        <v>11</v>
      </c>
      <c r="S169">
        <v>13</v>
      </c>
      <c r="T169">
        <v>11</v>
      </c>
      <c r="U169">
        <v>13</v>
      </c>
      <c r="V169">
        <v>13</v>
      </c>
      <c r="W169">
        <v>13</v>
      </c>
      <c r="X169">
        <v>14</v>
      </c>
      <c r="Y169">
        <v>12</v>
      </c>
      <c r="Z169">
        <v>14</v>
      </c>
      <c r="AA169">
        <v>14</v>
      </c>
      <c r="AB169">
        <v>18</v>
      </c>
      <c r="AC169">
        <v>13</v>
      </c>
      <c r="AD169">
        <v>16</v>
      </c>
      <c r="AE169">
        <v>15</v>
      </c>
      <c r="AF169">
        <v>15</v>
      </c>
      <c r="AG169">
        <v>16</v>
      </c>
      <c r="AH169">
        <v>17</v>
      </c>
      <c r="AI169">
        <v>16</v>
      </c>
      <c r="AJ169">
        <v>14</v>
      </c>
      <c r="AK169">
        <v>18</v>
      </c>
      <c r="AL169">
        <v>16</v>
      </c>
      <c r="AM169">
        <v>16</v>
      </c>
      <c r="AN169">
        <v>16</v>
      </c>
      <c r="AO169">
        <v>18</v>
      </c>
      <c r="AP169">
        <v>17</v>
      </c>
      <c r="AQ169">
        <v>15</v>
      </c>
      <c r="AR169">
        <v>14</v>
      </c>
      <c r="AS169">
        <v>15</v>
      </c>
      <c r="AT169">
        <v>13</v>
      </c>
      <c r="AU169">
        <v>16</v>
      </c>
      <c r="AV169">
        <v>14</v>
      </c>
      <c r="AW169">
        <v>13</v>
      </c>
      <c r="AX169">
        <v>13</v>
      </c>
      <c r="AY169">
        <v>15</v>
      </c>
      <c r="AZ169">
        <v>16</v>
      </c>
      <c r="BA169">
        <v>15</v>
      </c>
      <c r="BB169">
        <v>15</v>
      </c>
      <c r="BC169">
        <v>15</v>
      </c>
      <c r="BD169">
        <v>18</v>
      </c>
    </row>
    <row r="170" spans="1:56" x14ac:dyDescent="0.25">
      <c r="A170" t="s">
        <v>4332</v>
      </c>
      <c r="B170" t="s">
        <v>141</v>
      </c>
      <c r="C170" t="s">
        <v>108</v>
      </c>
      <c r="D170">
        <v>503</v>
      </c>
      <c r="E170">
        <v>10.176</v>
      </c>
      <c r="F170">
        <v>6</v>
      </c>
      <c r="G170">
        <v>11</v>
      </c>
      <c r="H170">
        <v>9</v>
      </c>
      <c r="I170">
        <v>8</v>
      </c>
      <c r="J170">
        <v>9</v>
      </c>
      <c r="K170">
        <v>11</v>
      </c>
      <c r="L170">
        <v>8</v>
      </c>
      <c r="M170">
        <v>11</v>
      </c>
      <c r="N170">
        <v>8</v>
      </c>
      <c r="O170">
        <v>8</v>
      </c>
      <c r="P170">
        <v>6</v>
      </c>
      <c r="Q170">
        <v>6</v>
      </c>
      <c r="R170">
        <v>7</v>
      </c>
      <c r="S170">
        <v>9</v>
      </c>
      <c r="T170">
        <v>7</v>
      </c>
      <c r="U170">
        <v>9</v>
      </c>
      <c r="V170">
        <v>9</v>
      </c>
      <c r="W170">
        <v>9</v>
      </c>
      <c r="X170">
        <v>11</v>
      </c>
      <c r="Y170">
        <v>10</v>
      </c>
      <c r="Z170">
        <v>11</v>
      </c>
      <c r="AA170">
        <v>12</v>
      </c>
      <c r="AB170">
        <v>16</v>
      </c>
      <c r="AC170">
        <v>9</v>
      </c>
      <c r="AD170">
        <v>12</v>
      </c>
      <c r="AE170">
        <v>10</v>
      </c>
      <c r="AF170">
        <v>11</v>
      </c>
      <c r="AG170">
        <v>13</v>
      </c>
      <c r="AH170">
        <v>12</v>
      </c>
      <c r="AI170">
        <v>12</v>
      </c>
      <c r="AJ170">
        <v>11</v>
      </c>
      <c r="AK170">
        <v>12</v>
      </c>
      <c r="AL170">
        <v>9</v>
      </c>
      <c r="AM170">
        <v>13</v>
      </c>
      <c r="AN170">
        <v>12</v>
      </c>
      <c r="AO170">
        <v>12</v>
      </c>
      <c r="AP170">
        <v>12</v>
      </c>
      <c r="AQ170">
        <v>12</v>
      </c>
      <c r="AR170">
        <v>10</v>
      </c>
      <c r="AS170">
        <v>11</v>
      </c>
      <c r="AT170">
        <v>10</v>
      </c>
      <c r="AU170">
        <v>9</v>
      </c>
      <c r="AV170">
        <v>11</v>
      </c>
      <c r="AW170">
        <v>9</v>
      </c>
      <c r="AX170">
        <v>10</v>
      </c>
      <c r="AY170">
        <v>11</v>
      </c>
      <c r="AZ170">
        <v>11</v>
      </c>
      <c r="BA170">
        <v>10</v>
      </c>
      <c r="BB170">
        <v>11</v>
      </c>
      <c r="BC170">
        <v>11</v>
      </c>
      <c r="BD170">
        <v>12</v>
      </c>
    </row>
    <row r="171" spans="1:56" x14ac:dyDescent="0.25">
      <c r="A171" t="s">
        <v>4333</v>
      </c>
      <c r="B171" t="s">
        <v>142</v>
      </c>
      <c r="C171" t="s">
        <v>108</v>
      </c>
      <c r="D171">
        <v>472</v>
      </c>
      <c r="E171">
        <v>18.059000000000001</v>
      </c>
      <c r="F171">
        <v>9</v>
      </c>
      <c r="G171">
        <v>15</v>
      </c>
      <c r="H171">
        <v>17</v>
      </c>
      <c r="I171">
        <v>12</v>
      </c>
      <c r="J171">
        <v>21</v>
      </c>
      <c r="K171">
        <v>19</v>
      </c>
      <c r="L171">
        <v>19</v>
      </c>
      <c r="M171">
        <v>17</v>
      </c>
      <c r="N171">
        <v>15</v>
      </c>
      <c r="O171">
        <v>15</v>
      </c>
      <c r="P171">
        <v>14</v>
      </c>
      <c r="Q171">
        <v>13</v>
      </c>
      <c r="R171">
        <v>13</v>
      </c>
      <c r="S171">
        <v>17</v>
      </c>
      <c r="T171">
        <v>15</v>
      </c>
      <c r="U171">
        <v>17</v>
      </c>
      <c r="V171">
        <v>17</v>
      </c>
      <c r="W171">
        <v>17</v>
      </c>
      <c r="X171">
        <v>18</v>
      </c>
      <c r="Y171">
        <v>14</v>
      </c>
      <c r="Z171">
        <v>19</v>
      </c>
      <c r="AA171">
        <v>18</v>
      </c>
      <c r="AB171">
        <v>20</v>
      </c>
      <c r="AC171">
        <v>18</v>
      </c>
      <c r="AD171">
        <v>21</v>
      </c>
      <c r="AE171">
        <v>19</v>
      </c>
      <c r="AF171">
        <v>18</v>
      </c>
      <c r="AG171">
        <v>21</v>
      </c>
      <c r="AH171">
        <v>23</v>
      </c>
      <c r="AI171">
        <v>20</v>
      </c>
      <c r="AJ171">
        <v>17</v>
      </c>
      <c r="AK171">
        <v>24</v>
      </c>
      <c r="AL171">
        <v>23</v>
      </c>
      <c r="AM171">
        <v>20</v>
      </c>
      <c r="AN171">
        <v>20</v>
      </c>
      <c r="AO171">
        <v>24</v>
      </c>
      <c r="AP171">
        <v>22</v>
      </c>
      <c r="AQ171">
        <v>19</v>
      </c>
      <c r="AR171">
        <v>18</v>
      </c>
      <c r="AS171">
        <v>18</v>
      </c>
      <c r="AT171">
        <v>16</v>
      </c>
      <c r="AU171">
        <v>22</v>
      </c>
      <c r="AV171">
        <v>17</v>
      </c>
      <c r="AW171">
        <v>18</v>
      </c>
      <c r="AX171">
        <v>17</v>
      </c>
      <c r="AY171">
        <v>18</v>
      </c>
      <c r="AZ171">
        <v>22</v>
      </c>
      <c r="BA171">
        <v>19</v>
      </c>
      <c r="BB171">
        <v>17</v>
      </c>
      <c r="BC171">
        <v>17</v>
      </c>
      <c r="BD171">
        <v>22</v>
      </c>
    </row>
    <row r="172" spans="1:56" x14ac:dyDescent="0.25">
      <c r="A172" t="s">
        <v>4334</v>
      </c>
      <c r="B172" t="s">
        <v>143</v>
      </c>
      <c r="C172" t="s">
        <v>108</v>
      </c>
      <c r="D172">
        <v>1553</v>
      </c>
      <c r="E172">
        <v>29.725000000000001</v>
      </c>
      <c r="F172">
        <v>25</v>
      </c>
      <c r="G172">
        <v>33</v>
      </c>
      <c r="H172">
        <v>29</v>
      </c>
      <c r="I172">
        <v>32</v>
      </c>
      <c r="J172">
        <v>26</v>
      </c>
      <c r="K172">
        <v>24</v>
      </c>
      <c r="L172">
        <v>23</v>
      </c>
      <c r="M172">
        <v>28</v>
      </c>
      <c r="N172">
        <v>27</v>
      </c>
      <c r="O172">
        <v>30</v>
      </c>
      <c r="P172">
        <v>28</v>
      </c>
      <c r="Q172">
        <v>26</v>
      </c>
      <c r="R172">
        <v>28</v>
      </c>
      <c r="S172">
        <v>28</v>
      </c>
      <c r="T172">
        <v>29</v>
      </c>
      <c r="U172">
        <v>33</v>
      </c>
      <c r="V172">
        <v>36</v>
      </c>
      <c r="W172">
        <v>33</v>
      </c>
      <c r="X172">
        <v>38</v>
      </c>
      <c r="Y172">
        <v>35</v>
      </c>
      <c r="Z172">
        <v>35</v>
      </c>
      <c r="AA172">
        <v>37</v>
      </c>
      <c r="AB172">
        <v>33</v>
      </c>
      <c r="AC172">
        <v>34</v>
      </c>
      <c r="AD172">
        <v>37</v>
      </c>
      <c r="AE172">
        <v>36</v>
      </c>
      <c r="AF172">
        <v>37</v>
      </c>
      <c r="AG172">
        <v>35</v>
      </c>
      <c r="AH172">
        <v>38</v>
      </c>
      <c r="AI172">
        <v>35</v>
      </c>
      <c r="AJ172">
        <v>31</v>
      </c>
      <c r="AK172">
        <v>32</v>
      </c>
      <c r="AL172">
        <v>26</v>
      </c>
      <c r="AM172">
        <v>27</v>
      </c>
      <c r="AN172">
        <v>29</v>
      </c>
      <c r="AO172">
        <v>30</v>
      </c>
      <c r="AP172">
        <v>29</v>
      </c>
      <c r="AQ172">
        <v>30</v>
      </c>
      <c r="AR172">
        <v>25</v>
      </c>
      <c r="AS172">
        <v>27</v>
      </c>
      <c r="AT172">
        <v>27</v>
      </c>
      <c r="AU172">
        <v>24</v>
      </c>
      <c r="AV172">
        <v>24</v>
      </c>
      <c r="AW172">
        <v>23</v>
      </c>
      <c r="AX172">
        <v>26</v>
      </c>
      <c r="AY172">
        <v>27</v>
      </c>
      <c r="AZ172">
        <v>26</v>
      </c>
      <c r="BA172">
        <v>25</v>
      </c>
      <c r="BB172">
        <v>29</v>
      </c>
      <c r="BC172">
        <v>25</v>
      </c>
      <c r="BD172">
        <v>26</v>
      </c>
    </row>
    <row r="173" spans="1:56" x14ac:dyDescent="0.25">
      <c r="A173" t="s">
        <v>4335</v>
      </c>
      <c r="B173" t="s">
        <v>144</v>
      </c>
      <c r="C173" t="s">
        <v>108</v>
      </c>
      <c r="D173">
        <v>1012</v>
      </c>
      <c r="E173">
        <v>32.078000000000003</v>
      </c>
      <c r="F173">
        <v>39</v>
      </c>
      <c r="G173">
        <v>36</v>
      </c>
      <c r="H173">
        <v>33</v>
      </c>
      <c r="I173">
        <v>34</v>
      </c>
      <c r="J173">
        <v>28</v>
      </c>
      <c r="K173">
        <v>22</v>
      </c>
      <c r="L173">
        <v>26</v>
      </c>
      <c r="M173">
        <v>31</v>
      </c>
      <c r="N173">
        <v>28</v>
      </c>
      <c r="O173">
        <v>31</v>
      </c>
      <c r="P173">
        <v>30</v>
      </c>
      <c r="Q173">
        <v>30</v>
      </c>
      <c r="R173">
        <v>28</v>
      </c>
      <c r="S173">
        <v>28</v>
      </c>
      <c r="T173">
        <v>31</v>
      </c>
      <c r="U173">
        <v>37</v>
      </c>
      <c r="V173">
        <v>38</v>
      </c>
      <c r="W173">
        <v>37</v>
      </c>
      <c r="X173">
        <v>40</v>
      </c>
      <c r="Y173">
        <v>39</v>
      </c>
      <c r="Z173">
        <v>40</v>
      </c>
      <c r="AA173">
        <v>40</v>
      </c>
      <c r="AB173">
        <v>36</v>
      </c>
      <c r="AC173">
        <v>37</v>
      </c>
      <c r="AD173">
        <v>39</v>
      </c>
      <c r="AE173">
        <v>40</v>
      </c>
      <c r="AF173">
        <v>41</v>
      </c>
      <c r="AG173">
        <v>39</v>
      </c>
      <c r="AH173">
        <v>42</v>
      </c>
      <c r="AI173">
        <v>38</v>
      </c>
      <c r="AJ173">
        <v>33</v>
      </c>
      <c r="AK173">
        <v>34</v>
      </c>
      <c r="AL173">
        <v>28</v>
      </c>
      <c r="AM173">
        <v>28</v>
      </c>
      <c r="AN173">
        <v>29</v>
      </c>
      <c r="AO173">
        <v>32</v>
      </c>
      <c r="AP173">
        <v>31</v>
      </c>
      <c r="AQ173">
        <v>32</v>
      </c>
      <c r="AR173">
        <v>27</v>
      </c>
      <c r="AS173">
        <v>29</v>
      </c>
      <c r="AT173">
        <v>28</v>
      </c>
      <c r="AU173">
        <v>25</v>
      </c>
      <c r="AV173">
        <v>26</v>
      </c>
      <c r="AW173">
        <v>24</v>
      </c>
      <c r="AX173">
        <v>28</v>
      </c>
      <c r="AY173">
        <v>27</v>
      </c>
      <c r="AZ173">
        <v>27</v>
      </c>
      <c r="BA173">
        <v>25</v>
      </c>
      <c r="BB173">
        <v>31</v>
      </c>
      <c r="BC173">
        <v>26</v>
      </c>
      <c r="BD173">
        <v>28</v>
      </c>
    </row>
    <row r="174" spans="1:56" x14ac:dyDescent="0.25">
      <c r="A174" t="s">
        <v>4336</v>
      </c>
      <c r="B174" t="s">
        <v>145</v>
      </c>
      <c r="C174" t="s">
        <v>108</v>
      </c>
      <c r="D174">
        <v>541</v>
      </c>
      <c r="E174">
        <v>25.411999999999999</v>
      </c>
      <c r="F174">
        <v>16</v>
      </c>
      <c r="G174">
        <v>28</v>
      </c>
      <c r="H174">
        <v>25</v>
      </c>
      <c r="I174">
        <v>29</v>
      </c>
      <c r="J174">
        <v>22</v>
      </c>
      <c r="K174">
        <v>26</v>
      </c>
      <c r="L174">
        <v>19</v>
      </c>
      <c r="M174">
        <v>23</v>
      </c>
      <c r="N174">
        <v>25</v>
      </c>
      <c r="O174">
        <v>27</v>
      </c>
      <c r="P174">
        <v>23</v>
      </c>
      <c r="Q174">
        <v>18</v>
      </c>
      <c r="R174">
        <v>27</v>
      </c>
      <c r="S174">
        <v>26</v>
      </c>
      <c r="T174">
        <v>26</v>
      </c>
      <c r="U174">
        <v>26</v>
      </c>
      <c r="V174">
        <v>33</v>
      </c>
      <c r="W174">
        <v>25</v>
      </c>
      <c r="X174">
        <v>33</v>
      </c>
      <c r="Y174">
        <v>27</v>
      </c>
      <c r="Z174">
        <v>26</v>
      </c>
      <c r="AA174">
        <v>31</v>
      </c>
      <c r="AB174">
        <v>27</v>
      </c>
      <c r="AC174">
        <v>27</v>
      </c>
      <c r="AD174">
        <v>31</v>
      </c>
      <c r="AE174">
        <v>29</v>
      </c>
      <c r="AF174">
        <v>29</v>
      </c>
      <c r="AG174">
        <v>26</v>
      </c>
      <c r="AH174">
        <v>31</v>
      </c>
      <c r="AI174">
        <v>28</v>
      </c>
      <c r="AJ174">
        <v>27</v>
      </c>
      <c r="AK174">
        <v>28</v>
      </c>
      <c r="AL174">
        <v>22</v>
      </c>
      <c r="AM174">
        <v>24</v>
      </c>
      <c r="AN174">
        <v>30</v>
      </c>
      <c r="AO174">
        <v>27</v>
      </c>
      <c r="AP174">
        <v>26</v>
      </c>
      <c r="AQ174">
        <v>26</v>
      </c>
      <c r="AR174">
        <v>20</v>
      </c>
      <c r="AS174">
        <v>23</v>
      </c>
      <c r="AT174">
        <v>25</v>
      </c>
      <c r="AU174">
        <v>22</v>
      </c>
      <c r="AV174">
        <v>21</v>
      </c>
      <c r="AW174">
        <v>22</v>
      </c>
      <c r="AX174">
        <v>23</v>
      </c>
      <c r="AY174">
        <v>26</v>
      </c>
      <c r="AZ174">
        <v>23</v>
      </c>
      <c r="BA174">
        <v>24</v>
      </c>
      <c r="BB174">
        <v>25</v>
      </c>
      <c r="BC174">
        <v>21</v>
      </c>
      <c r="BD174">
        <v>22</v>
      </c>
    </row>
    <row r="175" spans="1:56" x14ac:dyDescent="0.25">
      <c r="A175" t="s">
        <v>4337</v>
      </c>
      <c r="B175" t="s">
        <v>146</v>
      </c>
      <c r="C175" t="s">
        <v>108</v>
      </c>
      <c r="D175">
        <v>62</v>
      </c>
      <c r="E175">
        <v>48.353000000000002</v>
      </c>
      <c r="F175">
        <v>24</v>
      </c>
      <c r="G175">
        <v>39</v>
      </c>
      <c r="H175">
        <v>41</v>
      </c>
      <c r="I175">
        <v>34</v>
      </c>
      <c r="J175">
        <v>58</v>
      </c>
      <c r="K175">
        <v>44</v>
      </c>
      <c r="L175">
        <v>44</v>
      </c>
      <c r="M175">
        <v>53</v>
      </c>
      <c r="N175">
        <v>55</v>
      </c>
      <c r="O175">
        <v>52</v>
      </c>
      <c r="P175">
        <v>39</v>
      </c>
      <c r="Q175">
        <v>44</v>
      </c>
      <c r="R175">
        <v>44</v>
      </c>
      <c r="S175">
        <v>56</v>
      </c>
      <c r="T175">
        <v>50</v>
      </c>
      <c r="U175">
        <v>44</v>
      </c>
      <c r="V175">
        <v>46</v>
      </c>
      <c r="W175">
        <v>37</v>
      </c>
      <c r="X175">
        <v>48</v>
      </c>
      <c r="Y175">
        <v>53</v>
      </c>
      <c r="Z175">
        <v>54</v>
      </c>
      <c r="AA175">
        <v>55</v>
      </c>
      <c r="AB175">
        <v>50</v>
      </c>
      <c r="AC175">
        <v>60</v>
      </c>
      <c r="AD175">
        <v>51</v>
      </c>
      <c r="AE175">
        <v>50</v>
      </c>
      <c r="AF175">
        <v>47</v>
      </c>
      <c r="AG175">
        <v>45</v>
      </c>
      <c r="AH175">
        <v>53</v>
      </c>
      <c r="AI175">
        <v>53</v>
      </c>
      <c r="AJ175">
        <v>48</v>
      </c>
      <c r="AK175">
        <v>49</v>
      </c>
      <c r="AL175">
        <v>41</v>
      </c>
      <c r="AM175">
        <v>55</v>
      </c>
      <c r="AN175">
        <v>51</v>
      </c>
      <c r="AO175">
        <v>54</v>
      </c>
      <c r="AP175">
        <v>54</v>
      </c>
      <c r="AQ175">
        <v>51</v>
      </c>
      <c r="AR175">
        <v>44</v>
      </c>
      <c r="AS175">
        <v>45</v>
      </c>
      <c r="AT175">
        <v>43</v>
      </c>
      <c r="AU175">
        <v>50</v>
      </c>
      <c r="AV175">
        <v>61</v>
      </c>
      <c r="AW175">
        <v>48</v>
      </c>
      <c r="AX175">
        <v>53</v>
      </c>
      <c r="AY175">
        <v>47</v>
      </c>
      <c r="AZ175">
        <v>47</v>
      </c>
      <c r="BA175">
        <v>39</v>
      </c>
      <c r="BB175">
        <v>56</v>
      </c>
      <c r="BC175">
        <v>60</v>
      </c>
      <c r="BD175">
        <v>47</v>
      </c>
    </row>
    <row r="176" spans="1:56" x14ac:dyDescent="0.25">
      <c r="A176" t="s">
        <v>4338</v>
      </c>
      <c r="B176" t="s">
        <v>147</v>
      </c>
      <c r="C176" t="s">
        <v>108</v>
      </c>
      <c r="D176">
        <v>81</v>
      </c>
      <c r="E176">
        <v>50.274999999999999</v>
      </c>
      <c r="F176">
        <v>32</v>
      </c>
      <c r="G176">
        <v>43</v>
      </c>
      <c r="H176">
        <v>40</v>
      </c>
      <c r="I176">
        <v>55</v>
      </c>
      <c r="J176">
        <v>51</v>
      </c>
      <c r="K176">
        <v>50</v>
      </c>
      <c r="L176">
        <v>56</v>
      </c>
      <c r="M176">
        <v>65</v>
      </c>
      <c r="N176">
        <v>44</v>
      </c>
      <c r="O176">
        <v>47</v>
      </c>
      <c r="P176">
        <v>51</v>
      </c>
      <c r="Q176">
        <v>53</v>
      </c>
      <c r="R176">
        <v>61</v>
      </c>
      <c r="S176">
        <v>47</v>
      </c>
      <c r="T176">
        <v>44</v>
      </c>
      <c r="U176">
        <v>54</v>
      </c>
      <c r="V176">
        <v>52</v>
      </c>
      <c r="W176">
        <v>52</v>
      </c>
      <c r="X176">
        <v>49</v>
      </c>
      <c r="Y176">
        <v>58</v>
      </c>
      <c r="Z176">
        <v>51</v>
      </c>
      <c r="AA176">
        <v>58</v>
      </c>
      <c r="AB176">
        <v>69</v>
      </c>
      <c r="AC176">
        <v>63</v>
      </c>
      <c r="AD176">
        <v>52</v>
      </c>
      <c r="AE176">
        <v>50</v>
      </c>
      <c r="AF176">
        <v>60</v>
      </c>
      <c r="AG176">
        <v>59</v>
      </c>
      <c r="AH176">
        <v>57</v>
      </c>
      <c r="AI176">
        <v>55</v>
      </c>
      <c r="AJ176">
        <v>48</v>
      </c>
      <c r="AK176">
        <v>55</v>
      </c>
      <c r="AL176">
        <v>49</v>
      </c>
      <c r="AM176">
        <v>54</v>
      </c>
      <c r="AN176">
        <v>47</v>
      </c>
      <c r="AO176">
        <v>49</v>
      </c>
      <c r="AP176">
        <v>53</v>
      </c>
      <c r="AQ176">
        <v>45</v>
      </c>
      <c r="AR176">
        <v>35</v>
      </c>
      <c r="AS176">
        <v>48</v>
      </c>
      <c r="AT176">
        <v>47</v>
      </c>
      <c r="AU176">
        <v>54</v>
      </c>
      <c r="AV176">
        <v>41</v>
      </c>
      <c r="AW176">
        <v>54</v>
      </c>
      <c r="AX176">
        <v>45</v>
      </c>
      <c r="AY176">
        <v>42</v>
      </c>
      <c r="AZ176">
        <v>40</v>
      </c>
      <c r="BA176">
        <v>45</v>
      </c>
      <c r="BB176">
        <v>45</v>
      </c>
      <c r="BC176">
        <v>41</v>
      </c>
      <c r="BD176">
        <v>49</v>
      </c>
    </row>
    <row r="177" spans="1:56" x14ac:dyDescent="0.25">
      <c r="A177" t="s">
        <v>4339</v>
      </c>
      <c r="B177" t="s">
        <v>148</v>
      </c>
      <c r="C177" t="s">
        <v>108</v>
      </c>
      <c r="D177">
        <v>564</v>
      </c>
      <c r="E177">
        <v>51.804000000000002</v>
      </c>
      <c r="F177">
        <v>37</v>
      </c>
      <c r="G177">
        <v>50</v>
      </c>
      <c r="H177">
        <v>54</v>
      </c>
      <c r="I177">
        <v>49</v>
      </c>
      <c r="J177">
        <v>46</v>
      </c>
      <c r="K177">
        <v>44</v>
      </c>
      <c r="L177">
        <v>48</v>
      </c>
      <c r="M177">
        <v>49</v>
      </c>
      <c r="N177">
        <v>46</v>
      </c>
      <c r="O177">
        <v>45</v>
      </c>
      <c r="P177">
        <v>46</v>
      </c>
      <c r="Q177">
        <v>48</v>
      </c>
      <c r="R177">
        <v>47</v>
      </c>
      <c r="S177">
        <v>50</v>
      </c>
      <c r="T177">
        <v>45</v>
      </c>
      <c r="U177">
        <v>49</v>
      </c>
      <c r="V177">
        <v>53</v>
      </c>
      <c r="W177">
        <v>51</v>
      </c>
      <c r="X177">
        <v>54</v>
      </c>
      <c r="Y177">
        <v>54</v>
      </c>
      <c r="Z177">
        <v>52</v>
      </c>
      <c r="AA177">
        <v>52</v>
      </c>
      <c r="AB177">
        <v>58</v>
      </c>
      <c r="AC177">
        <v>53</v>
      </c>
      <c r="AD177">
        <v>54</v>
      </c>
      <c r="AE177">
        <v>56</v>
      </c>
      <c r="AF177">
        <v>54</v>
      </c>
      <c r="AG177">
        <v>55</v>
      </c>
      <c r="AH177">
        <v>56</v>
      </c>
      <c r="AI177">
        <v>57</v>
      </c>
      <c r="AJ177">
        <v>56</v>
      </c>
      <c r="AK177">
        <v>58</v>
      </c>
      <c r="AL177">
        <v>53</v>
      </c>
      <c r="AM177">
        <v>58</v>
      </c>
      <c r="AN177">
        <v>51</v>
      </c>
      <c r="AO177">
        <v>55</v>
      </c>
      <c r="AP177">
        <v>54</v>
      </c>
      <c r="AQ177">
        <v>52</v>
      </c>
      <c r="AR177">
        <v>48</v>
      </c>
      <c r="AS177">
        <v>51</v>
      </c>
      <c r="AT177">
        <v>49</v>
      </c>
      <c r="AU177">
        <v>51</v>
      </c>
      <c r="AV177">
        <v>55</v>
      </c>
      <c r="AW177">
        <v>55</v>
      </c>
      <c r="AX177">
        <v>56</v>
      </c>
      <c r="AY177">
        <v>55</v>
      </c>
      <c r="AZ177">
        <v>55</v>
      </c>
      <c r="BA177">
        <v>51</v>
      </c>
      <c r="BB177">
        <v>56</v>
      </c>
      <c r="BC177">
        <v>56</v>
      </c>
      <c r="BD177">
        <v>55</v>
      </c>
    </row>
    <row r="178" spans="1:56" x14ac:dyDescent="0.25">
      <c r="A178" t="s">
        <v>4340</v>
      </c>
      <c r="B178" t="s">
        <v>149</v>
      </c>
      <c r="C178" t="s">
        <v>108</v>
      </c>
      <c r="D178">
        <v>48</v>
      </c>
      <c r="E178">
        <v>48.667000000000002</v>
      </c>
      <c r="F178">
        <v>36</v>
      </c>
      <c r="G178">
        <v>41</v>
      </c>
      <c r="H178">
        <v>62</v>
      </c>
      <c r="I178">
        <v>41</v>
      </c>
      <c r="J178">
        <v>54</v>
      </c>
      <c r="K178">
        <v>44</v>
      </c>
      <c r="L178">
        <v>43</v>
      </c>
      <c r="M178">
        <v>49</v>
      </c>
      <c r="N178">
        <v>41</v>
      </c>
      <c r="O178">
        <v>54</v>
      </c>
      <c r="P178">
        <v>42</v>
      </c>
      <c r="Q178">
        <v>53</v>
      </c>
      <c r="R178">
        <v>44</v>
      </c>
      <c r="S178">
        <v>43</v>
      </c>
      <c r="T178">
        <v>51</v>
      </c>
      <c r="U178">
        <v>46</v>
      </c>
      <c r="V178">
        <v>46</v>
      </c>
      <c r="W178">
        <v>49</v>
      </c>
      <c r="X178">
        <v>52</v>
      </c>
      <c r="Y178">
        <v>48</v>
      </c>
      <c r="Z178">
        <v>63</v>
      </c>
      <c r="AA178">
        <v>54</v>
      </c>
      <c r="AB178">
        <v>53</v>
      </c>
      <c r="AC178">
        <v>57</v>
      </c>
      <c r="AD178">
        <v>57</v>
      </c>
      <c r="AE178">
        <v>50</v>
      </c>
      <c r="AF178">
        <v>47</v>
      </c>
      <c r="AG178">
        <v>45</v>
      </c>
      <c r="AH178">
        <v>51</v>
      </c>
      <c r="AI178">
        <v>43</v>
      </c>
      <c r="AJ178">
        <v>35</v>
      </c>
      <c r="AK178">
        <v>47</v>
      </c>
      <c r="AL178">
        <v>47</v>
      </c>
      <c r="AM178">
        <v>48</v>
      </c>
      <c r="AN178">
        <v>42</v>
      </c>
      <c r="AO178">
        <v>51</v>
      </c>
      <c r="AP178">
        <v>53</v>
      </c>
      <c r="AQ178">
        <v>48</v>
      </c>
      <c r="AR178">
        <v>46</v>
      </c>
      <c r="AS178">
        <v>42</v>
      </c>
      <c r="AT178">
        <v>61</v>
      </c>
      <c r="AU178">
        <v>47</v>
      </c>
      <c r="AV178">
        <v>49</v>
      </c>
      <c r="AW178">
        <v>41</v>
      </c>
      <c r="AX178">
        <v>59</v>
      </c>
      <c r="AY178">
        <v>44</v>
      </c>
      <c r="AZ178">
        <v>54</v>
      </c>
      <c r="BA178">
        <v>54</v>
      </c>
      <c r="BB178">
        <v>44</v>
      </c>
      <c r="BC178">
        <v>63</v>
      </c>
      <c r="BD178">
        <v>48</v>
      </c>
    </row>
    <row r="179" spans="1:56" x14ac:dyDescent="0.25">
      <c r="A179" t="s">
        <v>4341</v>
      </c>
      <c r="B179" t="s">
        <v>150</v>
      </c>
      <c r="C179" t="s">
        <v>108</v>
      </c>
      <c r="D179">
        <v>769</v>
      </c>
      <c r="E179">
        <v>31.568999999999999</v>
      </c>
      <c r="F179">
        <v>24</v>
      </c>
      <c r="G179">
        <v>30</v>
      </c>
      <c r="H179">
        <v>38</v>
      </c>
      <c r="I179">
        <v>30</v>
      </c>
      <c r="J179">
        <v>33</v>
      </c>
      <c r="K179">
        <v>32</v>
      </c>
      <c r="L179">
        <v>31</v>
      </c>
      <c r="M179">
        <v>27</v>
      </c>
      <c r="N179">
        <v>25</v>
      </c>
      <c r="O179">
        <v>25</v>
      </c>
      <c r="P179">
        <v>24</v>
      </c>
      <c r="Q179">
        <v>26</v>
      </c>
      <c r="R179">
        <v>25</v>
      </c>
      <c r="S179">
        <v>27</v>
      </c>
      <c r="T179">
        <v>27</v>
      </c>
      <c r="U179">
        <v>27</v>
      </c>
      <c r="V179">
        <v>25</v>
      </c>
      <c r="W179">
        <v>24</v>
      </c>
      <c r="X179">
        <v>26</v>
      </c>
      <c r="Y179">
        <v>30</v>
      </c>
      <c r="Z179">
        <v>30</v>
      </c>
      <c r="AA179">
        <v>32</v>
      </c>
      <c r="AB179">
        <v>32</v>
      </c>
      <c r="AC179">
        <v>34</v>
      </c>
      <c r="AD179">
        <v>38</v>
      </c>
      <c r="AE179">
        <v>34</v>
      </c>
      <c r="AF179">
        <v>35</v>
      </c>
      <c r="AG179">
        <v>35</v>
      </c>
      <c r="AH179">
        <v>38</v>
      </c>
      <c r="AI179">
        <v>36</v>
      </c>
      <c r="AJ179">
        <v>40</v>
      </c>
      <c r="AK179">
        <v>38</v>
      </c>
      <c r="AL179">
        <v>41</v>
      </c>
      <c r="AM179">
        <v>36</v>
      </c>
      <c r="AN179">
        <v>35</v>
      </c>
      <c r="AO179">
        <v>36</v>
      </c>
      <c r="AP179">
        <v>35</v>
      </c>
      <c r="AQ179">
        <v>32</v>
      </c>
      <c r="AR179">
        <v>30</v>
      </c>
      <c r="AS179">
        <v>33</v>
      </c>
      <c r="AT179">
        <v>30</v>
      </c>
      <c r="AU179">
        <v>31</v>
      </c>
      <c r="AV179">
        <v>33</v>
      </c>
      <c r="AW179">
        <v>33</v>
      </c>
      <c r="AX179">
        <v>31</v>
      </c>
      <c r="AY179">
        <v>35</v>
      </c>
      <c r="AZ179">
        <v>32</v>
      </c>
      <c r="BA179">
        <v>32</v>
      </c>
      <c r="BB179">
        <v>33</v>
      </c>
      <c r="BC179">
        <v>31</v>
      </c>
      <c r="BD179">
        <v>33</v>
      </c>
    </row>
    <row r="180" spans="1:56" x14ac:dyDescent="0.25">
      <c r="A180" t="s">
        <v>4342</v>
      </c>
      <c r="B180" t="s">
        <v>151</v>
      </c>
      <c r="C180" t="s">
        <v>108</v>
      </c>
      <c r="D180">
        <v>366</v>
      </c>
      <c r="E180">
        <v>26.234999999999999</v>
      </c>
      <c r="F180">
        <v>22</v>
      </c>
      <c r="G180">
        <v>24</v>
      </c>
      <c r="H180">
        <v>38</v>
      </c>
      <c r="I180">
        <v>27</v>
      </c>
      <c r="J180">
        <v>29</v>
      </c>
      <c r="K180">
        <v>25</v>
      </c>
      <c r="L180">
        <v>24</v>
      </c>
      <c r="M180">
        <v>23</v>
      </c>
      <c r="N180">
        <v>19</v>
      </c>
      <c r="O180">
        <v>18</v>
      </c>
      <c r="P180">
        <v>17</v>
      </c>
      <c r="Q180">
        <v>19</v>
      </c>
      <c r="R180">
        <v>20</v>
      </c>
      <c r="S180">
        <v>21</v>
      </c>
      <c r="T180">
        <v>19</v>
      </c>
      <c r="U180">
        <v>16</v>
      </c>
      <c r="V180">
        <v>15</v>
      </c>
      <c r="W180">
        <v>17</v>
      </c>
      <c r="X180">
        <v>18</v>
      </c>
      <c r="Y180">
        <v>22</v>
      </c>
      <c r="Z180">
        <v>23</v>
      </c>
      <c r="AA180">
        <v>22</v>
      </c>
      <c r="AB180">
        <v>23</v>
      </c>
      <c r="AC180">
        <v>26</v>
      </c>
      <c r="AD180">
        <v>34</v>
      </c>
      <c r="AE180">
        <v>29</v>
      </c>
      <c r="AF180">
        <v>31</v>
      </c>
      <c r="AG180">
        <v>30</v>
      </c>
      <c r="AH180">
        <v>35</v>
      </c>
      <c r="AI180">
        <v>32</v>
      </c>
      <c r="AJ180">
        <v>37</v>
      </c>
      <c r="AK180">
        <v>36</v>
      </c>
      <c r="AL180">
        <v>36</v>
      </c>
      <c r="AM180">
        <v>30</v>
      </c>
      <c r="AN180">
        <v>27</v>
      </c>
      <c r="AO180">
        <v>30</v>
      </c>
      <c r="AP180">
        <v>27</v>
      </c>
      <c r="AQ180">
        <v>25</v>
      </c>
      <c r="AR180">
        <v>24</v>
      </c>
      <c r="AS180">
        <v>28</v>
      </c>
      <c r="AT180">
        <v>29</v>
      </c>
      <c r="AU180">
        <v>24</v>
      </c>
      <c r="AV180">
        <v>28</v>
      </c>
      <c r="AW180">
        <v>30</v>
      </c>
      <c r="AX180">
        <v>26</v>
      </c>
      <c r="AY180">
        <v>32</v>
      </c>
      <c r="AZ180">
        <v>28</v>
      </c>
      <c r="BA180">
        <v>33</v>
      </c>
      <c r="BB180">
        <v>31</v>
      </c>
      <c r="BC180">
        <v>27</v>
      </c>
      <c r="BD180">
        <v>32</v>
      </c>
    </row>
    <row r="181" spans="1:56" x14ac:dyDescent="0.25">
      <c r="A181" t="s">
        <v>4343</v>
      </c>
      <c r="B181" t="s">
        <v>152</v>
      </c>
      <c r="C181" t="s">
        <v>108</v>
      </c>
      <c r="D181">
        <v>46</v>
      </c>
      <c r="E181">
        <v>60.863</v>
      </c>
      <c r="F181">
        <v>37</v>
      </c>
      <c r="G181">
        <v>59</v>
      </c>
      <c r="H181">
        <v>53</v>
      </c>
      <c r="I181">
        <v>49</v>
      </c>
      <c r="J181">
        <v>63</v>
      </c>
      <c r="K181">
        <v>61</v>
      </c>
      <c r="L181">
        <v>65</v>
      </c>
      <c r="M181">
        <v>56</v>
      </c>
      <c r="N181">
        <v>52</v>
      </c>
      <c r="O181">
        <v>50</v>
      </c>
      <c r="P181">
        <v>53</v>
      </c>
      <c r="Q181">
        <v>51</v>
      </c>
      <c r="R181">
        <v>44</v>
      </c>
      <c r="S181">
        <v>55</v>
      </c>
      <c r="T181">
        <v>50</v>
      </c>
      <c r="U181">
        <v>56</v>
      </c>
      <c r="V181">
        <v>57</v>
      </c>
      <c r="W181">
        <v>49</v>
      </c>
      <c r="X181">
        <v>63</v>
      </c>
      <c r="Y181">
        <v>64</v>
      </c>
      <c r="Z181">
        <v>63</v>
      </c>
      <c r="AA181">
        <v>76</v>
      </c>
      <c r="AB181">
        <v>66</v>
      </c>
      <c r="AC181">
        <v>69</v>
      </c>
      <c r="AD181">
        <v>65</v>
      </c>
      <c r="AE181">
        <v>63</v>
      </c>
      <c r="AF181">
        <v>64</v>
      </c>
      <c r="AG181">
        <v>58</v>
      </c>
      <c r="AH181">
        <v>66</v>
      </c>
      <c r="AI181">
        <v>65</v>
      </c>
      <c r="AJ181">
        <v>75</v>
      </c>
      <c r="AK181">
        <v>74</v>
      </c>
      <c r="AL181">
        <v>75</v>
      </c>
      <c r="AM181">
        <v>70</v>
      </c>
      <c r="AN181">
        <v>77</v>
      </c>
      <c r="AO181">
        <v>68</v>
      </c>
      <c r="AP181">
        <v>68</v>
      </c>
      <c r="AQ181">
        <v>64</v>
      </c>
      <c r="AR181">
        <v>55</v>
      </c>
      <c r="AS181">
        <v>64</v>
      </c>
      <c r="AT181">
        <v>54</v>
      </c>
      <c r="AU181">
        <v>58</v>
      </c>
      <c r="AV181">
        <v>70</v>
      </c>
      <c r="AW181">
        <v>58</v>
      </c>
      <c r="AX181">
        <v>59</v>
      </c>
      <c r="AY181">
        <v>54</v>
      </c>
      <c r="AZ181">
        <v>67</v>
      </c>
      <c r="BA181">
        <v>60</v>
      </c>
      <c r="BB181">
        <v>64</v>
      </c>
      <c r="BC181">
        <v>62</v>
      </c>
      <c r="BD181">
        <v>66</v>
      </c>
    </row>
    <row r="182" spans="1:56" x14ac:dyDescent="0.25">
      <c r="A182" t="s">
        <v>4344</v>
      </c>
      <c r="B182" t="s">
        <v>153</v>
      </c>
      <c r="C182" t="s">
        <v>108</v>
      </c>
      <c r="D182">
        <v>679</v>
      </c>
      <c r="E182">
        <v>20.588000000000001</v>
      </c>
      <c r="F182">
        <v>14</v>
      </c>
      <c r="G182">
        <v>24</v>
      </c>
      <c r="H182">
        <v>24</v>
      </c>
      <c r="I182">
        <v>16</v>
      </c>
      <c r="J182">
        <v>26</v>
      </c>
      <c r="K182">
        <v>27</v>
      </c>
      <c r="L182">
        <v>21</v>
      </c>
      <c r="M182">
        <v>20</v>
      </c>
      <c r="N182">
        <v>16</v>
      </c>
      <c r="O182">
        <v>20</v>
      </c>
      <c r="P182">
        <v>22</v>
      </c>
      <c r="Q182">
        <v>20</v>
      </c>
      <c r="R182">
        <v>17</v>
      </c>
      <c r="S182">
        <v>20</v>
      </c>
      <c r="T182">
        <v>18</v>
      </c>
      <c r="U182">
        <v>19</v>
      </c>
      <c r="V182">
        <v>22</v>
      </c>
      <c r="W182">
        <v>19</v>
      </c>
      <c r="X182">
        <v>20</v>
      </c>
      <c r="Y182">
        <v>21</v>
      </c>
      <c r="Z182">
        <v>18</v>
      </c>
      <c r="AA182">
        <v>18</v>
      </c>
      <c r="AB182">
        <v>23</v>
      </c>
      <c r="AC182">
        <v>23</v>
      </c>
      <c r="AD182">
        <v>23</v>
      </c>
      <c r="AE182">
        <v>20</v>
      </c>
      <c r="AF182">
        <v>24</v>
      </c>
      <c r="AG182">
        <v>24</v>
      </c>
      <c r="AH182">
        <v>21</v>
      </c>
      <c r="AI182">
        <v>21</v>
      </c>
      <c r="AJ182">
        <v>21</v>
      </c>
      <c r="AK182">
        <v>23</v>
      </c>
      <c r="AL182">
        <v>23</v>
      </c>
      <c r="AM182">
        <v>24</v>
      </c>
      <c r="AN182">
        <v>23</v>
      </c>
      <c r="AO182">
        <v>22</v>
      </c>
      <c r="AP182">
        <v>22</v>
      </c>
      <c r="AQ182">
        <v>21</v>
      </c>
      <c r="AR182">
        <v>16</v>
      </c>
      <c r="AS182">
        <v>20</v>
      </c>
      <c r="AT182">
        <v>19</v>
      </c>
      <c r="AU182">
        <v>19</v>
      </c>
      <c r="AV182">
        <v>19</v>
      </c>
      <c r="AW182">
        <v>17</v>
      </c>
      <c r="AX182">
        <v>19</v>
      </c>
      <c r="AY182">
        <v>21</v>
      </c>
      <c r="AZ182">
        <v>18</v>
      </c>
      <c r="BA182">
        <v>20</v>
      </c>
      <c r="BB182">
        <v>21</v>
      </c>
      <c r="BC182">
        <v>20</v>
      </c>
      <c r="BD182">
        <v>21</v>
      </c>
    </row>
    <row r="183" spans="1:56" x14ac:dyDescent="0.25">
      <c r="A183" t="s">
        <v>4345</v>
      </c>
      <c r="B183" t="s">
        <v>154</v>
      </c>
      <c r="C183" t="s">
        <v>108</v>
      </c>
      <c r="D183">
        <v>90</v>
      </c>
      <c r="E183">
        <v>48.058999999999997</v>
      </c>
      <c r="F183">
        <v>30</v>
      </c>
      <c r="G183">
        <v>43</v>
      </c>
      <c r="H183">
        <v>39</v>
      </c>
      <c r="I183">
        <v>50</v>
      </c>
      <c r="J183">
        <v>49</v>
      </c>
      <c r="K183">
        <v>45</v>
      </c>
      <c r="L183">
        <v>49</v>
      </c>
      <c r="M183">
        <v>53</v>
      </c>
      <c r="N183">
        <v>55</v>
      </c>
      <c r="O183">
        <v>52</v>
      </c>
      <c r="P183">
        <v>44</v>
      </c>
      <c r="Q183">
        <v>54</v>
      </c>
      <c r="R183">
        <v>54</v>
      </c>
      <c r="S183">
        <v>56</v>
      </c>
      <c r="T183">
        <v>44</v>
      </c>
      <c r="U183">
        <v>44</v>
      </c>
      <c r="V183">
        <v>52</v>
      </c>
      <c r="W183">
        <v>44</v>
      </c>
      <c r="X183">
        <v>53</v>
      </c>
      <c r="Y183">
        <v>49</v>
      </c>
      <c r="Z183">
        <v>44</v>
      </c>
      <c r="AA183">
        <v>53</v>
      </c>
      <c r="AB183">
        <v>45</v>
      </c>
      <c r="AC183">
        <v>51</v>
      </c>
      <c r="AD183">
        <v>45</v>
      </c>
      <c r="AE183">
        <v>50</v>
      </c>
      <c r="AF183">
        <v>59</v>
      </c>
      <c r="AG183">
        <v>48</v>
      </c>
      <c r="AH183">
        <v>51</v>
      </c>
      <c r="AI183">
        <v>53</v>
      </c>
      <c r="AJ183">
        <v>52</v>
      </c>
      <c r="AK183">
        <v>45</v>
      </c>
      <c r="AL183">
        <v>51</v>
      </c>
      <c r="AM183">
        <v>50</v>
      </c>
      <c r="AN183">
        <v>60</v>
      </c>
      <c r="AO183">
        <v>56</v>
      </c>
      <c r="AP183">
        <v>45</v>
      </c>
      <c r="AQ183">
        <v>42</v>
      </c>
      <c r="AR183">
        <v>48</v>
      </c>
      <c r="AS183">
        <v>51</v>
      </c>
      <c r="AT183">
        <v>48</v>
      </c>
      <c r="AU183">
        <v>52</v>
      </c>
      <c r="AV183">
        <v>51</v>
      </c>
      <c r="AW183">
        <v>41</v>
      </c>
      <c r="AX183">
        <v>42</v>
      </c>
      <c r="AY183">
        <v>40</v>
      </c>
      <c r="AZ183">
        <v>40</v>
      </c>
      <c r="BA183">
        <v>40</v>
      </c>
      <c r="BB183">
        <v>46</v>
      </c>
      <c r="BC183">
        <v>47</v>
      </c>
      <c r="BD183">
        <v>46</v>
      </c>
    </row>
    <row r="184" spans="1:56" x14ac:dyDescent="0.25">
      <c r="A184" t="s">
        <v>4346</v>
      </c>
      <c r="B184" t="s">
        <v>155</v>
      </c>
      <c r="C184" t="s">
        <v>108</v>
      </c>
      <c r="D184">
        <v>162</v>
      </c>
      <c r="E184">
        <v>40.804000000000002</v>
      </c>
      <c r="F184">
        <v>24</v>
      </c>
      <c r="G184">
        <v>36</v>
      </c>
      <c r="H184">
        <v>36</v>
      </c>
      <c r="I184">
        <v>34</v>
      </c>
      <c r="J184">
        <v>39</v>
      </c>
      <c r="K184">
        <v>33</v>
      </c>
      <c r="L184">
        <v>39</v>
      </c>
      <c r="M184">
        <v>38</v>
      </c>
      <c r="N184">
        <v>37</v>
      </c>
      <c r="O184">
        <v>39</v>
      </c>
      <c r="P184">
        <v>32</v>
      </c>
      <c r="Q184">
        <v>41</v>
      </c>
      <c r="R184">
        <v>40</v>
      </c>
      <c r="S184">
        <v>38</v>
      </c>
      <c r="T184">
        <v>38</v>
      </c>
      <c r="U184">
        <v>41</v>
      </c>
      <c r="V184">
        <v>39</v>
      </c>
      <c r="W184">
        <v>45</v>
      </c>
      <c r="X184">
        <v>46</v>
      </c>
      <c r="Y184">
        <v>43</v>
      </c>
      <c r="Z184">
        <v>47</v>
      </c>
      <c r="AA184">
        <v>39</v>
      </c>
      <c r="AB184">
        <v>44</v>
      </c>
      <c r="AC184">
        <v>42</v>
      </c>
      <c r="AD184">
        <v>44</v>
      </c>
      <c r="AE184">
        <v>45</v>
      </c>
      <c r="AF184">
        <v>46</v>
      </c>
      <c r="AG184">
        <v>40</v>
      </c>
      <c r="AH184">
        <v>39</v>
      </c>
      <c r="AI184">
        <v>45</v>
      </c>
      <c r="AJ184">
        <v>41</v>
      </c>
      <c r="AK184">
        <v>40</v>
      </c>
      <c r="AL184">
        <v>44</v>
      </c>
      <c r="AM184">
        <v>42</v>
      </c>
      <c r="AN184">
        <v>44</v>
      </c>
      <c r="AO184">
        <v>45</v>
      </c>
      <c r="AP184">
        <v>48</v>
      </c>
      <c r="AQ184">
        <v>41</v>
      </c>
      <c r="AR184">
        <v>34</v>
      </c>
      <c r="AS184">
        <v>39</v>
      </c>
      <c r="AT184">
        <v>44</v>
      </c>
      <c r="AU184">
        <v>46</v>
      </c>
      <c r="AV184">
        <v>45</v>
      </c>
      <c r="AW184">
        <v>38</v>
      </c>
      <c r="AX184">
        <v>36</v>
      </c>
      <c r="AY184">
        <v>46</v>
      </c>
      <c r="AZ184">
        <v>39</v>
      </c>
      <c r="BA184">
        <v>45</v>
      </c>
      <c r="BB184">
        <v>44</v>
      </c>
      <c r="BC184">
        <v>44</v>
      </c>
      <c r="BD184">
        <v>47</v>
      </c>
    </row>
    <row r="185" spans="1:56" x14ac:dyDescent="0.25">
      <c r="A185" t="s">
        <v>4347</v>
      </c>
      <c r="B185" t="s">
        <v>156</v>
      </c>
      <c r="C185" t="s">
        <v>108</v>
      </c>
      <c r="D185">
        <v>94</v>
      </c>
      <c r="E185">
        <v>25.626999999999999</v>
      </c>
      <c r="F185">
        <v>14</v>
      </c>
      <c r="G185">
        <v>23</v>
      </c>
      <c r="H185">
        <v>32</v>
      </c>
      <c r="I185">
        <v>25</v>
      </c>
      <c r="J185">
        <v>33</v>
      </c>
      <c r="K185">
        <v>23</v>
      </c>
      <c r="L185">
        <v>23</v>
      </c>
      <c r="M185">
        <v>26</v>
      </c>
      <c r="N185">
        <v>18</v>
      </c>
      <c r="O185">
        <v>15</v>
      </c>
      <c r="P185">
        <v>20</v>
      </c>
      <c r="Q185">
        <v>26</v>
      </c>
      <c r="R185">
        <v>20</v>
      </c>
      <c r="S185">
        <v>22</v>
      </c>
      <c r="T185">
        <v>24</v>
      </c>
      <c r="U185">
        <v>20</v>
      </c>
      <c r="V185">
        <v>25</v>
      </c>
      <c r="W185">
        <v>27</v>
      </c>
      <c r="X185">
        <v>23</v>
      </c>
      <c r="Y185">
        <v>20</v>
      </c>
      <c r="Z185">
        <v>25</v>
      </c>
      <c r="AA185">
        <v>22</v>
      </c>
      <c r="AB185">
        <v>23</v>
      </c>
      <c r="AC185">
        <v>19</v>
      </c>
      <c r="AD185">
        <v>31</v>
      </c>
      <c r="AE185">
        <v>30</v>
      </c>
      <c r="AF185">
        <v>27</v>
      </c>
      <c r="AG185">
        <v>31</v>
      </c>
      <c r="AH185">
        <v>27</v>
      </c>
      <c r="AI185">
        <v>30</v>
      </c>
      <c r="AJ185">
        <v>28</v>
      </c>
      <c r="AK185">
        <v>36</v>
      </c>
      <c r="AL185">
        <v>33</v>
      </c>
      <c r="AM185">
        <v>32</v>
      </c>
      <c r="AN185">
        <v>30</v>
      </c>
      <c r="AO185">
        <v>33</v>
      </c>
      <c r="AP185">
        <v>34</v>
      </c>
      <c r="AQ185">
        <v>32</v>
      </c>
      <c r="AR185">
        <v>26</v>
      </c>
      <c r="AS185">
        <v>29</v>
      </c>
      <c r="AT185">
        <v>21</v>
      </c>
      <c r="AU185">
        <v>27</v>
      </c>
      <c r="AV185">
        <v>24</v>
      </c>
      <c r="AW185">
        <v>26</v>
      </c>
      <c r="AX185">
        <v>20</v>
      </c>
      <c r="AY185">
        <v>31</v>
      </c>
      <c r="AZ185">
        <v>25</v>
      </c>
      <c r="BA185">
        <v>26</v>
      </c>
      <c r="BB185">
        <v>28</v>
      </c>
      <c r="BC185">
        <v>21</v>
      </c>
      <c r="BD185">
        <v>21</v>
      </c>
    </row>
    <row r="186" spans="1:56" x14ac:dyDescent="0.25">
      <c r="A186" t="s">
        <v>4348</v>
      </c>
      <c r="B186" t="s">
        <v>157</v>
      </c>
      <c r="C186" t="s">
        <v>108</v>
      </c>
      <c r="D186">
        <v>62</v>
      </c>
      <c r="E186">
        <v>20</v>
      </c>
      <c r="F186">
        <v>11</v>
      </c>
      <c r="G186">
        <v>20</v>
      </c>
      <c r="H186">
        <v>21</v>
      </c>
      <c r="I186">
        <v>19</v>
      </c>
      <c r="J186">
        <v>23</v>
      </c>
      <c r="K186">
        <v>23</v>
      </c>
      <c r="L186">
        <v>18</v>
      </c>
      <c r="M186">
        <v>17</v>
      </c>
      <c r="N186">
        <v>13</v>
      </c>
      <c r="O186">
        <v>11</v>
      </c>
      <c r="P186">
        <v>13</v>
      </c>
      <c r="Q186">
        <v>10</v>
      </c>
      <c r="R186">
        <v>15</v>
      </c>
      <c r="S186">
        <v>17</v>
      </c>
      <c r="T186">
        <v>15</v>
      </c>
      <c r="U186">
        <v>19</v>
      </c>
      <c r="V186">
        <v>24</v>
      </c>
      <c r="W186">
        <v>22</v>
      </c>
      <c r="X186">
        <v>19</v>
      </c>
      <c r="Y186">
        <v>19</v>
      </c>
      <c r="Z186">
        <v>22</v>
      </c>
      <c r="AA186">
        <v>20</v>
      </c>
      <c r="AB186">
        <v>20</v>
      </c>
      <c r="AC186">
        <v>15</v>
      </c>
      <c r="AD186">
        <v>24</v>
      </c>
      <c r="AE186">
        <v>19</v>
      </c>
      <c r="AF186">
        <v>22</v>
      </c>
      <c r="AG186">
        <v>21</v>
      </c>
      <c r="AH186">
        <v>15</v>
      </c>
      <c r="AI186">
        <v>20</v>
      </c>
      <c r="AJ186">
        <v>23</v>
      </c>
      <c r="AK186">
        <v>19</v>
      </c>
      <c r="AL186">
        <v>24</v>
      </c>
      <c r="AM186">
        <v>29</v>
      </c>
      <c r="AN186">
        <v>28</v>
      </c>
      <c r="AO186">
        <v>24</v>
      </c>
      <c r="AP186">
        <v>32</v>
      </c>
      <c r="AQ186">
        <v>24</v>
      </c>
      <c r="AR186">
        <v>24</v>
      </c>
      <c r="AS186">
        <v>21</v>
      </c>
      <c r="AT186">
        <v>27</v>
      </c>
      <c r="AU186">
        <v>25</v>
      </c>
      <c r="AV186">
        <v>16</v>
      </c>
      <c r="AW186">
        <v>18</v>
      </c>
      <c r="AX186">
        <v>20</v>
      </c>
      <c r="AY186">
        <v>11</v>
      </c>
      <c r="AZ186">
        <v>27</v>
      </c>
      <c r="BA186">
        <v>23</v>
      </c>
      <c r="BB186">
        <v>20</v>
      </c>
      <c r="BC186">
        <v>20</v>
      </c>
      <c r="BD186">
        <v>18</v>
      </c>
    </row>
    <row r="187" spans="1:56" x14ac:dyDescent="0.25">
      <c r="A187" t="s">
        <v>4349</v>
      </c>
      <c r="B187" t="s">
        <v>158</v>
      </c>
      <c r="C187" t="s">
        <v>108</v>
      </c>
      <c r="D187">
        <v>169</v>
      </c>
      <c r="E187">
        <v>33.332999999999998</v>
      </c>
      <c r="F187">
        <v>29</v>
      </c>
      <c r="G187">
        <v>37</v>
      </c>
      <c r="H187">
        <v>44</v>
      </c>
      <c r="I187">
        <v>36</v>
      </c>
      <c r="J187">
        <v>37</v>
      </c>
      <c r="K187">
        <v>34</v>
      </c>
      <c r="L187">
        <v>22</v>
      </c>
      <c r="M187">
        <v>38</v>
      </c>
      <c r="N187">
        <v>35</v>
      </c>
      <c r="O187">
        <v>30</v>
      </c>
      <c r="P187">
        <v>38</v>
      </c>
      <c r="Q187">
        <v>41</v>
      </c>
      <c r="R187">
        <v>35</v>
      </c>
      <c r="S187">
        <v>35</v>
      </c>
      <c r="T187">
        <v>33</v>
      </c>
      <c r="U187">
        <v>37</v>
      </c>
      <c r="V187">
        <v>31</v>
      </c>
      <c r="W187">
        <v>38</v>
      </c>
      <c r="X187">
        <v>33</v>
      </c>
      <c r="Y187">
        <v>35</v>
      </c>
      <c r="Z187">
        <v>37</v>
      </c>
      <c r="AA187">
        <v>28</v>
      </c>
      <c r="AB187">
        <v>34</v>
      </c>
      <c r="AC187">
        <v>37</v>
      </c>
      <c r="AD187">
        <v>33</v>
      </c>
      <c r="AE187">
        <v>48</v>
      </c>
      <c r="AF187">
        <v>42</v>
      </c>
      <c r="AG187">
        <v>33</v>
      </c>
      <c r="AH187">
        <v>38</v>
      </c>
      <c r="AI187">
        <v>33</v>
      </c>
      <c r="AJ187">
        <v>37</v>
      </c>
      <c r="AK187">
        <v>35</v>
      </c>
      <c r="AL187">
        <v>24</v>
      </c>
      <c r="AM187">
        <v>28</v>
      </c>
      <c r="AN187">
        <v>30</v>
      </c>
      <c r="AO187">
        <v>26</v>
      </c>
      <c r="AP187">
        <v>30</v>
      </c>
      <c r="AQ187">
        <v>25</v>
      </c>
      <c r="AR187">
        <v>26</v>
      </c>
      <c r="AS187">
        <v>35</v>
      </c>
      <c r="AT187">
        <v>28</v>
      </c>
      <c r="AU187">
        <v>31</v>
      </c>
      <c r="AV187">
        <v>27</v>
      </c>
      <c r="AW187">
        <v>31</v>
      </c>
      <c r="AX187">
        <v>30</v>
      </c>
      <c r="AY187">
        <v>36</v>
      </c>
      <c r="AZ187">
        <v>30</v>
      </c>
      <c r="BA187">
        <v>32</v>
      </c>
      <c r="BB187">
        <v>33</v>
      </c>
      <c r="BC187">
        <v>37</v>
      </c>
      <c r="BD187">
        <v>28</v>
      </c>
    </row>
    <row r="188" spans="1:56" x14ac:dyDescent="0.25">
      <c r="A188" t="s">
        <v>4350</v>
      </c>
      <c r="B188" t="s">
        <v>159</v>
      </c>
      <c r="C188" t="s">
        <v>108</v>
      </c>
      <c r="D188">
        <v>178</v>
      </c>
      <c r="E188">
        <v>20.902000000000001</v>
      </c>
      <c r="F188">
        <v>4</v>
      </c>
      <c r="G188">
        <v>14</v>
      </c>
      <c r="H188">
        <v>15</v>
      </c>
      <c r="I188">
        <v>18</v>
      </c>
      <c r="J188">
        <v>20</v>
      </c>
      <c r="K188">
        <v>15</v>
      </c>
      <c r="L188">
        <v>17</v>
      </c>
      <c r="M188">
        <v>19</v>
      </c>
      <c r="N188">
        <v>18</v>
      </c>
      <c r="O188">
        <v>11</v>
      </c>
      <c r="P188">
        <v>13</v>
      </c>
      <c r="Q188">
        <v>10</v>
      </c>
      <c r="R188">
        <v>15</v>
      </c>
      <c r="S188">
        <v>15</v>
      </c>
      <c r="T188">
        <v>18</v>
      </c>
      <c r="U188">
        <v>18</v>
      </c>
      <c r="V188">
        <v>15</v>
      </c>
      <c r="W188">
        <v>18</v>
      </c>
      <c r="X188">
        <v>18</v>
      </c>
      <c r="Y188">
        <v>16</v>
      </c>
      <c r="Z188">
        <v>19</v>
      </c>
      <c r="AA188">
        <v>21</v>
      </c>
      <c r="AB188">
        <v>23</v>
      </c>
      <c r="AC188">
        <v>28</v>
      </c>
      <c r="AD188">
        <v>32</v>
      </c>
      <c r="AE188">
        <v>25</v>
      </c>
      <c r="AF188">
        <v>24</v>
      </c>
      <c r="AG188">
        <v>22</v>
      </c>
      <c r="AH188">
        <v>25</v>
      </c>
      <c r="AI188">
        <v>28</v>
      </c>
      <c r="AJ188">
        <v>32</v>
      </c>
      <c r="AK188">
        <v>26</v>
      </c>
      <c r="AL188">
        <v>28</v>
      </c>
      <c r="AM188">
        <v>21</v>
      </c>
      <c r="AN188">
        <v>27</v>
      </c>
      <c r="AO188">
        <v>23</v>
      </c>
      <c r="AP188">
        <v>31</v>
      </c>
      <c r="AQ188">
        <v>25</v>
      </c>
      <c r="AR188">
        <v>14</v>
      </c>
      <c r="AS188">
        <v>23</v>
      </c>
      <c r="AT188">
        <v>15</v>
      </c>
      <c r="AU188">
        <v>23</v>
      </c>
      <c r="AV188">
        <v>18</v>
      </c>
      <c r="AW188">
        <v>20</v>
      </c>
      <c r="AX188">
        <v>27</v>
      </c>
      <c r="AY188">
        <v>22</v>
      </c>
      <c r="AZ188">
        <v>25</v>
      </c>
      <c r="BA188">
        <v>22</v>
      </c>
      <c r="BB188">
        <v>30</v>
      </c>
      <c r="BC188">
        <v>28</v>
      </c>
      <c r="BD188">
        <v>32</v>
      </c>
    </row>
    <row r="189" spans="1:56" x14ac:dyDescent="0.25">
      <c r="A189" t="s">
        <v>4351</v>
      </c>
      <c r="B189" t="s">
        <v>160</v>
      </c>
      <c r="C189" t="s">
        <v>108</v>
      </c>
      <c r="D189">
        <v>512</v>
      </c>
      <c r="E189">
        <v>32.470999999999997</v>
      </c>
      <c r="F189">
        <v>26</v>
      </c>
      <c r="G189">
        <v>33</v>
      </c>
      <c r="H189">
        <v>33</v>
      </c>
      <c r="I189">
        <v>28</v>
      </c>
      <c r="J189">
        <v>32</v>
      </c>
      <c r="K189">
        <v>31</v>
      </c>
      <c r="L189">
        <v>27</v>
      </c>
      <c r="M189">
        <v>30</v>
      </c>
      <c r="N189">
        <v>32</v>
      </c>
      <c r="O189">
        <v>31</v>
      </c>
      <c r="P189">
        <v>29</v>
      </c>
      <c r="Q189">
        <v>25</v>
      </c>
      <c r="R189">
        <v>32</v>
      </c>
      <c r="S189">
        <v>30</v>
      </c>
      <c r="T189">
        <v>29</v>
      </c>
      <c r="U189">
        <v>32</v>
      </c>
      <c r="V189">
        <v>33</v>
      </c>
      <c r="W189">
        <v>34</v>
      </c>
      <c r="X189">
        <v>32</v>
      </c>
      <c r="Y189">
        <v>35</v>
      </c>
      <c r="Z189">
        <v>39</v>
      </c>
      <c r="AA189">
        <v>36</v>
      </c>
      <c r="AB189">
        <v>35</v>
      </c>
      <c r="AC189">
        <v>35</v>
      </c>
      <c r="AD189">
        <v>36</v>
      </c>
      <c r="AE189">
        <v>34</v>
      </c>
      <c r="AF189">
        <v>32</v>
      </c>
      <c r="AG189">
        <v>34</v>
      </c>
      <c r="AH189">
        <v>34</v>
      </c>
      <c r="AI189">
        <v>38</v>
      </c>
      <c r="AJ189">
        <v>34</v>
      </c>
      <c r="AK189">
        <v>36</v>
      </c>
      <c r="AL189">
        <v>34</v>
      </c>
      <c r="AM189">
        <v>35</v>
      </c>
      <c r="AN189">
        <v>34</v>
      </c>
      <c r="AO189">
        <v>37</v>
      </c>
      <c r="AP189">
        <v>34</v>
      </c>
      <c r="AQ189">
        <v>31</v>
      </c>
      <c r="AR189">
        <v>30</v>
      </c>
      <c r="AS189">
        <v>35</v>
      </c>
      <c r="AT189">
        <v>32</v>
      </c>
      <c r="AU189">
        <v>32</v>
      </c>
      <c r="AV189">
        <v>35</v>
      </c>
      <c r="AW189">
        <v>30</v>
      </c>
      <c r="AX189">
        <v>30</v>
      </c>
      <c r="AY189">
        <v>30</v>
      </c>
      <c r="AZ189">
        <v>33</v>
      </c>
      <c r="BA189">
        <v>34</v>
      </c>
      <c r="BB189">
        <v>29</v>
      </c>
      <c r="BC189">
        <v>31</v>
      </c>
      <c r="BD189">
        <v>33</v>
      </c>
    </row>
    <row r="190" spans="1:56" x14ac:dyDescent="0.25">
      <c r="A190" t="s">
        <v>4352</v>
      </c>
      <c r="B190" t="s">
        <v>244</v>
      </c>
      <c r="C190" t="s">
        <v>108</v>
      </c>
      <c r="D190">
        <v>653</v>
      </c>
      <c r="E190">
        <v>32.176000000000002</v>
      </c>
      <c r="F190">
        <v>25</v>
      </c>
      <c r="G190">
        <v>33</v>
      </c>
      <c r="H190">
        <v>34</v>
      </c>
      <c r="I190">
        <v>34</v>
      </c>
      <c r="J190">
        <v>32</v>
      </c>
      <c r="K190">
        <v>34</v>
      </c>
      <c r="L190">
        <v>31</v>
      </c>
      <c r="M190">
        <v>33</v>
      </c>
      <c r="N190">
        <v>31</v>
      </c>
      <c r="O190">
        <v>31</v>
      </c>
      <c r="P190">
        <v>28</v>
      </c>
      <c r="Q190">
        <v>25</v>
      </c>
      <c r="R190">
        <v>29</v>
      </c>
      <c r="S190">
        <v>32</v>
      </c>
      <c r="T190">
        <v>26</v>
      </c>
      <c r="U190">
        <v>29</v>
      </c>
      <c r="V190">
        <v>28</v>
      </c>
      <c r="W190">
        <v>32</v>
      </c>
      <c r="X190">
        <v>32</v>
      </c>
      <c r="Y190">
        <v>31</v>
      </c>
      <c r="Z190">
        <v>32</v>
      </c>
      <c r="AA190">
        <v>32</v>
      </c>
      <c r="AB190">
        <v>36</v>
      </c>
      <c r="AC190">
        <v>34</v>
      </c>
      <c r="AD190">
        <v>36</v>
      </c>
      <c r="AE190">
        <v>35</v>
      </c>
      <c r="AF190">
        <v>37</v>
      </c>
      <c r="AG190">
        <v>37</v>
      </c>
      <c r="AH190">
        <v>36</v>
      </c>
      <c r="AI190">
        <v>36</v>
      </c>
      <c r="AJ190">
        <v>32</v>
      </c>
      <c r="AK190">
        <v>34</v>
      </c>
      <c r="AL190">
        <v>35</v>
      </c>
      <c r="AM190">
        <v>35</v>
      </c>
      <c r="AN190">
        <v>35</v>
      </c>
      <c r="AO190">
        <v>34</v>
      </c>
      <c r="AP190">
        <v>34</v>
      </c>
      <c r="AQ190">
        <v>31</v>
      </c>
      <c r="AR190">
        <v>30</v>
      </c>
      <c r="AS190">
        <v>30</v>
      </c>
      <c r="AT190">
        <v>31</v>
      </c>
      <c r="AU190">
        <v>26</v>
      </c>
      <c r="AV190">
        <v>32</v>
      </c>
      <c r="AW190">
        <v>33</v>
      </c>
      <c r="AX190">
        <v>33</v>
      </c>
      <c r="AY190">
        <v>29</v>
      </c>
      <c r="AZ190">
        <v>30</v>
      </c>
      <c r="BA190">
        <v>32</v>
      </c>
      <c r="BB190">
        <v>38</v>
      </c>
      <c r="BC190">
        <v>33</v>
      </c>
      <c r="BD190">
        <v>33</v>
      </c>
    </row>
    <row r="191" spans="1:56" x14ac:dyDescent="0.25">
      <c r="A191" t="s">
        <v>4353</v>
      </c>
      <c r="B191" t="s">
        <v>245</v>
      </c>
      <c r="C191" t="s">
        <v>108</v>
      </c>
      <c r="D191">
        <v>132</v>
      </c>
      <c r="E191">
        <v>32.881999999999998</v>
      </c>
      <c r="F191">
        <v>36</v>
      </c>
      <c r="G191">
        <v>33</v>
      </c>
      <c r="H191">
        <v>44</v>
      </c>
      <c r="I191">
        <v>29</v>
      </c>
      <c r="J191">
        <v>28</v>
      </c>
      <c r="K191">
        <v>22</v>
      </c>
      <c r="L191">
        <v>37</v>
      </c>
      <c r="M191">
        <v>32</v>
      </c>
      <c r="N191">
        <v>29</v>
      </c>
      <c r="O191">
        <v>35</v>
      </c>
      <c r="P191">
        <v>31</v>
      </c>
      <c r="Q191">
        <v>39</v>
      </c>
      <c r="R191">
        <v>35</v>
      </c>
      <c r="S191">
        <v>26</v>
      </c>
      <c r="T191">
        <v>35</v>
      </c>
      <c r="U191">
        <v>31</v>
      </c>
      <c r="V191">
        <v>27</v>
      </c>
      <c r="W191">
        <v>36</v>
      </c>
      <c r="X191">
        <v>35</v>
      </c>
      <c r="Y191">
        <v>38</v>
      </c>
      <c r="Z191">
        <v>27</v>
      </c>
      <c r="AA191">
        <v>31</v>
      </c>
      <c r="AB191">
        <v>36</v>
      </c>
      <c r="AC191">
        <v>27</v>
      </c>
      <c r="AD191">
        <v>37</v>
      </c>
      <c r="AE191">
        <v>44</v>
      </c>
      <c r="AF191">
        <v>41</v>
      </c>
      <c r="AG191">
        <v>32</v>
      </c>
      <c r="AH191">
        <v>35</v>
      </c>
      <c r="AI191">
        <v>36</v>
      </c>
      <c r="AJ191">
        <v>40</v>
      </c>
      <c r="AK191">
        <v>43</v>
      </c>
      <c r="AL191">
        <v>37</v>
      </c>
      <c r="AM191">
        <v>34</v>
      </c>
      <c r="AN191">
        <v>34</v>
      </c>
      <c r="AO191">
        <v>35</v>
      </c>
      <c r="AP191">
        <v>38</v>
      </c>
      <c r="AQ191">
        <v>25</v>
      </c>
      <c r="AR191">
        <v>25</v>
      </c>
      <c r="AS191">
        <v>27</v>
      </c>
      <c r="AT191">
        <v>33</v>
      </c>
      <c r="AU191">
        <v>33</v>
      </c>
      <c r="AV191">
        <v>33</v>
      </c>
      <c r="AW191">
        <v>28</v>
      </c>
      <c r="AX191">
        <v>28</v>
      </c>
      <c r="AY191">
        <v>29</v>
      </c>
      <c r="AZ191">
        <v>27</v>
      </c>
      <c r="BA191">
        <v>29</v>
      </c>
      <c r="BB191">
        <v>33</v>
      </c>
      <c r="BC191">
        <v>30</v>
      </c>
      <c r="BD191">
        <v>32</v>
      </c>
    </row>
    <row r="192" spans="1:56" x14ac:dyDescent="0.25">
      <c r="A192" t="s">
        <v>4354</v>
      </c>
      <c r="B192" t="s">
        <v>246</v>
      </c>
      <c r="C192" t="s">
        <v>108</v>
      </c>
      <c r="D192">
        <v>237</v>
      </c>
      <c r="E192">
        <v>31.216000000000001</v>
      </c>
      <c r="F192">
        <v>15</v>
      </c>
      <c r="G192">
        <v>31</v>
      </c>
      <c r="H192">
        <v>22</v>
      </c>
      <c r="I192">
        <v>32</v>
      </c>
      <c r="J192">
        <v>31</v>
      </c>
      <c r="K192">
        <v>37</v>
      </c>
      <c r="L192">
        <v>32</v>
      </c>
      <c r="M192">
        <v>32</v>
      </c>
      <c r="N192">
        <v>27</v>
      </c>
      <c r="O192">
        <v>32</v>
      </c>
      <c r="P192">
        <v>30</v>
      </c>
      <c r="Q192">
        <v>30</v>
      </c>
      <c r="R192">
        <v>28</v>
      </c>
      <c r="S192">
        <v>30</v>
      </c>
      <c r="T192">
        <v>29</v>
      </c>
      <c r="U192">
        <v>33</v>
      </c>
      <c r="V192">
        <v>33</v>
      </c>
      <c r="W192">
        <v>32</v>
      </c>
      <c r="X192">
        <v>37</v>
      </c>
      <c r="Y192">
        <v>36</v>
      </c>
      <c r="Z192">
        <v>35</v>
      </c>
      <c r="AA192">
        <v>37</v>
      </c>
      <c r="AB192">
        <v>35</v>
      </c>
      <c r="AC192">
        <v>35</v>
      </c>
      <c r="AD192">
        <v>34</v>
      </c>
      <c r="AE192">
        <v>35</v>
      </c>
      <c r="AF192">
        <v>31</v>
      </c>
      <c r="AG192">
        <v>31</v>
      </c>
      <c r="AH192">
        <v>30</v>
      </c>
      <c r="AI192">
        <v>32</v>
      </c>
      <c r="AJ192">
        <v>32</v>
      </c>
      <c r="AK192">
        <v>30</v>
      </c>
      <c r="AL192">
        <v>29</v>
      </c>
      <c r="AM192">
        <v>33</v>
      </c>
      <c r="AN192">
        <v>33</v>
      </c>
      <c r="AO192">
        <v>35</v>
      </c>
      <c r="AP192">
        <v>32</v>
      </c>
      <c r="AQ192">
        <v>33</v>
      </c>
      <c r="AR192">
        <v>32</v>
      </c>
      <c r="AS192">
        <v>34</v>
      </c>
      <c r="AT192">
        <v>28</v>
      </c>
      <c r="AU192">
        <v>28</v>
      </c>
      <c r="AV192">
        <v>28</v>
      </c>
      <c r="AW192">
        <v>33</v>
      </c>
      <c r="AX192">
        <v>30</v>
      </c>
      <c r="AY192">
        <v>30</v>
      </c>
      <c r="AZ192">
        <v>29</v>
      </c>
      <c r="BA192">
        <v>29</v>
      </c>
      <c r="BB192">
        <v>34</v>
      </c>
      <c r="BC192">
        <v>25</v>
      </c>
      <c r="BD192">
        <v>31</v>
      </c>
    </row>
    <row r="193" spans="1:56" x14ac:dyDescent="0.25">
      <c r="A193" t="s">
        <v>4355</v>
      </c>
      <c r="B193" t="s">
        <v>164</v>
      </c>
      <c r="C193" t="s">
        <v>108</v>
      </c>
      <c r="D193">
        <v>46</v>
      </c>
      <c r="E193">
        <v>26.803999999999998</v>
      </c>
      <c r="F193">
        <v>18</v>
      </c>
      <c r="G193">
        <v>28</v>
      </c>
      <c r="H193">
        <v>28</v>
      </c>
      <c r="I193">
        <v>16</v>
      </c>
      <c r="J193">
        <v>18</v>
      </c>
      <c r="K193">
        <v>36</v>
      </c>
      <c r="L193">
        <v>19</v>
      </c>
      <c r="M193">
        <v>27</v>
      </c>
      <c r="N193">
        <v>23</v>
      </c>
      <c r="O193">
        <v>30</v>
      </c>
      <c r="P193">
        <v>17</v>
      </c>
      <c r="Q193">
        <v>20</v>
      </c>
      <c r="R193">
        <v>20</v>
      </c>
      <c r="S193">
        <v>29</v>
      </c>
      <c r="T193">
        <v>15</v>
      </c>
      <c r="U193">
        <v>29</v>
      </c>
      <c r="V193">
        <v>25</v>
      </c>
      <c r="W193">
        <v>22</v>
      </c>
      <c r="X193">
        <v>35</v>
      </c>
      <c r="Y193">
        <v>33</v>
      </c>
      <c r="Z193">
        <v>26</v>
      </c>
      <c r="AA193">
        <v>27</v>
      </c>
      <c r="AB193">
        <v>28</v>
      </c>
      <c r="AC193">
        <v>20</v>
      </c>
      <c r="AD193">
        <v>26</v>
      </c>
      <c r="AE193">
        <v>33</v>
      </c>
      <c r="AF193">
        <v>22</v>
      </c>
      <c r="AG193">
        <v>26</v>
      </c>
      <c r="AH193">
        <v>21</v>
      </c>
      <c r="AI193">
        <v>24</v>
      </c>
      <c r="AJ193">
        <v>34</v>
      </c>
      <c r="AK193">
        <v>42</v>
      </c>
      <c r="AL193">
        <v>39</v>
      </c>
      <c r="AM193">
        <v>29</v>
      </c>
      <c r="AN193">
        <v>29</v>
      </c>
      <c r="AO193">
        <v>29</v>
      </c>
      <c r="AP193">
        <v>37</v>
      </c>
      <c r="AQ193">
        <v>28</v>
      </c>
      <c r="AR193">
        <v>16</v>
      </c>
      <c r="AS193">
        <v>33</v>
      </c>
      <c r="AT193">
        <v>20</v>
      </c>
      <c r="AU193">
        <v>13</v>
      </c>
      <c r="AV193">
        <v>31</v>
      </c>
      <c r="AW193">
        <v>23</v>
      </c>
      <c r="AX193">
        <v>19</v>
      </c>
      <c r="AY193">
        <v>29</v>
      </c>
      <c r="AZ193">
        <v>31</v>
      </c>
      <c r="BA193">
        <v>45</v>
      </c>
      <c r="BB193">
        <v>40</v>
      </c>
      <c r="BC193">
        <v>19</v>
      </c>
      <c r="BD193">
        <v>40</v>
      </c>
    </row>
    <row r="194" spans="1:56" x14ac:dyDescent="0.25">
      <c r="A194" t="s">
        <v>4356</v>
      </c>
      <c r="B194" t="s">
        <v>165</v>
      </c>
      <c r="C194" t="s">
        <v>108</v>
      </c>
      <c r="D194">
        <v>201</v>
      </c>
      <c r="E194">
        <v>18.667000000000002</v>
      </c>
      <c r="F194">
        <v>2</v>
      </c>
      <c r="G194">
        <v>17</v>
      </c>
      <c r="H194">
        <v>26</v>
      </c>
      <c r="I194">
        <v>17</v>
      </c>
      <c r="J194">
        <v>21</v>
      </c>
      <c r="K194">
        <v>23</v>
      </c>
      <c r="L194">
        <v>22</v>
      </c>
      <c r="M194">
        <v>18</v>
      </c>
      <c r="N194">
        <v>17</v>
      </c>
      <c r="O194">
        <v>25</v>
      </c>
      <c r="P194">
        <v>15</v>
      </c>
      <c r="Q194">
        <v>9</v>
      </c>
      <c r="R194">
        <v>18</v>
      </c>
      <c r="S194">
        <v>21</v>
      </c>
      <c r="T194">
        <v>19</v>
      </c>
      <c r="U194">
        <v>15</v>
      </c>
      <c r="V194">
        <v>20</v>
      </c>
      <c r="W194">
        <v>20</v>
      </c>
      <c r="X194">
        <v>19</v>
      </c>
      <c r="Y194">
        <v>19</v>
      </c>
      <c r="Z194">
        <v>15</v>
      </c>
      <c r="AA194">
        <v>23</v>
      </c>
      <c r="AB194">
        <v>25</v>
      </c>
      <c r="AC194">
        <v>21</v>
      </c>
      <c r="AD194">
        <v>17</v>
      </c>
      <c r="AE194">
        <v>22</v>
      </c>
      <c r="AF194">
        <v>11</v>
      </c>
      <c r="AG194">
        <v>19</v>
      </c>
      <c r="AH194">
        <v>18</v>
      </c>
      <c r="AI194">
        <v>14</v>
      </c>
      <c r="AJ194">
        <v>28</v>
      </c>
      <c r="AK194">
        <v>18</v>
      </c>
      <c r="AL194">
        <v>16</v>
      </c>
      <c r="AM194">
        <v>22</v>
      </c>
      <c r="AN194">
        <v>17</v>
      </c>
      <c r="AO194">
        <v>23</v>
      </c>
      <c r="AP194">
        <v>21</v>
      </c>
      <c r="AQ194">
        <v>14</v>
      </c>
      <c r="AR194">
        <v>19</v>
      </c>
      <c r="AS194">
        <v>20</v>
      </c>
      <c r="AT194">
        <v>16</v>
      </c>
      <c r="AU194">
        <v>22</v>
      </c>
      <c r="AV194">
        <v>15</v>
      </c>
      <c r="AW194">
        <v>18</v>
      </c>
      <c r="AX194">
        <v>13</v>
      </c>
      <c r="AY194">
        <v>17</v>
      </c>
      <c r="AZ194">
        <v>23</v>
      </c>
      <c r="BA194">
        <v>25</v>
      </c>
      <c r="BB194">
        <v>19</v>
      </c>
      <c r="BC194">
        <v>18</v>
      </c>
      <c r="BD194">
        <v>20</v>
      </c>
    </row>
    <row r="195" spans="1:56" x14ac:dyDescent="0.25">
      <c r="A195" t="s">
        <v>4357</v>
      </c>
      <c r="B195" t="s">
        <v>166</v>
      </c>
      <c r="C195" t="s">
        <v>108</v>
      </c>
      <c r="D195">
        <v>90</v>
      </c>
      <c r="E195">
        <v>33.49</v>
      </c>
      <c r="F195">
        <v>25</v>
      </c>
      <c r="G195">
        <v>39</v>
      </c>
      <c r="H195">
        <v>48</v>
      </c>
      <c r="I195">
        <v>41</v>
      </c>
      <c r="J195">
        <v>29</v>
      </c>
      <c r="K195">
        <v>25</v>
      </c>
      <c r="L195">
        <v>39</v>
      </c>
      <c r="M195">
        <v>37</v>
      </c>
      <c r="N195">
        <v>23</v>
      </c>
      <c r="O195">
        <v>31</v>
      </c>
      <c r="P195">
        <v>32</v>
      </c>
      <c r="Q195">
        <v>35</v>
      </c>
      <c r="R195">
        <v>26</v>
      </c>
      <c r="S195">
        <v>27</v>
      </c>
      <c r="T195">
        <v>35</v>
      </c>
      <c r="U195">
        <v>22</v>
      </c>
      <c r="V195">
        <v>35</v>
      </c>
      <c r="W195">
        <v>31</v>
      </c>
      <c r="X195">
        <v>37</v>
      </c>
      <c r="Y195">
        <v>34</v>
      </c>
      <c r="Z195">
        <v>38</v>
      </c>
      <c r="AA195">
        <v>40</v>
      </c>
      <c r="AB195">
        <v>28</v>
      </c>
      <c r="AC195">
        <v>34</v>
      </c>
      <c r="AD195">
        <v>33</v>
      </c>
      <c r="AE195">
        <v>37</v>
      </c>
      <c r="AF195">
        <v>41</v>
      </c>
      <c r="AG195">
        <v>37</v>
      </c>
      <c r="AH195">
        <v>38</v>
      </c>
      <c r="AI195">
        <v>36</v>
      </c>
      <c r="AJ195">
        <v>40</v>
      </c>
      <c r="AK195">
        <v>34</v>
      </c>
      <c r="AL195">
        <v>30</v>
      </c>
      <c r="AM195">
        <v>37</v>
      </c>
      <c r="AN195">
        <v>35</v>
      </c>
      <c r="AO195">
        <v>41</v>
      </c>
      <c r="AP195">
        <v>33</v>
      </c>
      <c r="AQ195">
        <v>34</v>
      </c>
      <c r="AR195">
        <v>34</v>
      </c>
      <c r="AS195">
        <v>31</v>
      </c>
      <c r="AT195">
        <v>30</v>
      </c>
      <c r="AU195">
        <v>32</v>
      </c>
      <c r="AV195">
        <v>31</v>
      </c>
      <c r="AW195">
        <v>33</v>
      </c>
      <c r="AX195">
        <v>30</v>
      </c>
      <c r="AY195">
        <v>27</v>
      </c>
      <c r="AZ195">
        <v>32</v>
      </c>
      <c r="BA195">
        <v>39</v>
      </c>
      <c r="BB195">
        <v>31</v>
      </c>
      <c r="BC195">
        <v>28</v>
      </c>
      <c r="BD195">
        <v>33</v>
      </c>
    </row>
    <row r="196" spans="1:56" x14ac:dyDescent="0.25">
      <c r="A196" t="s">
        <v>4358</v>
      </c>
      <c r="B196" t="s">
        <v>167</v>
      </c>
      <c r="C196" t="s">
        <v>108</v>
      </c>
      <c r="D196">
        <v>204</v>
      </c>
      <c r="E196">
        <v>26.471</v>
      </c>
      <c r="F196">
        <v>22</v>
      </c>
      <c r="G196">
        <v>29</v>
      </c>
      <c r="H196">
        <v>37</v>
      </c>
      <c r="I196">
        <v>31</v>
      </c>
      <c r="J196">
        <v>34</v>
      </c>
      <c r="K196">
        <v>29</v>
      </c>
      <c r="L196">
        <v>26</v>
      </c>
      <c r="M196">
        <v>28</v>
      </c>
      <c r="N196">
        <v>25</v>
      </c>
      <c r="O196">
        <v>20</v>
      </c>
      <c r="P196">
        <v>30</v>
      </c>
      <c r="Q196">
        <v>27</v>
      </c>
      <c r="R196">
        <v>23</v>
      </c>
      <c r="S196">
        <v>26</v>
      </c>
      <c r="T196">
        <v>29</v>
      </c>
      <c r="U196">
        <v>35</v>
      </c>
      <c r="V196">
        <v>27</v>
      </c>
      <c r="W196">
        <v>26</v>
      </c>
      <c r="X196">
        <v>29</v>
      </c>
      <c r="Y196">
        <v>30</v>
      </c>
      <c r="Z196">
        <v>28</v>
      </c>
      <c r="AA196">
        <v>29</v>
      </c>
      <c r="AB196">
        <v>23</v>
      </c>
      <c r="AC196">
        <v>33</v>
      </c>
      <c r="AD196">
        <v>22</v>
      </c>
      <c r="AE196">
        <v>27</v>
      </c>
      <c r="AF196">
        <v>26</v>
      </c>
      <c r="AG196">
        <v>24</v>
      </c>
      <c r="AH196">
        <v>22</v>
      </c>
      <c r="AI196">
        <v>24</v>
      </c>
      <c r="AJ196">
        <v>25</v>
      </c>
      <c r="AK196">
        <v>26</v>
      </c>
      <c r="AL196">
        <v>30</v>
      </c>
      <c r="AM196">
        <v>22</v>
      </c>
      <c r="AN196">
        <v>30</v>
      </c>
      <c r="AO196">
        <v>28</v>
      </c>
      <c r="AP196">
        <v>25</v>
      </c>
      <c r="AQ196">
        <v>32</v>
      </c>
      <c r="AR196">
        <v>22</v>
      </c>
      <c r="AS196">
        <v>22</v>
      </c>
      <c r="AT196">
        <v>19</v>
      </c>
      <c r="AU196">
        <v>23</v>
      </c>
      <c r="AV196">
        <v>21</v>
      </c>
      <c r="AW196">
        <v>24</v>
      </c>
      <c r="AX196">
        <v>30</v>
      </c>
      <c r="AY196">
        <v>20</v>
      </c>
      <c r="AZ196">
        <v>27</v>
      </c>
      <c r="BA196">
        <v>27</v>
      </c>
      <c r="BB196">
        <v>26</v>
      </c>
      <c r="BC196">
        <v>26</v>
      </c>
      <c r="BD196">
        <v>24</v>
      </c>
    </row>
    <row r="197" spans="1:56" x14ac:dyDescent="0.25">
      <c r="A197" t="s">
        <v>4359</v>
      </c>
      <c r="B197" t="s">
        <v>247</v>
      </c>
      <c r="C197" t="s">
        <v>108</v>
      </c>
      <c r="D197">
        <v>170</v>
      </c>
      <c r="E197">
        <v>41.646999999999998</v>
      </c>
      <c r="F197">
        <v>15</v>
      </c>
      <c r="G197">
        <v>50</v>
      </c>
      <c r="H197">
        <v>36</v>
      </c>
      <c r="I197">
        <v>42</v>
      </c>
      <c r="J197">
        <v>39</v>
      </c>
      <c r="K197">
        <v>45</v>
      </c>
      <c r="L197">
        <v>47</v>
      </c>
      <c r="M197">
        <v>47</v>
      </c>
      <c r="N197">
        <v>34</v>
      </c>
      <c r="O197">
        <v>40</v>
      </c>
      <c r="P197">
        <v>40</v>
      </c>
      <c r="Q197">
        <v>38</v>
      </c>
      <c r="R197">
        <v>48</v>
      </c>
      <c r="S197">
        <v>50</v>
      </c>
      <c r="T197">
        <v>51</v>
      </c>
      <c r="U197">
        <v>53</v>
      </c>
      <c r="V197">
        <v>43</v>
      </c>
      <c r="W197">
        <v>44</v>
      </c>
      <c r="X197">
        <v>51</v>
      </c>
      <c r="Y197">
        <v>37</v>
      </c>
      <c r="Z197">
        <v>55</v>
      </c>
      <c r="AA197">
        <v>46</v>
      </c>
      <c r="AB197">
        <v>48</v>
      </c>
      <c r="AC197">
        <v>49</v>
      </c>
      <c r="AD197">
        <v>48</v>
      </c>
      <c r="AE197">
        <v>46</v>
      </c>
      <c r="AF197">
        <v>49</v>
      </c>
      <c r="AG197">
        <v>37</v>
      </c>
      <c r="AH197">
        <v>46</v>
      </c>
      <c r="AI197">
        <v>53</v>
      </c>
      <c r="AJ197">
        <v>48</v>
      </c>
      <c r="AK197">
        <v>44</v>
      </c>
      <c r="AL197">
        <v>26</v>
      </c>
      <c r="AM197">
        <v>35</v>
      </c>
      <c r="AN197">
        <v>41</v>
      </c>
      <c r="AO197">
        <v>39</v>
      </c>
      <c r="AP197">
        <v>43</v>
      </c>
      <c r="AQ197">
        <v>38</v>
      </c>
      <c r="AR197">
        <v>33</v>
      </c>
      <c r="AS197">
        <v>33</v>
      </c>
      <c r="AT197">
        <v>31</v>
      </c>
      <c r="AU197">
        <v>34</v>
      </c>
      <c r="AV197">
        <v>38</v>
      </c>
      <c r="AW197">
        <v>38</v>
      </c>
      <c r="AX197">
        <v>41</v>
      </c>
      <c r="AY197">
        <v>35</v>
      </c>
      <c r="AZ197">
        <v>37</v>
      </c>
      <c r="BA197">
        <v>44</v>
      </c>
      <c r="BB197">
        <v>44</v>
      </c>
      <c r="BC197">
        <v>38</v>
      </c>
      <c r="BD197">
        <v>37</v>
      </c>
    </row>
    <row r="198" spans="1:56" x14ac:dyDescent="0.25">
      <c r="A198" t="s">
        <v>4360</v>
      </c>
      <c r="B198" t="s">
        <v>169</v>
      </c>
      <c r="C198" t="s">
        <v>108</v>
      </c>
      <c r="D198">
        <v>114</v>
      </c>
      <c r="E198">
        <v>26.98</v>
      </c>
      <c r="F198">
        <v>26</v>
      </c>
      <c r="G198">
        <v>27</v>
      </c>
      <c r="H198">
        <v>29</v>
      </c>
      <c r="I198">
        <v>20</v>
      </c>
      <c r="J198">
        <v>27</v>
      </c>
      <c r="K198">
        <v>23</v>
      </c>
      <c r="L198">
        <v>26</v>
      </c>
      <c r="M198">
        <v>30</v>
      </c>
      <c r="N198">
        <v>36</v>
      </c>
      <c r="O198">
        <v>26</v>
      </c>
      <c r="P198">
        <v>27</v>
      </c>
      <c r="Q198">
        <v>32</v>
      </c>
      <c r="R198">
        <v>30</v>
      </c>
      <c r="S198">
        <v>36</v>
      </c>
      <c r="T198">
        <v>25</v>
      </c>
      <c r="U198">
        <v>29</v>
      </c>
      <c r="V198">
        <v>36</v>
      </c>
      <c r="W198">
        <v>26</v>
      </c>
      <c r="X198">
        <v>32</v>
      </c>
      <c r="Y198">
        <v>29</v>
      </c>
      <c r="Z198">
        <v>27</v>
      </c>
      <c r="AA198">
        <v>37</v>
      </c>
      <c r="AB198">
        <v>28</v>
      </c>
      <c r="AC198">
        <v>19</v>
      </c>
      <c r="AD198">
        <v>33</v>
      </c>
      <c r="AE198">
        <v>31</v>
      </c>
      <c r="AF198">
        <v>30</v>
      </c>
      <c r="AG198">
        <v>28</v>
      </c>
      <c r="AH198">
        <v>31</v>
      </c>
      <c r="AI198">
        <v>28</v>
      </c>
      <c r="AJ198">
        <v>23</v>
      </c>
      <c r="AK198">
        <v>25</v>
      </c>
      <c r="AL198">
        <v>26</v>
      </c>
      <c r="AM198">
        <v>24</v>
      </c>
      <c r="AN198">
        <v>30</v>
      </c>
      <c r="AO198">
        <v>29</v>
      </c>
      <c r="AP198">
        <v>29</v>
      </c>
      <c r="AQ198">
        <v>20</v>
      </c>
      <c r="AR198">
        <v>21</v>
      </c>
      <c r="AS198">
        <v>21</v>
      </c>
      <c r="AT198">
        <v>24</v>
      </c>
      <c r="AU198">
        <v>23</v>
      </c>
      <c r="AV198">
        <v>24</v>
      </c>
      <c r="AW198">
        <v>22</v>
      </c>
      <c r="AX198">
        <v>22</v>
      </c>
      <c r="AY198">
        <v>26</v>
      </c>
      <c r="AZ198">
        <v>28</v>
      </c>
      <c r="BA198">
        <v>24</v>
      </c>
      <c r="BB198">
        <v>25</v>
      </c>
      <c r="BC198">
        <v>24</v>
      </c>
      <c r="BD198">
        <v>22</v>
      </c>
    </row>
    <row r="199" spans="1:56" x14ac:dyDescent="0.25">
      <c r="A199" t="s">
        <v>4361</v>
      </c>
      <c r="B199" t="s">
        <v>170</v>
      </c>
      <c r="C199" t="s">
        <v>108</v>
      </c>
      <c r="D199">
        <v>775</v>
      </c>
      <c r="E199">
        <v>50.392000000000003</v>
      </c>
      <c r="F199">
        <v>30</v>
      </c>
      <c r="G199">
        <v>46</v>
      </c>
      <c r="H199">
        <v>49</v>
      </c>
      <c r="I199">
        <v>45</v>
      </c>
      <c r="J199">
        <v>50</v>
      </c>
      <c r="K199">
        <v>45</v>
      </c>
      <c r="L199">
        <v>47</v>
      </c>
      <c r="M199">
        <v>52</v>
      </c>
      <c r="N199">
        <v>47</v>
      </c>
      <c r="O199">
        <v>47</v>
      </c>
      <c r="P199">
        <v>45</v>
      </c>
      <c r="Q199">
        <v>48</v>
      </c>
      <c r="R199">
        <v>47</v>
      </c>
      <c r="S199">
        <v>50</v>
      </c>
      <c r="T199">
        <v>45</v>
      </c>
      <c r="U199">
        <v>48</v>
      </c>
      <c r="V199">
        <v>50</v>
      </c>
      <c r="W199">
        <v>48</v>
      </c>
      <c r="X199">
        <v>52</v>
      </c>
      <c r="Y199">
        <v>53</v>
      </c>
      <c r="Z199">
        <v>52</v>
      </c>
      <c r="AA199">
        <v>53</v>
      </c>
      <c r="AB199">
        <v>58</v>
      </c>
      <c r="AC199">
        <v>55</v>
      </c>
      <c r="AD199">
        <v>54</v>
      </c>
      <c r="AE199">
        <v>54</v>
      </c>
      <c r="AF199">
        <v>53</v>
      </c>
      <c r="AG199">
        <v>53</v>
      </c>
      <c r="AH199">
        <v>55</v>
      </c>
      <c r="AI199">
        <v>55</v>
      </c>
      <c r="AJ199">
        <v>53</v>
      </c>
      <c r="AK199">
        <v>55</v>
      </c>
      <c r="AL199">
        <v>51</v>
      </c>
      <c r="AM199">
        <v>55</v>
      </c>
      <c r="AN199">
        <v>50</v>
      </c>
      <c r="AO199">
        <v>54</v>
      </c>
      <c r="AP199">
        <v>53</v>
      </c>
      <c r="AQ199">
        <v>50</v>
      </c>
      <c r="AR199">
        <v>45</v>
      </c>
      <c r="AS199">
        <v>49</v>
      </c>
      <c r="AT199">
        <v>48</v>
      </c>
      <c r="AU199">
        <v>50</v>
      </c>
      <c r="AV199">
        <v>53</v>
      </c>
      <c r="AW199">
        <v>52</v>
      </c>
      <c r="AX199">
        <v>54</v>
      </c>
      <c r="AY199">
        <v>51</v>
      </c>
      <c r="AZ199">
        <v>52</v>
      </c>
      <c r="BA199">
        <v>49</v>
      </c>
      <c r="BB199">
        <v>53</v>
      </c>
      <c r="BC199">
        <v>55</v>
      </c>
      <c r="BD199">
        <v>52</v>
      </c>
    </row>
    <row r="200" spans="1:56" x14ac:dyDescent="0.25">
      <c r="A200" t="s">
        <v>4362</v>
      </c>
      <c r="B200" t="s">
        <v>45</v>
      </c>
      <c r="C200" t="s">
        <v>93</v>
      </c>
      <c r="D200">
        <v>17354</v>
      </c>
      <c r="E200">
        <v>32.588000000000001</v>
      </c>
      <c r="F200">
        <v>34</v>
      </c>
      <c r="G200">
        <v>42</v>
      </c>
      <c r="H200">
        <v>39</v>
      </c>
      <c r="I200">
        <v>37</v>
      </c>
      <c r="J200">
        <v>35</v>
      </c>
      <c r="K200">
        <v>36</v>
      </c>
      <c r="L200">
        <v>36</v>
      </c>
      <c r="M200">
        <v>32</v>
      </c>
      <c r="N200">
        <v>29</v>
      </c>
      <c r="O200">
        <v>31</v>
      </c>
      <c r="P200">
        <v>32</v>
      </c>
      <c r="Q200">
        <v>32</v>
      </c>
      <c r="R200">
        <v>32</v>
      </c>
      <c r="S200">
        <v>31</v>
      </c>
      <c r="T200">
        <v>30</v>
      </c>
      <c r="U200">
        <v>31</v>
      </c>
      <c r="V200">
        <v>31</v>
      </c>
      <c r="W200">
        <v>31</v>
      </c>
      <c r="X200">
        <v>32</v>
      </c>
      <c r="Y200">
        <v>32</v>
      </c>
      <c r="Z200">
        <v>31</v>
      </c>
      <c r="AA200">
        <v>32</v>
      </c>
      <c r="AB200">
        <v>33</v>
      </c>
      <c r="AC200">
        <v>31</v>
      </c>
      <c r="AD200">
        <v>32</v>
      </c>
      <c r="AE200">
        <v>31</v>
      </c>
      <c r="AF200">
        <v>31</v>
      </c>
      <c r="AG200">
        <v>32</v>
      </c>
      <c r="AH200">
        <v>32</v>
      </c>
      <c r="AI200">
        <v>31</v>
      </c>
      <c r="AJ200">
        <v>32</v>
      </c>
      <c r="AK200">
        <v>32</v>
      </c>
      <c r="AL200">
        <v>34</v>
      </c>
      <c r="AM200">
        <v>33</v>
      </c>
      <c r="AN200">
        <v>33</v>
      </c>
      <c r="AO200">
        <v>31</v>
      </c>
      <c r="AP200">
        <v>31</v>
      </c>
      <c r="AQ200">
        <v>31</v>
      </c>
      <c r="AR200">
        <v>33</v>
      </c>
      <c r="AS200">
        <v>31</v>
      </c>
      <c r="AT200">
        <v>31</v>
      </c>
      <c r="AU200">
        <v>32</v>
      </c>
      <c r="AV200">
        <v>32</v>
      </c>
      <c r="AW200">
        <v>32</v>
      </c>
      <c r="AX200">
        <v>32</v>
      </c>
      <c r="AY200">
        <v>33</v>
      </c>
      <c r="AZ200">
        <v>33</v>
      </c>
      <c r="BA200">
        <v>33</v>
      </c>
      <c r="BB200">
        <v>34</v>
      </c>
      <c r="BC200">
        <v>34</v>
      </c>
      <c r="BD200">
        <v>34</v>
      </c>
    </row>
    <row r="201" spans="1:56" x14ac:dyDescent="0.25">
      <c r="A201" t="s">
        <v>4363</v>
      </c>
      <c r="B201" t="s">
        <v>110</v>
      </c>
      <c r="C201" t="s">
        <v>93</v>
      </c>
      <c r="D201">
        <v>4755</v>
      </c>
      <c r="E201">
        <v>45.392000000000003</v>
      </c>
      <c r="F201">
        <v>49</v>
      </c>
      <c r="G201">
        <v>58</v>
      </c>
      <c r="H201">
        <v>55</v>
      </c>
      <c r="I201">
        <v>55</v>
      </c>
      <c r="J201">
        <v>51</v>
      </c>
      <c r="K201">
        <v>51</v>
      </c>
      <c r="L201">
        <v>49</v>
      </c>
      <c r="M201">
        <v>46</v>
      </c>
      <c r="N201">
        <v>43</v>
      </c>
      <c r="O201">
        <v>46</v>
      </c>
      <c r="P201">
        <v>47</v>
      </c>
      <c r="Q201">
        <v>47</v>
      </c>
      <c r="R201">
        <v>46</v>
      </c>
      <c r="S201">
        <v>46</v>
      </c>
      <c r="T201">
        <v>44</v>
      </c>
      <c r="U201">
        <v>45</v>
      </c>
      <c r="V201">
        <v>46</v>
      </c>
      <c r="W201">
        <v>45</v>
      </c>
      <c r="X201">
        <v>46</v>
      </c>
      <c r="Y201">
        <v>46</v>
      </c>
      <c r="Z201">
        <v>45</v>
      </c>
      <c r="AA201">
        <v>46</v>
      </c>
      <c r="AB201">
        <v>47</v>
      </c>
      <c r="AC201">
        <v>44</v>
      </c>
      <c r="AD201">
        <v>45</v>
      </c>
      <c r="AE201">
        <v>46</v>
      </c>
      <c r="AF201">
        <v>43</v>
      </c>
      <c r="AG201">
        <v>45</v>
      </c>
      <c r="AH201">
        <v>45</v>
      </c>
      <c r="AI201">
        <v>45</v>
      </c>
      <c r="AJ201">
        <v>46</v>
      </c>
      <c r="AK201">
        <v>46</v>
      </c>
      <c r="AL201">
        <v>46</v>
      </c>
      <c r="AM201">
        <v>44</v>
      </c>
      <c r="AN201">
        <v>44</v>
      </c>
      <c r="AO201">
        <v>42</v>
      </c>
      <c r="AP201">
        <v>42</v>
      </c>
      <c r="AQ201">
        <v>41</v>
      </c>
      <c r="AR201">
        <v>42</v>
      </c>
      <c r="AS201">
        <v>41</v>
      </c>
      <c r="AT201">
        <v>42</v>
      </c>
      <c r="AU201">
        <v>42</v>
      </c>
      <c r="AV201">
        <v>43</v>
      </c>
      <c r="AW201">
        <v>42</v>
      </c>
      <c r="AX201">
        <v>42</v>
      </c>
      <c r="AY201">
        <v>43</v>
      </c>
      <c r="AZ201">
        <v>42</v>
      </c>
      <c r="BA201">
        <v>44</v>
      </c>
      <c r="BB201">
        <v>43</v>
      </c>
      <c r="BC201">
        <v>43</v>
      </c>
      <c r="BD201">
        <v>43</v>
      </c>
    </row>
    <row r="202" spans="1:56" x14ac:dyDescent="0.25">
      <c r="A202" t="s">
        <v>4364</v>
      </c>
      <c r="B202" t="s">
        <v>111</v>
      </c>
      <c r="C202" t="s">
        <v>93</v>
      </c>
      <c r="D202">
        <v>61</v>
      </c>
      <c r="E202">
        <v>35.979999999999997</v>
      </c>
      <c r="F202">
        <v>35</v>
      </c>
      <c r="G202">
        <v>34</v>
      </c>
      <c r="H202">
        <v>45</v>
      </c>
      <c r="I202">
        <v>46</v>
      </c>
      <c r="J202">
        <v>44</v>
      </c>
      <c r="K202">
        <v>42</v>
      </c>
      <c r="L202">
        <v>41</v>
      </c>
      <c r="M202">
        <v>38</v>
      </c>
      <c r="N202">
        <v>39</v>
      </c>
      <c r="O202">
        <v>36</v>
      </c>
      <c r="P202">
        <v>40</v>
      </c>
      <c r="Q202">
        <v>41</v>
      </c>
      <c r="R202">
        <v>51</v>
      </c>
      <c r="S202">
        <v>47</v>
      </c>
      <c r="T202">
        <v>45</v>
      </c>
      <c r="U202">
        <v>34</v>
      </c>
      <c r="V202">
        <v>41</v>
      </c>
      <c r="W202">
        <v>42</v>
      </c>
      <c r="X202">
        <v>38</v>
      </c>
      <c r="Y202">
        <v>48</v>
      </c>
      <c r="Z202">
        <v>48</v>
      </c>
      <c r="AA202">
        <v>33</v>
      </c>
      <c r="AB202">
        <v>39</v>
      </c>
      <c r="AC202">
        <v>34</v>
      </c>
      <c r="AD202">
        <v>38</v>
      </c>
      <c r="AE202">
        <v>32</v>
      </c>
      <c r="AF202">
        <v>32</v>
      </c>
      <c r="AG202">
        <v>32</v>
      </c>
      <c r="AH202">
        <v>31</v>
      </c>
      <c r="AI202">
        <v>29</v>
      </c>
      <c r="AJ202">
        <v>42</v>
      </c>
      <c r="AK202">
        <v>38</v>
      </c>
      <c r="AL202">
        <v>31</v>
      </c>
      <c r="AM202">
        <v>38</v>
      </c>
      <c r="AN202">
        <v>38</v>
      </c>
      <c r="AO202">
        <v>35</v>
      </c>
      <c r="AP202">
        <v>31</v>
      </c>
      <c r="AQ202">
        <v>28</v>
      </c>
      <c r="AR202">
        <v>22</v>
      </c>
      <c r="AS202">
        <v>31</v>
      </c>
      <c r="AT202">
        <v>35</v>
      </c>
      <c r="AU202">
        <v>25</v>
      </c>
      <c r="AV202">
        <v>32</v>
      </c>
      <c r="AW202">
        <v>30</v>
      </c>
      <c r="AX202">
        <v>20</v>
      </c>
      <c r="AY202">
        <v>25</v>
      </c>
      <c r="AZ202">
        <v>33</v>
      </c>
      <c r="BA202">
        <v>28</v>
      </c>
      <c r="BB202">
        <v>31</v>
      </c>
      <c r="BC202">
        <v>29</v>
      </c>
      <c r="BD202">
        <v>38</v>
      </c>
    </row>
    <row r="203" spans="1:56" x14ac:dyDescent="0.25">
      <c r="A203" t="s">
        <v>4365</v>
      </c>
      <c r="B203" t="s">
        <v>112</v>
      </c>
      <c r="C203" t="s">
        <v>93</v>
      </c>
      <c r="D203">
        <v>181</v>
      </c>
      <c r="E203">
        <v>47.293999999999997</v>
      </c>
      <c r="F203">
        <v>47</v>
      </c>
      <c r="G203">
        <v>56</v>
      </c>
      <c r="H203">
        <v>48</v>
      </c>
      <c r="I203">
        <v>58</v>
      </c>
      <c r="J203">
        <v>54</v>
      </c>
      <c r="K203">
        <v>48</v>
      </c>
      <c r="L203">
        <v>54</v>
      </c>
      <c r="M203">
        <v>50</v>
      </c>
      <c r="N203">
        <v>53</v>
      </c>
      <c r="O203">
        <v>54</v>
      </c>
      <c r="P203">
        <v>50</v>
      </c>
      <c r="Q203">
        <v>53</v>
      </c>
      <c r="R203">
        <v>53</v>
      </c>
      <c r="S203">
        <v>52</v>
      </c>
      <c r="T203">
        <v>46</v>
      </c>
      <c r="U203">
        <v>48</v>
      </c>
      <c r="V203">
        <v>47</v>
      </c>
      <c r="W203">
        <v>47</v>
      </c>
      <c r="X203">
        <v>46</v>
      </c>
      <c r="Y203">
        <v>43</v>
      </c>
      <c r="Z203">
        <v>40</v>
      </c>
      <c r="AA203">
        <v>44</v>
      </c>
      <c r="AB203">
        <v>48</v>
      </c>
      <c r="AC203">
        <v>43</v>
      </c>
      <c r="AD203">
        <v>48</v>
      </c>
      <c r="AE203">
        <v>42</v>
      </c>
      <c r="AF203">
        <v>41</v>
      </c>
      <c r="AG203">
        <v>48</v>
      </c>
      <c r="AH203">
        <v>44</v>
      </c>
      <c r="AI203">
        <v>39</v>
      </c>
      <c r="AJ203">
        <v>46</v>
      </c>
      <c r="AK203">
        <v>46</v>
      </c>
      <c r="AL203">
        <v>51</v>
      </c>
      <c r="AM203">
        <v>47</v>
      </c>
      <c r="AN203">
        <v>49</v>
      </c>
      <c r="AO203">
        <v>42</v>
      </c>
      <c r="AP203">
        <v>43</v>
      </c>
      <c r="AQ203">
        <v>52</v>
      </c>
      <c r="AR203">
        <v>49</v>
      </c>
      <c r="AS203">
        <v>49</v>
      </c>
      <c r="AT203">
        <v>43</v>
      </c>
      <c r="AU203">
        <v>49</v>
      </c>
      <c r="AV203">
        <v>52</v>
      </c>
      <c r="AW203">
        <v>47</v>
      </c>
      <c r="AX203">
        <v>43</v>
      </c>
      <c r="AY203">
        <v>47</v>
      </c>
      <c r="AZ203">
        <v>48</v>
      </c>
      <c r="BA203">
        <v>42</v>
      </c>
      <c r="BB203">
        <v>40</v>
      </c>
      <c r="BC203">
        <v>41</v>
      </c>
      <c r="BD203">
        <v>42</v>
      </c>
    </row>
    <row r="204" spans="1:56" x14ac:dyDescent="0.25">
      <c r="A204" t="s">
        <v>4366</v>
      </c>
      <c r="B204" t="s">
        <v>113</v>
      </c>
      <c r="C204" t="s">
        <v>93</v>
      </c>
      <c r="D204">
        <v>94</v>
      </c>
      <c r="E204">
        <v>44.430999999999997</v>
      </c>
      <c r="F204">
        <v>41</v>
      </c>
      <c r="G204">
        <v>52</v>
      </c>
      <c r="H204">
        <v>61</v>
      </c>
      <c r="I204">
        <v>54</v>
      </c>
      <c r="J204">
        <v>48</v>
      </c>
      <c r="K204">
        <v>44</v>
      </c>
      <c r="L204">
        <v>52</v>
      </c>
      <c r="M204">
        <v>52</v>
      </c>
      <c r="N204">
        <v>50</v>
      </c>
      <c r="O204">
        <v>47</v>
      </c>
      <c r="P204">
        <v>49</v>
      </c>
      <c r="Q204">
        <v>54</v>
      </c>
      <c r="R204">
        <v>56</v>
      </c>
      <c r="S204">
        <v>51</v>
      </c>
      <c r="T204">
        <v>50</v>
      </c>
      <c r="U204">
        <v>46</v>
      </c>
      <c r="V204">
        <v>50</v>
      </c>
      <c r="W204">
        <v>50</v>
      </c>
      <c r="X204">
        <v>54</v>
      </c>
      <c r="Y204">
        <v>43</v>
      </c>
      <c r="Z204">
        <v>47</v>
      </c>
      <c r="AA204">
        <v>42</v>
      </c>
      <c r="AB204">
        <v>43</v>
      </c>
      <c r="AC204">
        <v>48</v>
      </c>
      <c r="AD204">
        <v>46</v>
      </c>
      <c r="AE204">
        <v>38</v>
      </c>
      <c r="AF204">
        <v>49</v>
      </c>
      <c r="AG204">
        <v>44</v>
      </c>
      <c r="AH204">
        <v>43</v>
      </c>
      <c r="AI204">
        <v>42</v>
      </c>
      <c r="AJ204">
        <v>32</v>
      </c>
      <c r="AK204">
        <v>45</v>
      </c>
      <c r="AL204">
        <v>43</v>
      </c>
      <c r="AM204">
        <v>33</v>
      </c>
      <c r="AN204">
        <v>40</v>
      </c>
      <c r="AO204">
        <v>40</v>
      </c>
      <c r="AP204">
        <v>42</v>
      </c>
      <c r="AQ204">
        <v>36</v>
      </c>
      <c r="AR204">
        <v>42</v>
      </c>
      <c r="AS204">
        <v>34</v>
      </c>
      <c r="AT204">
        <v>42</v>
      </c>
      <c r="AU204">
        <v>44</v>
      </c>
      <c r="AV204">
        <v>41</v>
      </c>
      <c r="AW204">
        <v>32</v>
      </c>
      <c r="AX204">
        <v>34</v>
      </c>
      <c r="AY204">
        <v>29</v>
      </c>
      <c r="AZ204">
        <v>42</v>
      </c>
      <c r="BA204">
        <v>42</v>
      </c>
      <c r="BB204">
        <v>44</v>
      </c>
      <c r="BC204">
        <v>43</v>
      </c>
      <c r="BD204">
        <v>40</v>
      </c>
    </row>
    <row r="205" spans="1:56" x14ac:dyDescent="0.25">
      <c r="A205" t="s">
        <v>4367</v>
      </c>
      <c r="B205" t="s">
        <v>114</v>
      </c>
      <c r="C205" t="s">
        <v>93</v>
      </c>
      <c r="D205">
        <v>159</v>
      </c>
      <c r="E205">
        <v>43.430999999999997</v>
      </c>
      <c r="F205">
        <v>43</v>
      </c>
      <c r="G205">
        <v>54</v>
      </c>
      <c r="H205">
        <v>49</v>
      </c>
      <c r="I205">
        <v>50</v>
      </c>
      <c r="J205">
        <v>48</v>
      </c>
      <c r="K205">
        <v>51</v>
      </c>
      <c r="L205">
        <v>52</v>
      </c>
      <c r="M205">
        <v>47</v>
      </c>
      <c r="N205">
        <v>38</v>
      </c>
      <c r="O205">
        <v>44</v>
      </c>
      <c r="P205">
        <v>41</v>
      </c>
      <c r="Q205">
        <v>43</v>
      </c>
      <c r="R205">
        <v>39</v>
      </c>
      <c r="S205">
        <v>42</v>
      </c>
      <c r="T205">
        <v>38</v>
      </c>
      <c r="U205">
        <v>42</v>
      </c>
      <c r="V205">
        <v>44</v>
      </c>
      <c r="W205">
        <v>42</v>
      </c>
      <c r="X205">
        <v>40</v>
      </c>
      <c r="Y205">
        <v>44</v>
      </c>
      <c r="Z205">
        <v>43</v>
      </c>
      <c r="AA205">
        <v>44</v>
      </c>
      <c r="AB205">
        <v>50</v>
      </c>
      <c r="AC205">
        <v>41</v>
      </c>
      <c r="AD205">
        <v>43</v>
      </c>
      <c r="AE205">
        <v>46</v>
      </c>
      <c r="AF205">
        <v>48</v>
      </c>
      <c r="AG205">
        <v>40</v>
      </c>
      <c r="AH205">
        <v>42</v>
      </c>
      <c r="AI205">
        <v>43</v>
      </c>
      <c r="AJ205">
        <v>49</v>
      </c>
      <c r="AK205">
        <v>44</v>
      </c>
      <c r="AL205">
        <v>44</v>
      </c>
      <c r="AM205">
        <v>44</v>
      </c>
      <c r="AN205">
        <v>40</v>
      </c>
      <c r="AO205">
        <v>32</v>
      </c>
      <c r="AP205">
        <v>42</v>
      </c>
      <c r="AQ205">
        <v>36</v>
      </c>
      <c r="AR205">
        <v>45</v>
      </c>
      <c r="AS205">
        <v>44</v>
      </c>
      <c r="AT205">
        <v>40</v>
      </c>
      <c r="AU205">
        <v>41</v>
      </c>
      <c r="AV205">
        <v>48</v>
      </c>
      <c r="AW205">
        <v>38</v>
      </c>
      <c r="AX205">
        <v>42</v>
      </c>
      <c r="AY205">
        <v>47</v>
      </c>
      <c r="AZ205">
        <v>41</v>
      </c>
      <c r="BA205">
        <v>44</v>
      </c>
      <c r="BB205">
        <v>45</v>
      </c>
      <c r="BC205">
        <v>41</v>
      </c>
      <c r="BD205">
        <v>37</v>
      </c>
    </row>
    <row r="206" spans="1:56" x14ac:dyDescent="0.25">
      <c r="A206" t="s">
        <v>4368</v>
      </c>
      <c r="B206" t="s">
        <v>115</v>
      </c>
      <c r="C206" t="s">
        <v>93</v>
      </c>
      <c r="D206">
        <v>101</v>
      </c>
      <c r="E206">
        <v>42.804000000000002</v>
      </c>
      <c r="F206">
        <v>48</v>
      </c>
      <c r="G206">
        <v>58</v>
      </c>
      <c r="H206">
        <v>47</v>
      </c>
      <c r="I206">
        <v>53</v>
      </c>
      <c r="J206">
        <v>46</v>
      </c>
      <c r="K206">
        <v>54</v>
      </c>
      <c r="L206">
        <v>54</v>
      </c>
      <c r="M206">
        <v>50</v>
      </c>
      <c r="N206">
        <v>41</v>
      </c>
      <c r="O206">
        <v>46</v>
      </c>
      <c r="P206">
        <v>42</v>
      </c>
      <c r="Q206">
        <v>45</v>
      </c>
      <c r="R206">
        <v>39</v>
      </c>
      <c r="S206">
        <v>43</v>
      </c>
      <c r="T206">
        <v>41</v>
      </c>
      <c r="U206">
        <v>43</v>
      </c>
      <c r="V206">
        <v>41</v>
      </c>
      <c r="W206">
        <v>44</v>
      </c>
      <c r="X206">
        <v>41</v>
      </c>
      <c r="Y206">
        <v>44</v>
      </c>
      <c r="Z206">
        <v>43</v>
      </c>
      <c r="AA206">
        <v>42</v>
      </c>
      <c r="AB206">
        <v>49</v>
      </c>
      <c r="AC206">
        <v>45</v>
      </c>
      <c r="AD206">
        <v>44</v>
      </c>
      <c r="AE206">
        <v>44</v>
      </c>
      <c r="AF206">
        <v>48</v>
      </c>
      <c r="AG206">
        <v>34</v>
      </c>
      <c r="AH206">
        <v>38</v>
      </c>
      <c r="AI206">
        <v>41</v>
      </c>
      <c r="AJ206">
        <v>48</v>
      </c>
      <c r="AK206">
        <v>44</v>
      </c>
      <c r="AL206">
        <v>44</v>
      </c>
      <c r="AM206">
        <v>38</v>
      </c>
      <c r="AN206">
        <v>36</v>
      </c>
      <c r="AO206">
        <v>30</v>
      </c>
      <c r="AP206">
        <v>40</v>
      </c>
      <c r="AQ206">
        <v>31</v>
      </c>
      <c r="AR206">
        <v>43</v>
      </c>
      <c r="AS206">
        <v>46</v>
      </c>
      <c r="AT206">
        <v>39</v>
      </c>
      <c r="AU206">
        <v>35</v>
      </c>
      <c r="AV206">
        <v>43</v>
      </c>
      <c r="AW206">
        <v>37</v>
      </c>
      <c r="AX206">
        <v>38</v>
      </c>
      <c r="AY206">
        <v>42</v>
      </c>
      <c r="AZ206">
        <v>39</v>
      </c>
      <c r="BA206">
        <v>43</v>
      </c>
      <c r="BB206">
        <v>44</v>
      </c>
      <c r="BC206">
        <v>38</v>
      </c>
      <c r="BD206">
        <v>37</v>
      </c>
    </row>
    <row r="207" spans="1:56" x14ac:dyDescent="0.25">
      <c r="A207" t="s">
        <v>4369</v>
      </c>
      <c r="B207" t="s">
        <v>116</v>
      </c>
      <c r="C207" t="s">
        <v>93</v>
      </c>
      <c r="D207">
        <v>112</v>
      </c>
      <c r="E207">
        <v>46.744999999999997</v>
      </c>
      <c r="F207">
        <v>44</v>
      </c>
      <c r="G207">
        <v>57</v>
      </c>
      <c r="H207">
        <v>54</v>
      </c>
      <c r="I207">
        <v>53</v>
      </c>
      <c r="J207">
        <v>48</v>
      </c>
      <c r="K207">
        <v>51</v>
      </c>
      <c r="L207">
        <v>51</v>
      </c>
      <c r="M207">
        <v>47</v>
      </c>
      <c r="N207">
        <v>42</v>
      </c>
      <c r="O207">
        <v>43</v>
      </c>
      <c r="P207">
        <v>52</v>
      </c>
      <c r="Q207">
        <v>45</v>
      </c>
      <c r="R207">
        <v>47</v>
      </c>
      <c r="S207">
        <v>50</v>
      </c>
      <c r="T207">
        <v>45</v>
      </c>
      <c r="U207">
        <v>53</v>
      </c>
      <c r="V207">
        <v>55</v>
      </c>
      <c r="W207">
        <v>52</v>
      </c>
      <c r="X207">
        <v>55</v>
      </c>
      <c r="Y207">
        <v>46</v>
      </c>
      <c r="Z207">
        <v>43</v>
      </c>
      <c r="AA207">
        <v>48</v>
      </c>
      <c r="AB207">
        <v>48</v>
      </c>
      <c r="AC207">
        <v>46</v>
      </c>
      <c r="AD207">
        <v>49</v>
      </c>
      <c r="AE207">
        <v>51</v>
      </c>
      <c r="AF207">
        <v>40</v>
      </c>
      <c r="AG207">
        <v>45</v>
      </c>
      <c r="AH207">
        <v>40</v>
      </c>
      <c r="AI207">
        <v>44</v>
      </c>
      <c r="AJ207">
        <v>45</v>
      </c>
      <c r="AK207">
        <v>53</v>
      </c>
      <c r="AL207">
        <v>49</v>
      </c>
      <c r="AM207">
        <v>46</v>
      </c>
      <c r="AN207">
        <v>49</v>
      </c>
      <c r="AO207">
        <v>45</v>
      </c>
      <c r="AP207">
        <v>48</v>
      </c>
      <c r="AQ207">
        <v>40</v>
      </c>
      <c r="AR207">
        <v>39</v>
      </c>
      <c r="AS207">
        <v>40</v>
      </c>
      <c r="AT207">
        <v>46</v>
      </c>
      <c r="AU207">
        <v>46</v>
      </c>
      <c r="AV207">
        <v>41</v>
      </c>
      <c r="AW207">
        <v>41</v>
      </c>
      <c r="AX207">
        <v>42</v>
      </c>
      <c r="AY207">
        <v>43</v>
      </c>
      <c r="AZ207">
        <v>41</v>
      </c>
      <c r="BA207">
        <v>46</v>
      </c>
      <c r="BB207">
        <v>44</v>
      </c>
      <c r="BC207">
        <v>48</v>
      </c>
      <c r="BD207">
        <v>48</v>
      </c>
    </row>
    <row r="208" spans="1:56" x14ac:dyDescent="0.25">
      <c r="A208" t="s">
        <v>4370</v>
      </c>
      <c r="B208" t="s">
        <v>117</v>
      </c>
      <c r="C208" t="s">
        <v>93</v>
      </c>
      <c r="D208">
        <v>114</v>
      </c>
      <c r="E208">
        <v>52.548999999999999</v>
      </c>
      <c r="F208">
        <v>57</v>
      </c>
      <c r="G208">
        <v>62</v>
      </c>
      <c r="H208">
        <v>59</v>
      </c>
      <c r="I208">
        <v>55</v>
      </c>
      <c r="J208">
        <v>52</v>
      </c>
      <c r="K208">
        <v>62</v>
      </c>
      <c r="L208">
        <v>56</v>
      </c>
      <c r="M208">
        <v>58</v>
      </c>
      <c r="N208">
        <v>52</v>
      </c>
      <c r="O208">
        <v>58</v>
      </c>
      <c r="P208">
        <v>52</v>
      </c>
      <c r="Q208">
        <v>57</v>
      </c>
      <c r="R208">
        <v>54</v>
      </c>
      <c r="S208">
        <v>51</v>
      </c>
      <c r="T208">
        <v>57</v>
      </c>
      <c r="U208">
        <v>52</v>
      </c>
      <c r="V208">
        <v>51</v>
      </c>
      <c r="W208">
        <v>58</v>
      </c>
      <c r="X208">
        <v>53</v>
      </c>
      <c r="Y208">
        <v>50</v>
      </c>
      <c r="Z208">
        <v>52</v>
      </c>
      <c r="AA208">
        <v>51</v>
      </c>
      <c r="AB208">
        <v>58</v>
      </c>
      <c r="AC208">
        <v>45</v>
      </c>
      <c r="AD208">
        <v>51</v>
      </c>
      <c r="AE208">
        <v>51</v>
      </c>
      <c r="AF208">
        <v>54</v>
      </c>
      <c r="AG208">
        <v>54</v>
      </c>
      <c r="AH208">
        <v>53</v>
      </c>
      <c r="AI208">
        <v>58</v>
      </c>
      <c r="AJ208">
        <v>52</v>
      </c>
      <c r="AK208">
        <v>47</v>
      </c>
      <c r="AL208">
        <v>53</v>
      </c>
      <c r="AM208">
        <v>51</v>
      </c>
      <c r="AN208">
        <v>45</v>
      </c>
      <c r="AO208">
        <v>49</v>
      </c>
      <c r="AP208">
        <v>49</v>
      </c>
      <c r="AQ208">
        <v>46</v>
      </c>
      <c r="AR208">
        <v>40</v>
      </c>
      <c r="AS208">
        <v>43</v>
      </c>
      <c r="AT208">
        <v>44</v>
      </c>
      <c r="AU208">
        <v>50</v>
      </c>
      <c r="AV208">
        <v>48</v>
      </c>
      <c r="AW208">
        <v>47</v>
      </c>
      <c r="AX208">
        <v>45</v>
      </c>
      <c r="AY208">
        <v>49</v>
      </c>
      <c r="AZ208">
        <v>61</v>
      </c>
      <c r="BA208">
        <v>60</v>
      </c>
      <c r="BB208">
        <v>54</v>
      </c>
      <c r="BC208">
        <v>56</v>
      </c>
      <c r="BD208">
        <v>58</v>
      </c>
    </row>
    <row r="209" spans="1:56" x14ac:dyDescent="0.25">
      <c r="A209" t="s">
        <v>4371</v>
      </c>
      <c r="B209" t="s">
        <v>118</v>
      </c>
      <c r="C209" t="s">
        <v>93</v>
      </c>
      <c r="D209">
        <v>106</v>
      </c>
      <c r="E209">
        <v>45.588000000000001</v>
      </c>
      <c r="F209">
        <v>47</v>
      </c>
      <c r="G209">
        <v>59</v>
      </c>
      <c r="H209">
        <v>51</v>
      </c>
      <c r="I209">
        <v>57</v>
      </c>
      <c r="J209">
        <v>51</v>
      </c>
      <c r="K209">
        <v>57</v>
      </c>
      <c r="L209">
        <v>51</v>
      </c>
      <c r="M209">
        <v>48</v>
      </c>
      <c r="N209">
        <v>48</v>
      </c>
      <c r="O209">
        <v>51</v>
      </c>
      <c r="P209">
        <v>53</v>
      </c>
      <c r="Q209">
        <v>52</v>
      </c>
      <c r="R209">
        <v>44</v>
      </c>
      <c r="S209">
        <v>43</v>
      </c>
      <c r="T209">
        <v>38</v>
      </c>
      <c r="U209">
        <v>53</v>
      </c>
      <c r="V209">
        <v>50</v>
      </c>
      <c r="W209">
        <v>51</v>
      </c>
      <c r="X209">
        <v>48</v>
      </c>
      <c r="Y209">
        <v>39</v>
      </c>
      <c r="Z209">
        <v>44</v>
      </c>
      <c r="AA209">
        <v>50</v>
      </c>
      <c r="AB209">
        <v>48</v>
      </c>
      <c r="AC209">
        <v>49</v>
      </c>
      <c r="AD209">
        <v>45</v>
      </c>
      <c r="AE209">
        <v>52</v>
      </c>
      <c r="AF209">
        <v>46</v>
      </c>
      <c r="AG209">
        <v>50</v>
      </c>
      <c r="AH209">
        <v>42</v>
      </c>
      <c r="AI209">
        <v>42</v>
      </c>
      <c r="AJ209">
        <v>38</v>
      </c>
      <c r="AK209">
        <v>41</v>
      </c>
      <c r="AL209">
        <v>49</v>
      </c>
      <c r="AM209">
        <v>44</v>
      </c>
      <c r="AN209">
        <v>39</v>
      </c>
      <c r="AO209">
        <v>41</v>
      </c>
      <c r="AP209">
        <v>36</v>
      </c>
      <c r="AQ209">
        <v>39</v>
      </c>
      <c r="AR209">
        <v>33</v>
      </c>
      <c r="AS209">
        <v>37</v>
      </c>
      <c r="AT209">
        <v>41</v>
      </c>
      <c r="AU209">
        <v>42</v>
      </c>
      <c r="AV209">
        <v>35</v>
      </c>
      <c r="AW209">
        <v>45</v>
      </c>
      <c r="AX209">
        <v>40</v>
      </c>
      <c r="AY209">
        <v>48</v>
      </c>
      <c r="AZ209">
        <v>45</v>
      </c>
      <c r="BA209">
        <v>47</v>
      </c>
      <c r="BB209">
        <v>45</v>
      </c>
      <c r="BC209">
        <v>35</v>
      </c>
      <c r="BD209">
        <v>46</v>
      </c>
    </row>
    <row r="210" spans="1:56" x14ac:dyDescent="0.25">
      <c r="A210" t="s">
        <v>4372</v>
      </c>
      <c r="B210" t="s">
        <v>119</v>
      </c>
      <c r="C210" t="s">
        <v>93</v>
      </c>
      <c r="D210">
        <v>200</v>
      </c>
      <c r="E210">
        <v>43.176000000000002</v>
      </c>
      <c r="F210">
        <v>42</v>
      </c>
      <c r="G210">
        <v>59</v>
      </c>
      <c r="H210">
        <v>54</v>
      </c>
      <c r="I210">
        <v>56</v>
      </c>
      <c r="J210">
        <v>46</v>
      </c>
      <c r="K210">
        <v>51</v>
      </c>
      <c r="L210">
        <v>46</v>
      </c>
      <c r="M210">
        <v>41</v>
      </c>
      <c r="N210">
        <v>35</v>
      </c>
      <c r="O210">
        <v>39</v>
      </c>
      <c r="P210">
        <v>38</v>
      </c>
      <c r="Q210">
        <v>51</v>
      </c>
      <c r="R210">
        <v>43</v>
      </c>
      <c r="S210">
        <v>42</v>
      </c>
      <c r="T210">
        <v>42</v>
      </c>
      <c r="U210">
        <v>45</v>
      </c>
      <c r="V210">
        <v>41</v>
      </c>
      <c r="W210">
        <v>40</v>
      </c>
      <c r="X210">
        <v>38</v>
      </c>
      <c r="Y210">
        <v>45</v>
      </c>
      <c r="Z210">
        <v>43</v>
      </c>
      <c r="AA210">
        <v>45</v>
      </c>
      <c r="AB210">
        <v>44</v>
      </c>
      <c r="AC210">
        <v>41</v>
      </c>
      <c r="AD210">
        <v>45</v>
      </c>
      <c r="AE210">
        <v>47</v>
      </c>
      <c r="AF210">
        <v>39</v>
      </c>
      <c r="AG210">
        <v>41</v>
      </c>
      <c r="AH210">
        <v>38</v>
      </c>
      <c r="AI210">
        <v>44</v>
      </c>
      <c r="AJ210">
        <v>42</v>
      </c>
      <c r="AK210">
        <v>40</v>
      </c>
      <c r="AL210">
        <v>43</v>
      </c>
      <c r="AM210">
        <v>46</v>
      </c>
      <c r="AN210">
        <v>36</v>
      </c>
      <c r="AO210">
        <v>40</v>
      </c>
      <c r="AP210">
        <v>38</v>
      </c>
      <c r="AQ210">
        <v>36</v>
      </c>
      <c r="AR210">
        <v>47</v>
      </c>
      <c r="AS210">
        <v>43</v>
      </c>
      <c r="AT210">
        <v>44</v>
      </c>
      <c r="AU210">
        <v>43</v>
      </c>
      <c r="AV210">
        <v>37</v>
      </c>
      <c r="AW210">
        <v>38</v>
      </c>
      <c r="AX210">
        <v>43</v>
      </c>
      <c r="AY210">
        <v>43</v>
      </c>
      <c r="AZ210">
        <v>43</v>
      </c>
      <c r="BA210">
        <v>45</v>
      </c>
      <c r="BB210">
        <v>46</v>
      </c>
      <c r="BC210">
        <v>41</v>
      </c>
      <c r="BD210">
        <v>47</v>
      </c>
    </row>
    <row r="211" spans="1:56" x14ac:dyDescent="0.25">
      <c r="A211" t="s">
        <v>4373</v>
      </c>
      <c r="B211" t="s">
        <v>120</v>
      </c>
      <c r="C211" t="s">
        <v>93</v>
      </c>
      <c r="D211">
        <v>55</v>
      </c>
      <c r="E211">
        <v>33.058999999999997</v>
      </c>
      <c r="F211">
        <v>32</v>
      </c>
      <c r="G211">
        <v>35</v>
      </c>
      <c r="H211">
        <v>33</v>
      </c>
      <c r="I211">
        <v>26</v>
      </c>
      <c r="J211">
        <v>30</v>
      </c>
      <c r="K211">
        <v>34</v>
      </c>
      <c r="L211">
        <v>38</v>
      </c>
      <c r="M211">
        <v>40</v>
      </c>
      <c r="N211">
        <v>42</v>
      </c>
      <c r="O211">
        <v>31</v>
      </c>
      <c r="P211">
        <v>44</v>
      </c>
      <c r="Q211">
        <v>40</v>
      </c>
      <c r="R211">
        <v>39</v>
      </c>
      <c r="S211">
        <v>36</v>
      </c>
      <c r="T211">
        <v>41</v>
      </c>
      <c r="U211">
        <v>36</v>
      </c>
      <c r="V211">
        <v>36</v>
      </c>
      <c r="W211">
        <v>36</v>
      </c>
      <c r="X211">
        <v>28</v>
      </c>
      <c r="Y211">
        <v>32</v>
      </c>
      <c r="Z211">
        <v>32</v>
      </c>
      <c r="AA211">
        <v>28</v>
      </c>
      <c r="AB211">
        <v>29</v>
      </c>
      <c r="AC211">
        <v>34</v>
      </c>
      <c r="AD211">
        <v>36</v>
      </c>
      <c r="AE211">
        <v>23</v>
      </c>
      <c r="AF211">
        <v>33</v>
      </c>
      <c r="AG211">
        <v>38</v>
      </c>
      <c r="AH211">
        <v>33</v>
      </c>
      <c r="AI211">
        <v>26</v>
      </c>
      <c r="AJ211">
        <v>33</v>
      </c>
      <c r="AK211">
        <v>26</v>
      </c>
      <c r="AL211">
        <v>19</v>
      </c>
      <c r="AM211">
        <v>34</v>
      </c>
      <c r="AN211">
        <v>30</v>
      </c>
      <c r="AO211">
        <v>38</v>
      </c>
      <c r="AP211">
        <v>26</v>
      </c>
      <c r="AQ211">
        <v>16</v>
      </c>
      <c r="AR211">
        <v>31</v>
      </c>
      <c r="AS211">
        <v>37</v>
      </c>
      <c r="AT211">
        <v>29</v>
      </c>
      <c r="AU211">
        <v>38</v>
      </c>
      <c r="AV211">
        <v>36</v>
      </c>
      <c r="AW211">
        <v>29</v>
      </c>
      <c r="AX211">
        <v>34</v>
      </c>
      <c r="AY211">
        <v>28</v>
      </c>
      <c r="AZ211">
        <v>28</v>
      </c>
      <c r="BA211">
        <v>33</v>
      </c>
      <c r="BB211">
        <v>33</v>
      </c>
      <c r="BC211">
        <v>51</v>
      </c>
      <c r="BD211">
        <v>36</v>
      </c>
    </row>
    <row r="212" spans="1:56" x14ac:dyDescent="0.25">
      <c r="A212" t="s">
        <v>4374</v>
      </c>
      <c r="B212" t="s">
        <v>121</v>
      </c>
      <c r="C212" t="s">
        <v>93</v>
      </c>
      <c r="D212">
        <v>351</v>
      </c>
      <c r="E212">
        <v>51.156999999999996</v>
      </c>
      <c r="F212">
        <v>51</v>
      </c>
      <c r="G212">
        <v>61</v>
      </c>
      <c r="H212">
        <v>59</v>
      </c>
      <c r="I212">
        <v>59</v>
      </c>
      <c r="J212">
        <v>52</v>
      </c>
      <c r="K212">
        <v>55</v>
      </c>
      <c r="L212">
        <v>55</v>
      </c>
      <c r="M212">
        <v>49</v>
      </c>
      <c r="N212">
        <v>45</v>
      </c>
      <c r="O212">
        <v>49</v>
      </c>
      <c r="P212">
        <v>50</v>
      </c>
      <c r="Q212">
        <v>52</v>
      </c>
      <c r="R212">
        <v>53</v>
      </c>
      <c r="S212">
        <v>53</v>
      </c>
      <c r="T212">
        <v>53</v>
      </c>
      <c r="U212">
        <v>48</v>
      </c>
      <c r="V212">
        <v>52</v>
      </c>
      <c r="W212">
        <v>51</v>
      </c>
      <c r="X212">
        <v>53</v>
      </c>
      <c r="Y212">
        <v>49</v>
      </c>
      <c r="Z212">
        <v>50</v>
      </c>
      <c r="AA212">
        <v>54</v>
      </c>
      <c r="AB212">
        <v>53</v>
      </c>
      <c r="AC212">
        <v>49</v>
      </c>
      <c r="AD212">
        <v>51</v>
      </c>
      <c r="AE212">
        <v>52</v>
      </c>
      <c r="AF212">
        <v>47</v>
      </c>
      <c r="AG212">
        <v>52</v>
      </c>
      <c r="AH212">
        <v>50</v>
      </c>
      <c r="AI212">
        <v>53</v>
      </c>
      <c r="AJ212">
        <v>52</v>
      </c>
      <c r="AK212">
        <v>52</v>
      </c>
      <c r="AL212">
        <v>54</v>
      </c>
      <c r="AM212">
        <v>49</v>
      </c>
      <c r="AN212">
        <v>46</v>
      </c>
      <c r="AO212">
        <v>48</v>
      </c>
      <c r="AP212">
        <v>45</v>
      </c>
      <c r="AQ212">
        <v>52</v>
      </c>
      <c r="AR212">
        <v>51</v>
      </c>
      <c r="AS212">
        <v>50</v>
      </c>
      <c r="AT212">
        <v>49</v>
      </c>
      <c r="AU212">
        <v>49</v>
      </c>
      <c r="AV212">
        <v>51</v>
      </c>
      <c r="AW212">
        <v>51</v>
      </c>
      <c r="AX212">
        <v>52</v>
      </c>
      <c r="AY212">
        <v>51</v>
      </c>
      <c r="AZ212">
        <v>46</v>
      </c>
      <c r="BA212">
        <v>50</v>
      </c>
      <c r="BB212">
        <v>50</v>
      </c>
      <c r="BC212">
        <v>51</v>
      </c>
      <c r="BD212">
        <v>50</v>
      </c>
    </row>
    <row r="213" spans="1:56" x14ac:dyDescent="0.25">
      <c r="A213" t="s">
        <v>4375</v>
      </c>
      <c r="B213" t="s">
        <v>122</v>
      </c>
      <c r="C213" t="s">
        <v>93</v>
      </c>
      <c r="D213">
        <v>208</v>
      </c>
      <c r="E213">
        <v>43.353000000000002</v>
      </c>
      <c r="F213">
        <v>46</v>
      </c>
      <c r="G213">
        <v>57</v>
      </c>
      <c r="H213">
        <v>57</v>
      </c>
      <c r="I213">
        <v>45</v>
      </c>
      <c r="J213">
        <v>48</v>
      </c>
      <c r="K213">
        <v>45</v>
      </c>
      <c r="L213">
        <v>46</v>
      </c>
      <c r="M213">
        <v>43</v>
      </c>
      <c r="N213">
        <v>42</v>
      </c>
      <c r="O213">
        <v>48</v>
      </c>
      <c r="P213">
        <v>51</v>
      </c>
      <c r="Q213">
        <v>50</v>
      </c>
      <c r="R213">
        <v>49</v>
      </c>
      <c r="S213">
        <v>42</v>
      </c>
      <c r="T213">
        <v>44</v>
      </c>
      <c r="U213">
        <v>47</v>
      </c>
      <c r="V213">
        <v>51</v>
      </c>
      <c r="W213">
        <v>46</v>
      </c>
      <c r="X213">
        <v>47</v>
      </c>
      <c r="Y213">
        <v>44</v>
      </c>
      <c r="Z213">
        <v>45</v>
      </c>
      <c r="AA213">
        <v>42</v>
      </c>
      <c r="AB213">
        <v>40</v>
      </c>
      <c r="AC213">
        <v>43</v>
      </c>
      <c r="AD213">
        <v>41</v>
      </c>
      <c r="AE213">
        <v>40</v>
      </c>
      <c r="AF213">
        <v>38</v>
      </c>
      <c r="AG213">
        <v>47</v>
      </c>
      <c r="AH213">
        <v>43</v>
      </c>
      <c r="AI213">
        <v>42</v>
      </c>
      <c r="AJ213">
        <v>42</v>
      </c>
      <c r="AK213">
        <v>44</v>
      </c>
      <c r="AL213">
        <v>43</v>
      </c>
      <c r="AM213">
        <v>40</v>
      </c>
      <c r="AN213">
        <v>42</v>
      </c>
      <c r="AO213">
        <v>35</v>
      </c>
      <c r="AP213">
        <v>40</v>
      </c>
      <c r="AQ213">
        <v>39</v>
      </c>
      <c r="AR213">
        <v>41</v>
      </c>
      <c r="AS213">
        <v>37</v>
      </c>
      <c r="AT213">
        <v>41</v>
      </c>
      <c r="AU213">
        <v>41</v>
      </c>
      <c r="AV213">
        <v>41</v>
      </c>
      <c r="AW213">
        <v>40</v>
      </c>
      <c r="AX213">
        <v>33</v>
      </c>
      <c r="AY213">
        <v>42</v>
      </c>
      <c r="AZ213">
        <v>38</v>
      </c>
      <c r="BA213">
        <v>40</v>
      </c>
      <c r="BB213">
        <v>40</v>
      </c>
      <c r="BC213">
        <v>38</v>
      </c>
      <c r="BD213">
        <v>45</v>
      </c>
    </row>
    <row r="214" spans="1:56" x14ac:dyDescent="0.25">
      <c r="A214" t="s">
        <v>4376</v>
      </c>
      <c r="B214" t="s">
        <v>123</v>
      </c>
      <c r="C214" t="s">
        <v>93</v>
      </c>
      <c r="D214">
        <v>184</v>
      </c>
      <c r="E214">
        <v>48.216000000000001</v>
      </c>
      <c r="F214">
        <v>60</v>
      </c>
      <c r="G214">
        <v>61</v>
      </c>
      <c r="H214">
        <v>60</v>
      </c>
      <c r="I214">
        <v>61</v>
      </c>
      <c r="J214">
        <v>54</v>
      </c>
      <c r="K214">
        <v>53</v>
      </c>
      <c r="L214">
        <v>54</v>
      </c>
      <c r="M214">
        <v>49</v>
      </c>
      <c r="N214">
        <v>46</v>
      </c>
      <c r="O214">
        <v>50</v>
      </c>
      <c r="P214">
        <v>51</v>
      </c>
      <c r="Q214">
        <v>43</v>
      </c>
      <c r="R214">
        <v>50</v>
      </c>
      <c r="S214">
        <v>48</v>
      </c>
      <c r="T214">
        <v>47</v>
      </c>
      <c r="U214">
        <v>51</v>
      </c>
      <c r="V214">
        <v>51</v>
      </c>
      <c r="W214">
        <v>48</v>
      </c>
      <c r="X214">
        <v>59</v>
      </c>
      <c r="Y214">
        <v>48</v>
      </c>
      <c r="Z214">
        <v>49</v>
      </c>
      <c r="AA214">
        <v>41</v>
      </c>
      <c r="AB214">
        <v>48</v>
      </c>
      <c r="AC214">
        <v>45</v>
      </c>
      <c r="AD214">
        <v>47</v>
      </c>
      <c r="AE214">
        <v>50</v>
      </c>
      <c r="AF214">
        <v>41</v>
      </c>
      <c r="AG214">
        <v>45</v>
      </c>
      <c r="AH214">
        <v>49</v>
      </c>
      <c r="AI214">
        <v>47</v>
      </c>
      <c r="AJ214">
        <v>52</v>
      </c>
      <c r="AK214">
        <v>52</v>
      </c>
      <c r="AL214">
        <v>48</v>
      </c>
      <c r="AM214">
        <v>51</v>
      </c>
      <c r="AN214">
        <v>54</v>
      </c>
      <c r="AO214">
        <v>45</v>
      </c>
      <c r="AP214">
        <v>43</v>
      </c>
      <c r="AQ214">
        <v>41</v>
      </c>
      <c r="AR214">
        <v>46</v>
      </c>
      <c r="AS214">
        <v>38</v>
      </c>
      <c r="AT214">
        <v>44</v>
      </c>
      <c r="AU214">
        <v>39</v>
      </c>
      <c r="AV214">
        <v>42</v>
      </c>
      <c r="AW214">
        <v>46</v>
      </c>
      <c r="AX214">
        <v>39</v>
      </c>
      <c r="AY214">
        <v>46</v>
      </c>
      <c r="AZ214">
        <v>43</v>
      </c>
      <c r="BA214">
        <v>50</v>
      </c>
      <c r="BB214">
        <v>44</v>
      </c>
      <c r="BC214">
        <v>45</v>
      </c>
      <c r="BD214">
        <v>45</v>
      </c>
    </row>
    <row r="215" spans="1:56" x14ac:dyDescent="0.25">
      <c r="A215" t="s">
        <v>4377</v>
      </c>
      <c r="B215" t="s">
        <v>124</v>
      </c>
      <c r="C215" t="s">
        <v>93</v>
      </c>
      <c r="D215">
        <v>825</v>
      </c>
      <c r="E215">
        <v>51.881999999999998</v>
      </c>
      <c r="F215">
        <v>53</v>
      </c>
      <c r="G215">
        <v>61</v>
      </c>
      <c r="H215">
        <v>61</v>
      </c>
      <c r="I215">
        <v>61</v>
      </c>
      <c r="J215">
        <v>55</v>
      </c>
      <c r="K215">
        <v>54</v>
      </c>
      <c r="L215">
        <v>54</v>
      </c>
      <c r="M215">
        <v>52</v>
      </c>
      <c r="N215">
        <v>48</v>
      </c>
      <c r="O215">
        <v>52</v>
      </c>
      <c r="P215">
        <v>56</v>
      </c>
      <c r="Q215">
        <v>51</v>
      </c>
      <c r="R215">
        <v>55</v>
      </c>
      <c r="S215">
        <v>53</v>
      </c>
      <c r="T215">
        <v>49</v>
      </c>
      <c r="U215">
        <v>51</v>
      </c>
      <c r="V215">
        <v>51</v>
      </c>
      <c r="W215">
        <v>50</v>
      </c>
      <c r="X215">
        <v>54</v>
      </c>
      <c r="Y215">
        <v>55</v>
      </c>
      <c r="Z215">
        <v>50</v>
      </c>
      <c r="AA215">
        <v>52</v>
      </c>
      <c r="AB215">
        <v>56</v>
      </c>
      <c r="AC215">
        <v>50</v>
      </c>
      <c r="AD215">
        <v>52</v>
      </c>
      <c r="AE215">
        <v>53</v>
      </c>
      <c r="AF215">
        <v>52</v>
      </c>
      <c r="AG215">
        <v>53</v>
      </c>
      <c r="AH215">
        <v>54</v>
      </c>
      <c r="AI215">
        <v>57</v>
      </c>
      <c r="AJ215">
        <v>56</v>
      </c>
      <c r="AK215">
        <v>54</v>
      </c>
      <c r="AL215">
        <v>51</v>
      </c>
      <c r="AM215">
        <v>50</v>
      </c>
      <c r="AN215">
        <v>51</v>
      </c>
      <c r="AO215">
        <v>47</v>
      </c>
      <c r="AP215">
        <v>47</v>
      </c>
      <c r="AQ215">
        <v>48</v>
      </c>
      <c r="AR215">
        <v>49</v>
      </c>
      <c r="AS215">
        <v>48</v>
      </c>
      <c r="AT215">
        <v>49</v>
      </c>
      <c r="AU215">
        <v>48</v>
      </c>
      <c r="AV215">
        <v>50</v>
      </c>
      <c r="AW215">
        <v>51</v>
      </c>
      <c r="AX215">
        <v>48</v>
      </c>
      <c r="AY215">
        <v>50</v>
      </c>
      <c r="AZ215">
        <v>49</v>
      </c>
      <c r="BA215">
        <v>50</v>
      </c>
      <c r="BB215">
        <v>47</v>
      </c>
      <c r="BC215">
        <v>48</v>
      </c>
      <c r="BD215">
        <v>50</v>
      </c>
    </row>
    <row r="216" spans="1:56" x14ac:dyDescent="0.25">
      <c r="A216" t="s">
        <v>4378</v>
      </c>
      <c r="B216" t="s">
        <v>125</v>
      </c>
      <c r="C216" t="s">
        <v>93</v>
      </c>
      <c r="D216">
        <v>563</v>
      </c>
      <c r="E216">
        <v>45.607999999999997</v>
      </c>
      <c r="F216">
        <v>53</v>
      </c>
      <c r="G216">
        <v>59</v>
      </c>
      <c r="H216">
        <v>54</v>
      </c>
      <c r="I216">
        <v>57</v>
      </c>
      <c r="J216">
        <v>54</v>
      </c>
      <c r="K216">
        <v>51</v>
      </c>
      <c r="L216">
        <v>48</v>
      </c>
      <c r="M216">
        <v>43</v>
      </c>
      <c r="N216">
        <v>43</v>
      </c>
      <c r="O216">
        <v>47</v>
      </c>
      <c r="P216">
        <v>47</v>
      </c>
      <c r="Q216">
        <v>45</v>
      </c>
      <c r="R216">
        <v>42</v>
      </c>
      <c r="S216">
        <v>44</v>
      </c>
      <c r="T216">
        <v>42</v>
      </c>
      <c r="U216">
        <v>43</v>
      </c>
      <c r="V216">
        <v>47</v>
      </c>
      <c r="W216">
        <v>43</v>
      </c>
      <c r="X216">
        <v>44</v>
      </c>
      <c r="Y216">
        <v>48</v>
      </c>
      <c r="Z216">
        <v>43</v>
      </c>
      <c r="AA216">
        <v>46</v>
      </c>
      <c r="AB216">
        <v>45</v>
      </c>
      <c r="AC216">
        <v>44</v>
      </c>
      <c r="AD216">
        <v>43</v>
      </c>
      <c r="AE216">
        <v>44</v>
      </c>
      <c r="AF216">
        <v>41</v>
      </c>
      <c r="AG216">
        <v>45</v>
      </c>
      <c r="AH216">
        <v>47</v>
      </c>
      <c r="AI216">
        <v>46</v>
      </c>
      <c r="AJ216">
        <v>45</v>
      </c>
      <c r="AK216">
        <v>50</v>
      </c>
      <c r="AL216">
        <v>46</v>
      </c>
      <c r="AM216">
        <v>46</v>
      </c>
      <c r="AN216">
        <v>45</v>
      </c>
      <c r="AO216">
        <v>43</v>
      </c>
      <c r="AP216">
        <v>43</v>
      </c>
      <c r="AQ216">
        <v>43</v>
      </c>
      <c r="AR216">
        <v>37</v>
      </c>
      <c r="AS216">
        <v>39</v>
      </c>
      <c r="AT216">
        <v>44</v>
      </c>
      <c r="AU216">
        <v>42</v>
      </c>
      <c r="AV216">
        <v>44</v>
      </c>
      <c r="AW216">
        <v>45</v>
      </c>
      <c r="AX216">
        <v>46</v>
      </c>
      <c r="AY216">
        <v>45</v>
      </c>
      <c r="AZ216">
        <v>42</v>
      </c>
      <c r="BA216">
        <v>44</v>
      </c>
      <c r="BB216">
        <v>48</v>
      </c>
      <c r="BC216">
        <v>47</v>
      </c>
      <c r="BD216">
        <v>44</v>
      </c>
    </row>
    <row r="217" spans="1:56" x14ac:dyDescent="0.25">
      <c r="A217" t="s">
        <v>4379</v>
      </c>
      <c r="B217" t="s">
        <v>71</v>
      </c>
      <c r="C217" t="s">
        <v>93</v>
      </c>
      <c r="D217">
        <v>350</v>
      </c>
      <c r="E217">
        <v>42.470999999999997</v>
      </c>
      <c r="F217">
        <v>51</v>
      </c>
      <c r="G217">
        <v>53</v>
      </c>
      <c r="H217">
        <v>49</v>
      </c>
      <c r="I217">
        <v>53</v>
      </c>
      <c r="J217">
        <v>51</v>
      </c>
      <c r="K217">
        <v>48</v>
      </c>
      <c r="L217">
        <v>45</v>
      </c>
      <c r="M217">
        <v>42</v>
      </c>
      <c r="N217">
        <v>40</v>
      </c>
      <c r="O217">
        <v>45</v>
      </c>
      <c r="P217">
        <v>41</v>
      </c>
      <c r="Q217">
        <v>38</v>
      </c>
      <c r="R217">
        <v>37</v>
      </c>
      <c r="S217">
        <v>39</v>
      </c>
      <c r="T217">
        <v>39</v>
      </c>
      <c r="U217">
        <v>40</v>
      </c>
      <c r="V217">
        <v>43</v>
      </c>
      <c r="W217">
        <v>37</v>
      </c>
      <c r="X217">
        <v>38</v>
      </c>
      <c r="Y217">
        <v>45</v>
      </c>
      <c r="Z217">
        <v>38</v>
      </c>
      <c r="AA217">
        <v>43</v>
      </c>
      <c r="AB217">
        <v>41</v>
      </c>
      <c r="AC217">
        <v>41</v>
      </c>
      <c r="AD217">
        <v>38</v>
      </c>
      <c r="AE217">
        <v>40</v>
      </c>
      <c r="AF217">
        <v>36</v>
      </c>
      <c r="AG217">
        <v>40</v>
      </c>
      <c r="AH217">
        <v>44</v>
      </c>
      <c r="AI217">
        <v>43</v>
      </c>
      <c r="AJ217">
        <v>43</v>
      </c>
      <c r="AK217">
        <v>48</v>
      </c>
      <c r="AL217">
        <v>44</v>
      </c>
      <c r="AM217">
        <v>42</v>
      </c>
      <c r="AN217">
        <v>42</v>
      </c>
      <c r="AO217">
        <v>41</v>
      </c>
      <c r="AP217">
        <v>41</v>
      </c>
      <c r="AQ217">
        <v>41</v>
      </c>
      <c r="AR217">
        <v>36</v>
      </c>
      <c r="AS217">
        <v>35</v>
      </c>
      <c r="AT217">
        <v>40</v>
      </c>
      <c r="AU217">
        <v>38</v>
      </c>
      <c r="AV217">
        <v>43</v>
      </c>
      <c r="AW217">
        <v>44</v>
      </c>
      <c r="AX217">
        <v>46</v>
      </c>
      <c r="AY217">
        <v>45</v>
      </c>
      <c r="AZ217">
        <v>40</v>
      </c>
      <c r="BA217">
        <v>42</v>
      </c>
      <c r="BB217">
        <v>48</v>
      </c>
      <c r="BC217">
        <v>47</v>
      </c>
      <c r="BD217">
        <v>42</v>
      </c>
    </row>
    <row r="218" spans="1:56" x14ac:dyDescent="0.25">
      <c r="A218" t="s">
        <v>4380</v>
      </c>
      <c r="B218" t="s">
        <v>127</v>
      </c>
      <c r="C218" t="s">
        <v>93</v>
      </c>
      <c r="D218">
        <v>213</v>
      </c>
      <c r="E218">
        <v>50.039000000000001</v>
      </c>
      <c r="F218">
        <v>55</v>
      </c>
      <c r="G218">
        <v>67</v>
      </c>
      <c r="H218">
        <v>61</v>
      </c>
      <c r="I218">
        <v>62</v>
      </c>
      <c r="J218">
        <v>58</v>
      </c>
      <c r="K218">
        <v>55</v>
      </c>
      <c r="L218">
        <v>52</v>
      </c>
      <c r="M218">
        <v>44</v>
      </c>
      <c r="N218">
        <v>47</v>
      </c>
      <c r="O218">
        <v>50</v>
      </c>
      <c r="P218">
        <v>55</v>
      </c>
      <c r="Q218">
        <v>54</v>
      </c>
      <c r="R218">
        <v>49</v>
      </c>
      <c r="S218">
        <v>51</v>
      </c>
      <c r="T218">
        <v>46</v>
      </c>
      <c r="U218">
        <v>47</v>
      </c>
      <c r="V218">
        <v>52</v>
      </c>
      <c r="W218">
        <v>51</v>
      </c>
      <c r="X218">
        <v>51</v>
      </c>
      <c r="Y218">
        <v>53</v>
      </c>
      <c r="Z218">
        <v>50</v>
      </c>
      <c r="AA218">
        <v>50</v>
      </c>
      <c r="AB218">
        <v>51</v>
      </c>
      <c r="AC218">
        <v>49</v>
      </c>
      <c r="AD218">
        <v>50</v>
      </c>
      <c r="AE218">
        <v>50</v>
      </c>
      <c r="AF218">
        <v>48</v>
      </c>
      <c r="AG218">
        <v>52</v>
      </c>
      <c r="AH218">
        <v>52</v>
      </c>
      <c r="AI218">
        <v>51</v>
      </c>
      <c r="AJ218">
        <v>48</v>
      </c>
      <c r="AK218">
        <v>54</v>
      </c>
      <c r="AL218">
        <v>50</v>
      </c>
      <c r="AM218">
        <v>52</v>
      </c>
      <c r="AN218">
        <v>50</v>
      </c>
      <c r="AO218">
        <v>47</v>
      </c>
      <c r="AP218">
        <v>46</v>
      </c>
      <c r="AQ218">
        <v>46</v>
      </c>
      <c r="AR218">
        <v>39</v>
      </c>
      <c r="AS218">
        <v>44</v>
      </c>
      <c r="AT218">
        <v>48</v>
      </c>
      <c r="AU218">
        <v>49</v>
      </c>
      <c r="AV218">
        <v>47</v>
      </c>
      <c r="AW218">
        <v>46</v>
      </c>
      <c r="AX218">
        <v>47</v>
      </c>
      <c r="AY218">
        <v>44</v>
      </c>
      <c r="AZ218">
        <v>45</v>
      </c>
      <c r="BA218">
        <v>46</v>
      </c>
      <c r="BB218">
        <v>48</v>
      </c>
      <c r="BC218">
        <v>47</v>
      </c>
      <c r="BD218">
        <v>46</v>
      </c>
    </row>
    <row r="219" spans="1:56" x14ac:dyDescent="0.25">
      <c r="A219" t="s">
        <v>4381</v>
      </c>
      <c r="B219" t="s">
        <v>128</v>
      </c>
      <c r="C219" t="s">
        <v>93</v>
      </c>
      <c r="D219">
        <v>784</v>
      </c>
      <c r="E219">
        <v>47.451000000000001</v>
      </c>
      <c r="F219">
        <v>54</v>
      </c>
      <c r="G219">
        <v>61</v>
      </c>
      <c r="H219">
        <v>57</v>
      </c>
      <c r="I219">
        <v>58</v>
      </c>
      <c r="J219">
        <v>51</v>
      </c>
      <c r="K219">
        <v>53</v>
      </c>
      <c r="L219">
        <v>48</v>
      </c>
      <c r="M219">
        <v>48</v>
      </c>
      <c r="N219">
        <v>46</v>
      </c>
      <c r="O219">
        <v>47</v>
      </c>
      <c r="P219">
        <v>49</v>
      </c>
      <c r="Q219">
        <v>50</v>
      </c>
      <c r="R219">
        <v>47</v>
      </c>
      <c r="S219">
        <v>48</v>
      </c>
      <c r="T219">
        <v>45</v>
      </c>
      <c r="U219">
        <v>46</v>
      </c>
      <c r="V219">
        <v>45</v>
      </c>
      <c r="W219">
        <v>48</v>
      </c>
      <c r="X219">
        <v>46</v>
      </c>
      <c r="Y219">
        <v>49</v>
      </c>
      <c r="Z219">
        <v>50</v>
      </c>
      <c r="AA219">
        <v>50</v>
      </c>
      <c r="AB219">
        <v>50</v>
      </c>
      <c r="AC219">
        <v>50</v>
      </c>
      <c r="AD219">
        <v>50</v>
      </c>
      <c r="AE219">
        <v>50</v>
      </c>
      <c r="AF219">
        <v>47</v>
      </c>
      <c r="AG219">
        <v>48</v>
      </c>
      <c r="AH219">
        <v>51</v>
      </c>
      <c r="AI219">
        <v>49</v>
      </c>
      <c r="AJ219">
        <v>48</v>
      </c>
      <c r="AK219">
        <v>49</v>
      </c>
      <c r="AL219">
        <v>49</v>
      </c>
      <c r="AM219">
        <v>46</v>
      </c>
      <c r="AN219">
        <v>46</v>
      </c>
      <c r="AO219">
        <v>44</v>
      </c>
      <c r="AP219">
        <v>46</v>
      </c>
      <c r="AQ219">
        <v>41</v>
      </c>
      <c r="AR219">
        <v>43</v>
      </c>
      <c r="AS219">
        <v>41</v>
      </c>
      <c r="AT219">
        <v>39</v>
      </c>
      <c r="AU219">
        <v>42</v>
      </c>
      <c r="AV219">
        <v>43</v>
      </c>
      <c r="AW219">
        <v>42</v>
      </c>
      <c r="AX219">
        <v>45</v>
      </c>
      <c r="AY219">
        <v>41</v>
      </c>
      <c r="AZ219">
        <v>43</v>
      </c>
      <c r="BA219">
        <v>46</v>
      </c>
      <c r="BB219">
        <v>47</v>
      </c>
      <c r="BC219">
        <v>45</v>
      </c>
      <c r="BD219">
        <v>43</v>
      </c>
    </row>
    <row r="220" spans="1:56" x14ac:dyDescent="0.25">
      <c r="A220" t="s">
        <v>4382</v>
      </c>
      <c r="B220" t="s">
        <v>72</v>
      </c>
      <c r="C220" t="s">
        <v>93</v>
      </c>
      <c r="D220">
        <v>103</v>
      </c>
      <c r="E220">
        <v>48.960999999999999</v>
      </c>
      <c r="F220">
        <v>57</v>
      </c>
      <c r="G220">
        <v>64</v>
      </c>
      <c r="H220">
        <v>66</v>
      </c>
      <c r="I220">
        <v>61</v>
      </c>
      <c r="J220">
        <v>58</v>
      </c>
      <c r="K220">
        <v>60</v>
      </c>
      <c r="L220">
        <v>50</v>
      </c>
      <c r="M220">
        <v>41</v>
      </c>
      <c r="N220">
        <v>40</v>
      </c>
      <c r="O220">
        <v>47</v>
      </c>
      <c r="P220">
        <v>43</v>
      </c>
      <c r="Q220">
        <v>48</v>
      </c>
      <c r="R220">
        <v>45</v>
      </c>
      <c r="S220">
        <v>53</v>
      </c>
      <c r="T220">
        <v>50</v>
      </c>
      <c r="U220">
        <v>46</v>
      </c>
      <c r="V220">
        <v>52</v>
      </c>
      <c r="W220">
        <v>44</v>
      </c>
      <c r="X220">
        <v>56</v>
      </c>
      <c r="Y220">
        <v>50</v>
      </c>
      <c r="Z220">
        <v>49</v>
      </c>
      <c r="AA220">
        <v>48</v>
      </c>
      <c r="AB220">
        <v>51</v>
      </c>
      <c r="AC220">
        <v>48</v>
      </c>
      <c r="AD220">
        <v>44</v>
      </c>
      <c r="AE220">
        <v>44</v>
      </c>
      <c r="AF220">
        <v>44</v>
      </c>
      <c r="AG220">
        <v>50</v>
      </c>
      <c r="AH220">
        <v>42</v>
      </c>
      <c r="AI220">
        <v>45</v>
      </c>
      <c r="AJ220">
        <v>48</v>
      </c>
      <c r="AK220">
        <v>50</v>
      </c>
      <c r="AL220">
        <v>53</v>
      </c>
      <c r="AM220">
        <v>45</v>
      </c>
      <c r="AN220">
        <v>46</v>
      </c>
      <c r="AO220">
        <v>48</v>
      </c>
      <c r="AP220">
        <v>52</v>
      </c>
      <c r="AQ220">
        <v>50</v>
      </c>
      <c r="AR220">
        <v>46</v>
      </c>
      <c r="AS220">
        <v>43</v>
      </c>
      <c r="AT220">
        <v>48</v>
      </c>
      <c r="AU220">
        <v>47</v>
      </c>
      <c r="AV220">
        <v>50</v>
      </c>
      <c r="AW220">
        <v>42</v>
      </c>
      <c r="AX220">
        <v>52</v>
      </c>
      <c r="AY220">
        <v>44</v>
      </c>
      <c r="AZ220">
        <v>43</v>
      </c>
      <c r="BA220">
        <v>48</v>
      </c>
      <c r="BB220">
        <v>44</v>
      </c>
      <c r="BC220">
        <v>48</v>
      </c>
      <c r="BD220">
        <v>54</v>
      </c>
    </row>
    <row r="221" spans="1:56" x14ac:dyDescent="0.25">
      <c r="A221" t="s">
        <v>4383</v>
      </c>
      <c r="B221" t="s">
        <v>240</v>
      </c>
      <c r="C221" t="s">
        <v>93</v>
      </c>
      <c r="D221">
        <v>42</v>
      </c>
      <c r="E221">
        <v>42.411999999999999</v>
      </c>
      <c r="F221">
        <v>51</v>
      </c>
      <c r="G221">
        <v>69</v>
      </c>
      <c r="H221">
        <v>68</v>
      </c>
      <c r="I221">
        <v>64</v>
      </c>
      <c r="J221">
        <v>50</v>
      </c>
      <c r="K221">
        <v>57</v>
      </c>
      <c r="L221">
        <v>40</v>
      </c>
      <c r="M221">
        <v>53</v>
      </c>
      <c r="N221">
        <v>49</v>
      </c>
      <c r="O221">
        <v>53</v>
      </c>
      <c r="P221">
        <v>40</v>
      </c>
      <c r="Q221">
        <v>52</v>
      </c>
      <c r="R221">
        <v>50</v>
      </c>
      <c r="S221">
        <v>46</v>
      </c>
      <c r="T221">
        <v>45</v>
      </c>
      <c r="U221">
        <v>46</v>
      </c>
      <c r="V221">
        <v>38</v>
      </c>
      <c r="W221">
        <v>37</v>
      </c>
      <c r="X221">
        <v>34</v>
      </c>
      <c r="Y221">
        <v>41</v>
      </c>
      <c r="Z221">
        <v>36</v>
      </c>
      <c r="AA221">
        <v>37</v>
      </c>
      <c r="AB221">
        <v>36</v>
      </c>
      <c r="AC221">
        <v>33</v>
      </c>
      <c r="AD221">
        <v>35</v>
      </c>
      <c r="AE221">
        <v>48</v>
      </c>
      <c r="AF221">
        <v>51</v>
      </c>
      <c r="AG221">
        <v>36</v>
      </c>
      <c r="AH221">
        <v>27</v>
      </c>
      <c r="AI221">
        <v>33</v>
      </c>
      <c r="AJ221">
        <v>28</v>
      </c>
      <c r="AK221">
        <v>44</v>
      </c>
      <c r="AL221">
        <v>40</v>
      </c>
      <c r="AM221">
        <v>31</v>
      </c>
      <c r="AN221">
        <v>53</v>
      </c>
      <c r="AO221">
        <v>34</v>
      </c>
      <c r="AP221">
        <v>41</v>
      </c>
      <c r="AQ221">
        <v>39</v>
      </c>
      <c r="AR221">
        <v>48</v>
      </c>
      <c r="AS221">
        <v>31</v>
      </c>
      <c r="AT221">
        <v>35</v>
      </c>
      <c r="AU221">
        <v>30</v>
      </c>
      <c r="AV221">
        <v>42</v>
      </c>
      <c r="AW221">
        <v>35</v>
      </c>
      <c r="AX221">
        <v>41</v>
      </c>
      <c r="AY221">
        <v>40</v>
      </c>
      <c r="AZ221">
        <v>40</v>
      </c>
      <c r="BA221">
        <v>35</v>
      </c>
      <c r="BB221">
        <v>41</v>
      </c>
      <c r="BC221">
        <v>44</v>
      </c>
      <c r="BD221">
        <v>36</v>
      </c>
    </row>
    <row r="222" spans="1:56" x14ac:dyDescent="0.25">
      <c r="A222" t="s">
        <v>4384</v>
      </c>
      <c r="B222" t="s">
        <v>129</v>
      </c>
      <c r="C222" t="s">
        <v>93</v>
      </c>
      <c r="D222">
        <v>74</v>
      </c>
      <c r="E222">
        <v>50.137</v>
      </c>
      <c r="F222">
        <v>47</v>
      </c>
      <c r="G222">
        <v>52</v>
      </c>
      <c r="H222">
        <v>52</v>
      </c>
      <c r="I222">
        <v>51</v>
      </c>
      <c r="J222">
        <v>54</v>
      </c>
      <c r="K222">
        <v>54</v>
      </c>
      <c r="L222">
        <v>47</v>
      </c>
      <c r="M222">
        <v>57</v>
      </c>
      <c r="N222">
        <v>49</v>
      </c>
      <c r="O222">
        <v>55</v>
      </c>
      <c r="P222">
        <v>50</v>
      </c>
      <c r="Q222">
        <v>42</v>
      </c>
      <c r="R222">
        <v>56</v>
      </c>
      <c r="S222">
        <v>50</v>
      </c>
      <c r="T222">
        <v>58</v>
      </c>
      <c r="U222">
        <v>62</v>
      </c>
      <c r="V222">
        <v>50</v>
      </c>
      <c r="W222">
        <v>59</v>
      </c>
      <c r="X222">
        <v>55</v>
      </c>
      <c r="Y222">
        <v>58</v>
      </c>
      <c r="Z222">
        <v>48</v>
      </c>
      <c r="AA222">
        <v>59</v>
      </c>
      <c r="AB222">
        <v>51</v>
      </c>
      <c r="AC222">
        <v>53</v>
      </c>
      <c r="AD222">
        <v>51</v>
      </c>
      <c r="AE222">
        <v>47</v>
      </c>
      <c r="AF222">
        <v>44</v>
      </c>
      <c r="AG222">
        <v>49</v>
      </c>
      <c r="AH222">
        <v>55</v>
      </c>
      <c r="AI222">
        <v>48</v>
      </c>
      <c r="AJ222">
        <v>60</v>
      </c>
      <c r="AK222">
        <v>49</v>
      </c>
      <c r="AL222">
        <v>52</v>
      </c>
      <c r="AM222">
        <v>52</v>
      </c>
      <c r="AN222">
        <v>56</v>
      </c>
      <c r="AO222">
        <v>44</v>
      </c>
      <c r="AP222">
        <v>45</v>
      </c>
      <c r="AQ222">
        <v>42</v>
      </c>
      <c r="AR222">
        <v>43</v>
      </c>
      <c r="AS222">
        <v>47</v>
      </c>
      <c r="AT222">
        <v>43</v>
      </c>
      <c r="AU222">
        <v>42</v>
      </c>
      <c r="AV222">
        <v>45</v>
      </c>
      <c r="AW222">
        <v>49</v>
      </c>
      <c r="AX222">
        <v>40</v>
      </c>
      <c r="AY222">
        <v>51</v>
      </c>
      <c r="AZ222">
        <v>43</v>
      </c>
      <c r="BA222">
        <v>47</v>
      </c>
      <c r="BB222">
        <v>58</v>
      </c>
      <c r="BC222">
        <v>49</v>
      </c>
      <c r="BD222">
        <v>37</v>
      </c>
    </row>
    <row r="223" spans="1:56" x14ac:dyDescent="0.25">
      <c r="A223" t="s">
        <v>4385</v>
      </c>
      <c r="B223" t="s">
        <v>241</v>
      </c>
      <c r="C223" t="s">
        <v>93</v>
      </c>
      <c r="D223">
        <v>137</v>
      </c>
      <c r="E223">
        <v>41.706000000000003</v>
      </c>
      <c r="F223">
        <v>54</v>
      </c>
      <c r="G223">
        <v>55</v>
      </c>
      <c r="H223">
        <v>52</v>
      </c>
      <c r="I223">
        <v>50</v>
      </c>
      <c r="J223">
        <v>51</v>
      </c>
      <c r="K223">
        <v>47</v>
      </c>
      <c r="L223">
        <v>51</v>
      </c>
      <c r="M223">
        <v>44</v>
      </c>
      <c r="N223">
        <v>40</v>
      </c>
      <c r="O223">
        <v>43</v>
      </c>
      <c r="P223">
        <v>42</v>
      </c>
      <c r="Q223">
        <v>43</v>
      </c>
      <c r="R223">
        <v>37</v>
      </c>
      <c r="S223">
        <v>49</v>
      </c>
      <c r="T223">
        <v>41</v>
      </c>
      <c r="U223">
        <v>41</v>
      </c>
      <c r="V223">
        <v>41</v>
      </c>
      <c r="W223">
        <v>41</v>
      </c>
      <c r="X223">
        <v>45</v>
      </c>
      <c r="Y223">
        <v>42</v>
      </c>
      <c r="Z223">
        <v>44</v>
      </c>
      <c r="AA223">
        <v>40</v>
      </c>
      <c r="AB223">
        <v>49</v>
      </c>
      <c r="AC223">
        <v>44</v>
      </c>
      <c r="AD223">
        <v>40</v>
      </c>
      <c r="AE223">
        <v>42</v>
      </c>
      <c r="AF223">
        <v>41</v>
      </c>
      <c r="AG223">
        <v>38</v>
      </c>
      <c r="AH223">
        <v>43</v>
      </c>
      <c r="AI223">
        <v>34</v>
      </c>
      <c r="AJ223">
        <v>37</v>
      </c>
      <c r="AK223">
        <v>39</v>
      </c>
      <c r="AL223">
        <v>34</v>
      </c>
      <c r="AM223">
        <v>36</v>
      </c>
      <c r="AN223">
        <v>32</v>
      </c>
      <c r="AO223">
        <v>36</v>
      </c>
      <c r="AP223">
        <v>34</v>
      </c>
      <c r="AQ223">
        <v>38</v>
      </c>
      <c r="AR223">
        <v>44</v>
      </c>
      <c r="AS223">
        <v>35</v>
      </c>
      <c r="AT223">
        <v>37</v>
      </c>
      <c r="AU223">
        <v>41</v>
      </c>
      <c r="AV223">
        <v>36</v>
      </c>
      <c r="AW223">
        <v>42</v>
      </c>
      <c r="AX223">
        <v>45</v>
      </c>
      <c r="AY223">
        <v>38</v>
      </c>
      <c r="AZ223">
        <v>37</v>
      </c>
      <c r="BA223">
        <v>40</v>
      </c>
      <c r="BB223">
        <v>37</v>
      </c>
      <c r="BC223">
        <v>43</v>
      </c>
      <c r="BD223">
        <v>42</v>
      </c>
    </row>
    <row r="224" spans="1:56" x14ac:dyDescent="0.25">
      <c r="A224" t="s">
        <v>4386</v>
      </c>
      <c r="B224" t="s">
        <v>242</v>
      </c>
      <c r="C224" t="s">
        <v>93</v>
      </c>
      <c r="D224">
        <v>65</v>
      </c>
      <c r="E224">
        <v>28.686</v>
      </c>
      <c r="F224">
        <v>26</v>
      </c>
      <c r="G224">
        <v>51</v>
      </c>
      <c r="H224">
        <v>32</v>
      </c>
      <c r="I224">
        <v>33</v>
      </c>
      <c r="J224">
        <v>29</v>
      </c>
      <c r="K224">
        <v>37</v>
      </c>
      <c r="L224">
        <v>33</v>
      </c>
      <c r="M224">
        <v>29</v>
      </c>
      <c r="N224">
        <v>18</v>
      </c>
      <c r="O224">
        <v>25</v>
      </c>
      <c r="P224">
        <v>29</v>
      </c>
      <c r="Q224">
        <v>32</v>
      </c>
      <c r="R224">
        <v>39</v>
      </c>
      <c r="S224">
        <v>23</v>
      </c>
      <c r="T224">
        <v>28</v>
      </c>
      <c r="U224">
        <v>22</v>
      </c>
      <c r="V224">
        <v>18</v>
      </c>
      <c r="W224">
        <v>22</v>
      </c>
      <c r="X224">
        <v>30</v>
      </c>
      <c r="Y224">
        <v>22</v>
      </c>
      <c r="Z224">
        <v>24</v>
      </c>
      <c r="AA224">
        <v>27</v>
      </c>
      <c r="AB224">
        <v>23</v>
      </c>
      <c r="AC224">
        <v>28</v>
      </c>
      <c r="AD224">
        <v>23</v>
      </c>
      <c r="AE224">
        <v>26</v>
      </c>
      <c r="AF224">
        <v>26</v>
      </c>
      <c r="AG224">
        <v>24</v>
      </c>
      <c r="AH224">
        <v>32</v>
      </c>
      <c r="AI224">
        <v>32</v>
      </c>
      <c r="AJ224">
        <v>24</v>
      </c>
      <c r="AK224">
        <v>35</v>
      </c>
      <c r="AL224">
        <v>45</v>
      </c>
      <c r="AM224">
        <v>25</v>
      </c>
      <c r="AN224">
        <v>35</v>
      </c>
      <c r="AO224">
        <v>24</v>
      </c>
      <c r="AP224">
        <v>20</v>
      </c>
      <c r="AQ224">
        <v>21</v>
      </c>
      <c r="AR224">
        <v>31</v>
      </c>
      <c r="AS224">
        <v>30</v>
      </c>
      <c r="AT224">
        <v>24</v>
      </c>
      <c r="AU224">
        <v>18</v>
      </c>
      <c r="AV224">
        <v>39</v>
      </c>
      <c r="AW224">
        <v>31</v>
      </c>
      <c r="AX224">
        <v>34</v>
      </c>
      <c r="AY224">
        <v>29</v>
      </c>
      <c r="AZ224">
        <v>32</v>
      </c>
      <c r="BA224">
        <v>26</v>
      </c>
      <c r="BB224">
        <v>30</v>
      </c>
      <c r="BC224">
        <v>33</v>
      </c>
      <c r="BD224">
        <v>34</v>
      </c>
    </row>
    <row r="225" spans="1:56" x14ac:dyDescent="0.25">
      <c r="A225" t="s">
        <v>4387</v>
      </c>
      <c r="B225" t="s">
        <v>132</v>
      </c>
      <c r="C225" t="s">
        <v>93</v>
      </c>
      <c r="D225">
        <v>124</v>
      </c>
      <c r="E225">
        <v>20.803999999999998</v>
      </c>
      <c r="F225">
        <v>34</v>
      </c>
      <c r="G225">
        <v>41</v>
      </c>
      <c r="H225">
        <v>43</v>
      </c>
      <c r="I225">
        <v>36</v>
      </c>
      <c r="J225">
        <v>26</v>
      </c>
      <c r="K225">
        <v>16</v>
      </c>
      <c r="L225">
        <v>20</v>
      </c>
      <c r="M225">
        <v>24</v>
      </c>
      <c r="N225">
        <v>19</v>
      </c>
      <c r="O225">
        <v>26</v>
      </c>
      <c r="P225">
        <v>23</v>
      </c>
      <c r="Q225">
        <v>23</v>
      </c>
      <c r="R225">
        <v>22</v>
      </c>
      <c r="S225">
        <v>24</v>
      </c>
      <c r="T225">
        <v>17</v>
      </c>
      <c r="U225">
        <v>23</v>
      </c>
      <c r="V225">
        <v>15</v>
      </c>
      <c r="W225">
        <v>19</v>
      </c>
      <c r="X225">
        <v>22</v>
      </c>
      <c r="Y225">
        <v>21</v>
      </c>
      <c r="Z225">
        <v>21</v>
      </c>
      <c r="AA225">
        <v>26</v>
      </c>
      <c r="AB225">
        <v>21</v>
      </c>
      <c r="AC225">
        <v>18</v>
      </c>
      <c r="AD225">
        <v>26</v>
      </c>
      <c r="AE225">
        <v>31</v>
      </c>
      <c r="AF225">
        <v>27</v>
      </c>
      <c r="AG225">
        <v>16</v>
      </c>
      <c r="AH225">
        <v>28</v>
      </c>
      <c r="AI225">
        <v>21</v>
      </c>
      <c r="AJ225">
        <v>23</v>
      </c>
      <c r="AK225">
        <v>21</v>
      </c>
      <c r="AL225">
        <v>20</v>
      </c>
      <c r="AM225">
        <v>15</v>
      </c>
      <c r="AN225">
        <v>14</v>
      </c>
      <c r="AO225">
        <v>20</v>
      </c>
      <c r="AP225">
        <v>11</v>
      </c>
      <c r="AQ225">
        <v>15</v>
      </c>
      <c r="AR225">
        <v>21</v>
      </c>
      <c r="AS225">
        <v>15</v>
      </c>
      <c r="AT225">
        <v>18</v>
      </c>
      <c r="AU225">
        <v>16</v>
      </c>
      <c r="AV225">
        <v>10</v>
      </c>
      <c r="AW225">
        <v>11</v>
      </c>
      <c r="AX225">
        <v>12</v>
      </c>
      <c r="AY225">
        <v>17</v>
      </c>
      <c r="AZ225">
        <v>13</v>
      </c>
      <c r="BA225">
        <v>21</v>
      </c>
      <c r="BB225">
        <v>12</v>
      </c>
      <c r="BC225">
        <v>14</v>
      </c>
      <c r="BD225">
        <v>13</v>
      </c>
    </row>
    <row r="226" spans="1:56" x14ac:dyDescent="0.25">
      <c r="A226" t="s">
        <v>4388</v>
      </c>
      <c r="B226" t="s">
        <v>243</v>
      </c>
      <c r="C226" t="s">
        <v>93</v>
      </c>
      <c r="D226">
        <v>184</v>
      </c>
      <c r="E226">
        <v>19.314</v>
      </c>
      <c r="F226">
        <v>20</v>
      </c>
      <c r="G226">
        <v>35</v>
      </c>
      <c r="H226">
        <v>24</v>
      </c>
      <c r="I226">
        <v>31</v>
      </c>
      <c r="J226">
        <v>30</v>
      </c>
      <c r="K226">
        <v>26</v>
      </c>
      <c r="L226">
        <v>26</v>
      </c>
      <c r="M226">
        <v>18</v>
      </c>
      <c r="N226">
        <v>24</v>
      </c>
      <c r="O226">
        <v>17</v>
      </c>
      <c r="P226">
        <v>20</v>
      </c>
      <c r="Q226">
        <v>18</v>
      </c>
      <c r="R226">
        <v>22</v>
      </c>
      <c r="S226">
        <v>25</v>
      </c>
      <c r="T226">
        <v>25</v>
      </c>
      <c r="U226">
        <v>22</v>
      </c>
      <c r="V226">
        <v>23</v>
      </c>
      <c r="W226">
        <v>19</v>
      </c>
      <c r="X226">
        <v>18</v>
      </c>
      <c r="Y226">
        <v>14</v>
      </c>
      <c r="Z226">
        <v>21</v>
      </c>
      <c r="AA226">
        <v>18</v>
      </c>
      <c r="AB226">
        <v>22</v>
      </c>
      <c r="AC226">
        <v>16</v>
      </c>
      <c r="AD226">
        <v>16</v>
      </c>
      <c r="AE226">
        <v>17</v>
      </c>
      <c r="AF226">
        <v>16</v>
      </c>
      <c r="AG226">
        <v>17</v>
      </c>
      <c r="AH226">
        <v>19</v>
      </c>
      <c r="AI226">
        <v>15</v>
      </c>
      <c r="AJ226">
        <v>18</v>
      </c>
      <c r="AK226">
        <v>17</v>
      </c>
      <c r="AL226">
        <v>17</v>
      </c>
      <c r="AM226">
        <v>20</v>
      </c>
      <c r="AN226">
        <v>18</v>
      </c>
      <c r="AO226">
        <v>16</v>
      </c>
      <c r="AP226">
        <v>22</v>
      </c>
      <c r="AQ226">
        <v>14</v>
      </c>
      <c r="AR226">
        <v>15</v>
      </c>
      <c r="AS226">
        <v>21</v>
      </c>
      <c r="AT226">
        <v>19</v>
      </c>
      <c r="AU226">
        <v>11</v>
      </c>
      <c r="AV226">
        <v>13</v>
      </c>
      <c r="AW226">
        <v>14</v>
      </c>
      <c r="AX226">
        <v>18</v>
      </c>
      <c r="AY226">
        <v>16</v>
      </c>
      <c r="AZ226">
        <v>15</v>
      </c>
      <c r="BA226">
        <v>17</v>
      </c>
      <c r="BB226">
        <v>18</v>
      </c>
      <c r="BC226">
        <v>17</v>
      </c>
      <c r="BD226">
        <v>15</v>
      </c>
    </row>
    <row r="227" spans="1:56" x14ac:dyDescent="0.25">
      <c r="A227" t="s">
        <v>4389</v>
      </c>
      <c r="B227" t="s">
        <v>37</v>
      </c>
      <c r="C227" t="s">
        <v>93</v>
      </c>
      <c r="D227">
        <v>1152</v>
      </c>
      <c r="E227">
        <v>24.49</v>
      </c>
      <c r="F227">
        <v>24</v>
      </c>
      <c r="G227">
        <v>31</v>
      </c>
      <c r="H227">
        <v>30</v>
      </c>
      <c r="I227">
        <v>28</v>
      </c>
      <c r="J227">
        <v>28</v>
      </c>
      <c r="K227">
        <v>25</v>
      </c>
      <c r="L227">
        <v>27</v>
      </c>
      <c r="M227">
        <v>25</v>
      </c>
      <c r="N227">
        <v>23</v>
      </c>
      <c r="O227">
        <v>23</v>
      </c>
      <c r="P227">
        <v>25</v>
      </c>
      <c r="Q227">
        <v>25</v>
      </c>
      <c r="R227">
        <v>25</v>
      </c>
      <c r="S227">
        <v>25</v>
      </c>
      <c r="T227">
        <v>25</v>
      </c>
      <c r="U227">
        <v>23</v>
      </c>
      <c r="V227">
        <v>22</v>
      </c>
      <c r="W227">
        <v>20</v>
      </c>
      <c r="X227">
        <v>23</v>
      </c>
      <c r="Y227">
        <v>22</v>
      </c>
      <c r="Z227">
        <v>22</v>
      </c>
      <c r="AA227">
        <v>24</v>
      </c>
      <c r="AB227">
        <v>27</v>
      </c>
      <c r="AC227">
        <v>23</v>
      </c>
      <c r="AD227">
        <v>26</v>
      </c>
      <c r="AE227">
        <v>26</v>
      </c>
      <c r="AF227">
        <v>27</v>
      </c>
      <c r="AG227">
        <v>27</v>
      </c>
      <c r="AH227">
        <v>27</v>
      </c>
      <c r="AI227">
        <v>25</v>
      </c>
      <c r="AJ227">
        <v>25</v>
      </c>
      <c r="AK227">
        <v>26</v>
      </c>
      <c r="AL227">
        <v>25</v>
      </c>
      <c r="AM227">
        <v>25</v>
      </c>
      <c r="AN227">
        <v>24</v>
      </c>
      <c r="AO227">
        <v>23</v>
      </c>
      <c r="AP227">
        <v>22</v>
      </c>
      <c r="AQ227">
        <v>23</v>
      </c>
      <c r="AR227">
        <v>25</v>
      </c>
      <c r="AS227">
        <v>24</v>
      </c>
      <c r="AT227">
        <v>21</v>
      </c>
      <c r="AU227">
        <v>23</v>
      </c>
      <c r="AV227">
        <v>23</v>
      </c>
      <c r="AW227">
        <v>23</v>
      </c>
      <c r="AX227">
        <v>23</v>
      </c>
      <c r="AY227">
        <v>22</v>
      </c>
      <c r="AZ227">
        <v>22</v>
      </c>
      <c r="BA227">
        <v>24</v>
      </c>
      <c r="BB227">
        <v>24</v>
      </c>
      <c r="BC227">
        <v>24</v>
      </c>
      <c r="BD227">
        <v>25</v>
      </c>
    </row>
    <row r="228" spans="1:56" x14ac:dyDescent="0.25">
      <c r="A228" t="s">
        <v>4390</v>
      </c>
      <c r="B228" t="s">
        <v>134</v>
      </c>
      <c r="C228" t="s">
        <v>93</v>
      </c>
      <c r="D228">
        <v>373</v>
      </c>
      <c r="E228">
        <v>25.314</v>
      </c>
      <c r="F228">
        <v>25</v>
      </c>
      <c r="G228">
        <v>35</v>
      </c>
      <c r="H228">
        <v>32</v>
      </c>
      <c r="I228">
        <v>31</v>
      </c>
      <c r="J228">
        <v>29</v>
      </c>
      <c r="K228">
        <v>25</v>
      </c>
      <c r="L228">
        <v>30</v>
      </c>
      <c r="M228">
        <v>27</v>
      </c>
      <c r="N228">
        <v>23</v>
      </c>
      <c r="O228">
        <v>22</v>
      </c>
      <c r="P228">
        <v>24</v>
      </c>
      <c r="Q228">
        <v>26</v>
      </c>
      <c r="R228">
        <v>27</v>
      </c>
      <c r="S228">
        <v>27</v>
      </c>
      <c r="T228">
        <v>27</v>
      </c>
      <c r="U228">
        <v>22</v>
      </c>
      <c r="V228">
        <v>22</v>
      </c>
      <c r="W228">
        <v>19</v>
      </c>
      <c r="X228">
        <v>22</v>
      </c>
      <c r="Y228">
        <v>23</v>
      </c>
      <c r="Z228">
        <v>20</v>
      </c>
      <c r="AA228">
        <v>24</v>
      </c>
      <c r="AB228">
        <v>28</v>
      </c>
      <c r="AC228">
        <v>24</v>
      </c>
      <c r="AD228">
        <v>27</v>
      </c>
      <c r="AE228">
        <v>27</v>
      </c>
      <c r="AF228">
        <v>28</v>
      </c>
      <c r="AG228">
        <v>26</v>
      </c>
      <c r="AH228">
        <v>28</v>
      </c>
      <c r="AI228">
        <v>27</v>
      </c>
      <c r="AJ228">
        <v>28</v>
      </c>
      <c r="AK228">
        <v>27</v>
      </c>
      <c r="AL228">
        <v>25</v>
      </c>
      <c r="AM228">
        <v>29</v>
      </c>
      <c r="AN228">
        <v>25</v>
      </c>
      <c r="AO228">
        <v>25</v>
      </c>
      <c r="AP228">
        <v>22</v>
      </c>
      <c r="AQ228">
        <v>24</v>
      </c>
      <c r="AR228">
        <v>28</v>
      </c>
      <c r="AS228">
        <v>27</v>
      </c>
      <c r="AT228">
        <v>20</v>
      </c>
      <c r="AU228">
        <v>24</v>
      </c>
      <c r="AV228">
        <v>24</v>
      </c>
      <c r="AW228">
        <v>23</v>
      </c>
      <c r="AX228">
        <v>22</v>
      </c>
      <c r="AY228">
        <v>22</v>
      </c>
      <c r="AZ228">
        <v>22</v>
      </c>
      <c r="BA228">
        <v>25</v>
      </c>
      <c r="BB228">
        <v>24</v>
      </c>
      <c r="BC228">
        <v>22</v>
      </c>
      <c r="BD228">
        <v>26</v>
      </c>
    </row>
    <row r="229" spans="1:56" x14ac:dyDescent="0.25">
      <c r="A229" t="s">
        <v>4391</v>
      </c>
      <c r="B229" t="s">
        <v>135</v>
      </c>
      <c r="C229" t="s">
        <v>93</v>
      </c>
      <c r="D229">
        <v>159</v>
      </c>
      <c r="E229">
        <v>23.568999999999999</v>
      </c>
      <c r="F229">
        <v>20</v>
      </c>
      <c r="G229">
        <v>22</v>
      </c>
      <c r="H229">
        <v>31</v>
      </c>
      <c r="I229">
        <v>26</v>
      </c>
      <c r="J229">
        <v>22</v>
      </c>
      <c r="K229">
        <v>29</v>
      </c>
      <c r="L229">
        <v>20</v>
      </c>
      <c r="M229">
        <v>19</v>
      </c>
      <c r="N229">
        <v>24</v>
      </c>
      <c r="O229">
        <v>29</v>
      </c>
      <c r="P229">
        <v>34</v>
      </c>
      <c r="Q229">
        <v>26</v>
      </c>
      <c r="R229">
        <v>25</v>
      </c>
      <c r="S229">
        <v>23</v>
      </c>
      <c r="T229">
        <v>25</v>
      </c>
      <c r="U229">
        <v>28</v>
      </c>
      <c r="V229">
        <v>22</v>
      </c>
      <c r="W229">
        <v>23</v>
      </c>
      <c r="X229">
        <v>27</v>
      </c>
      <c r="Y229">
        <v>23</v>
      </c>
      <c r="Z229">
        <v>30</v>
      </c>
      <c r="AA229">
        <v>28</v>
      </c>
      <c r="AB229">
        <v>32</v>
      </c>
      <c r="AC229">
        <v>23</v>
      </c>
      <c r="AD229">
        <v>26</v>
      </c>
      <c r="AE229">
        <v>26</v>
      </c>
      <c r="AF229">
        <v>26</v>
      </c>
      <c r="AG229">
        <v>26</v>
      </c>
      <c r="AH229">
        <v>28</v>
      </c>
      <c r="AI229">
        <v>25</v>
      </c>
      <c r="AJ229">
        <v>25</v>
      </c>
      <c r="AK229">
        <v>23</v>
      </c>
      <c r="AL229">
        <v>22</v>
      </c>
      <c r="AM229">
        <v>12</v>
      </c>
      <c r="AN229">
        <v>18</v>
      </c>
      <c r="AO229">
        <v>19</v>
      </c>
      <c r="AP229">
        <v>22</v>
      </c>
      <c r="AQ229">
        <v>23</v>
      </c>
      <c r="AR229">
        <v>25</v>
      </c>
      <c r="AS229">
        <v>19</v>
      </c>
      <c r="AT229">
        <v>20</v>
      </c>
      <c r="AU229">
        <v>18</v>
      </c>
      <c r="AV229">
        <v>19</v>
      </c>
      <c r="AW229">
        <v>22</v>
      </c>
      <c r="AX229">
        <v>23</v>
      </c>
      <c r="AY229">
        <v>19</v>
      </c>
      <c r="AZ229">
        <v>26</v>
      </c>
      <c r="BA229">
        <v>20</v>
      </c>
      <c r="BB229">
        <v>23</v>
      </c>
      <c r="BC229">
        <v>21</v>
      </c>
      <c r="BD229">
        <v>15</v>
      </c>
    </row>
    <row r="230" spans="1:56" x14ac:dyDescent="0.25">
      <c r="A230" t="s">
        <v>4392</v>
      </c>
      <c r="B230" t="s">
        <v>136</v>
      </c>
      <c r="C230" t="s">
        <v>93</v>
      </c>
      <c r="D230">
        <v>436</v>
      </c>
      <c r="E230">
        <v>24.294</v>
      </c>
      <c r="F230">
        <v>24</v>
      </c>
      <c r="G230">
        <v>31</v>
      </c>
      <c r="H230">
        <v>28</v>
      </c>
      <c r="I230">
        <v>24</v>
      </c>
      <c r="J230">
        <v>27</v>
      </c>
      <c r="K230">
        <v>24</v>
      </c>
      <c r="L230">
        <v>26</v>
      </c>
      <c r="M230">
        <v>25</v>
      </c>
      <c r="N230">
        <v>25</v>
      </c>
      <c r="O230">
        <v>22</v>
      </c>
      <c r="P230">
        <v>23</v>
      </c>
      <c r="Q230">
        <v>24</v>
      </c>
      <c r="R230">
        <v>23</v>
      </c>
      <c r="S230">
        <v>26</v>
      </c>
      <c r="T230">
        <v>23</v>
      </c>
      <c r="U230">
        <v>24</v>
      </c>
      <c r="V230">
        <v>24</v>
      </c>
      <c r="W230">
        <v>21</v>
      </c>
      <c r="X230">
        <v>23</v>
      </c>
      <c r="Y230">
        <v>20</v>
      </c>
      <c r="Z230">
        <v>21</v>
      </c>
      <c r="AA230">
        <v>23</v>
      </c>
      <c r="AB230">
        <v>26</v>
      </c>
      <c r="AC230">
        <v>24</v>
      </c>
      <c r="AD230">
        <v>25</v>
      </c>
      <c r="AE230">
        <v>25</v>
      </c>
      <c r="AF230">
        <v>25</v>
      </c>
      <c r="AG230">
        <v>29</v>
      </c>
      <c r="AH230">
        <v>24</v>
      </c>
      <c r="AI230">
        <v>23</v>
      </c>
      <c r="AJ230">
        <v>23</v>
      </c>
      <c r="AK230">
        <v>26</v>
      </c>
      <c r="AL230">
        <v>28</v>
      </c>
      <c r="AM230">
        <v>27</v>
      </c>
      <c r="AN230">
        <v>24</v>
      </c>
      <c r="AO230">
        <v>24</v>
      </c>
      <c r="AP230">
        <v>24</v>
      </c>
      <c r="AQ230">
        <v>24</v>
      </c>
      <c r="AR230">
        <v>22</v>
      </c>
      <c r="AS230">
        <v>22</v>
      </c>
      <c r="AT230">
        <v>22</v>
      </c>
      <c r="AU230">
        <v>24</v>
      </c>
      <c r="AV230">
        <v>23</v>
      </c>
      <c r="AW230">
        <v>25</v>
      </c>
      <c r="AX230">
        <v>25</v>
      </c>
      <c r="AY230">
        <v>22</v>
      </c>
      <c r="AZ230">
        <v>23</v>
      </c>
      <c r="BA230">
        <v>23</v>
      </c>
      <c r="BB230">
        <v>25</v>
      </c>
      <c r="BC230">
        <v>25</v>
      </c>
      <c r="BD230">
        <v>26</v>
      </c>
    </row>
    <row r="231" spans="1:56" x14ac:dyDescent="0.25">
      <c r="A231" t="s">
        <v>4393</v>
      </c>
      <c r="B231" t="s">
        <v>38</v>
      </c>
      <c r="C231" t="s">
        <v>93</v>
      </c>
      <c r="D231">
        <v>3546</v>
      </c>
      <c r="E231">
        <v>30.254999999999999</v>
      </c>
      <c r="F231">
        <v>30</v>
      </c>
      <c r="G231">
        <v>42</v>
      </c>
      <c r="H231">
        <v>36</v>
      </c>
      <c r="I231">
        <v>33</v>
      </c>
      <c r="J231">
        <v>31</v>
      </c>
      <c r="K231">
        <v>33</v>
      </c>
      <c r="L231">
        <v>31</v>
      </c>
      <c r="M231">
        <v>29</v>
      </c>
      <c r="N231">
        <v>26</v>
      </c>
      <c r="O231">
        <v>28</v>
      </c>
      <c r="P231">
        <v>30</v>
      </c>
      <c r="Q231">
        <v>29</v>
      </c>
      <c r="R231">
        <v>30</v>
      </c>
      <c r="S231">
        <v>30</v>
      </c>
      <c r="T231">
        <v>28</v>
      </c>
      <c r="U231">
        <v>28</v>
      </c>
      <c r="V231">
        <v>28</v>
      </c>
      <c r="W231">
        <v>28</v>
      </c>
      <c r="X231">
        <v>29</v>
      </c>
      <c r="Y231">
        <v>28</v>
      </c>
      <c r="Z231">
        <v>29</v>
      </c>
      <c r="AA231">
        <v>27</v>
      </c>
      <c r="AB231">
        <v>29</v>
      </c>
      <c r="AC231">
        <v>28</v>
      </c>
      <c r="AD231">
        <v>27</v>
      </c>
      <c r="AE231">
        <v>28</v>
      </c>
      <c r="AF231">
        <v>28</v>
      </c>
      <c r="AG231">
        <v>29</v>
      </c>
      <c r="AH231">
        <v>29</v>
      </c>
      <c r="AI231">
        <v>29</v>
      </c>
      <c r="AJ231">
        <v>28</v>
      </c>
      <c r="AK231">
        <v>29</v>
      </c>
      <c r="AL231">
        <v>30</v>
      </c>
      <c r="AM231">
        <v>31</v>
      </c>
      <c r="AN231">
        <v>30</v>
      </c>
      <c r="AO231">
        <v>28</v>
      </c>
      <c r="AP231">
        <v>28</v>
      </c>
      <c r="AQ231">
        <v>29</v>
      </c>
      <c r="AR231">
        <v>31</v>
      </c>
      <c r="AS231">
        <v>31</v>
      </c>
      <c r="AT231">
        <v>28</v>
      </c>
      <c r="AU231">
        <v>31</v>
      </c>
      <c r="AV231">
        <v>31</v>
      </c>
      <c r="AW231">
        <v>31</v>
      </c>
      <c r="AX231">
        <v>31</v>
      </c>
      <c r="AY231">
        <v>34</v>
      </c>
      <c r="AZ231">
        <v>33</v>
      </c>
      <c r="BA231">
        <v>34</v>
      </c>
      <c r="BB231">
        <v>35</v>
      </c>
      <c r="BC231">
        <v>35</v>
      </c>
      <c r="BD231">
        <v>35</v>
      </c>
    </row>
    <row r="232" spans="1:56" x14ac:dyDescent="0.25">
      <c r="A232" t="s">
        <v>4394</v>
      </c>
      <c r="B232" t="s">
        <v>137</v>
      </c>
      <c r="C232" t="s">
        <v>93</v>
      </c>
      <c r="D232">
        <v>1740</v>
      </c>
      <c r="E232">
        <v>33.137</v>
      </c>
      <c r="F232">
        <v>31</v>
      </c>
      <c r="G232">
        <v>43</v>
      </c>
      <c r="H232">
        <v>41</v>
      </c>
      <c r="I232">
        <v>36</v>
      </c>
      <c r="J232">
        <v>33</v>
      </c>
      <c r="K232">
        <v>36</v>
      </c>
      <c r="L232">
        <v>34</v>
      </c>
      <c r="M232">
        <v>31</v>
      </c>
      <c r="N232">
        <v>29</v>
      </c>
      <c r="O232">
        <v>31</v>
      </c>
      <c r="P232">
        <v>34</v>
      </c>
      <c r="Q232">
        <v>32</v>
      </c>
      <c r="R232">
        <v>33</v>
      </c>
      <c r="S232">
        <v>32</v>
      </c>
      <c r="T232">
        <v>29</v>
      </c>
      <c r="U232">
        <v>31</v>
      </c>
      <c r="V232">
        <v>30</v>
      </c>
      <c r="W232">
        <v>30</v>
      </c>
      <c r="X232">
        <v>32</v>
      </c>
      <c r="Y232">
        <v>32</v>
      </c>
      <c r="Z232">
        <v>33</v>
      </c>
      <c r="AA232">
        <v>32</v>
      </c>
      <c r="AB232">
        <v>32</v>
      </c>
      <c r="AC232">
        <v>31</v>
      </c>
      <c r="AD232">
        <v>31</v>
      </c>
      <c r="AE232">
        <v>32</v>
      </c>
      <c r="AF232">
        <v>32</v>
      </c>
      <c r="AG232">
        <v>32</v>
      </c>
      <c r="AH232">
        <v>31</v>
      </c>
      <c r="AI232">
        <v>31</v>
      </c>
      <c r="AJ232">
        <v>31</v>
      </c>
      <c r="AK232">
        <v>33</v>
      </c>
      <c r="AL232">
        <v>33</v>
      </c>
      <c r="AM232">
        <v>33</v>
      </c>
      <c r="AN232">
        <v>33</v>
      </c>
      <c r="AO232">
        <v>30</v>
      </c>
      <c r="AP232">
        <v>30</v>
      </c>
      <c r="AQ232">
        <v>31</v>
      </c>
      <c r="AR232">
        <v>33</v>
      </c>
      <c r="AS232">
        <v>34</v>
      </c>
      <c r="AT232">
        <v>31</v>
      </c>
      <c r="AU232">
        <v>32</v>
      </c>
      <c r="AV232">
        <v>34</v>
      </c>
      <c r="AW232">
        <v>33</v>
      </c>
      <c r="AX232">
        <v>35</v>
      </c>
      <c r="AY232">
        <v>36</v>
      </c>
      <c r="AZ232">
        <v>37</v>
      </c>
      <c r="BA232">
        <v>38</v>
      </c>
      <c r="BB232">
        <v>38</v>
      </c>
      <c r="BC232">
        <v>40</v>
      </c>
      <c r="BD232">
        <v>38</v>
      </c>
    </row>
    <row r="233" spans="1:56" x14ac:dyDescent="0.25">
      <c r="A233" t="s">
        <v>4395</v>
      </c>
      <c r="B233" t="s">
        <v>138</v>
      </c>
      <c r="C233" t="s">
        <v>93</v>
      </c>
      <c r="D233">
        <v>1806</v>
      </c>
      <c r="E233">
        <v>28.471</v>
      </c>
      <c r="F233">
        <v>32</v>
      </c>
      <c r="G233">
        <v>41</v>
      </c>
      <c r="H233">
        <v>33</v>
      </c>
      <c r="I233">
        <v>30</v>
      </c>
      <c r="J233">
        <v>30</v>
      </c>
      <c r="K233">
        <v>30</v>
      </c>
      <c r="L233">
        <v>28</v>
      </c>
      <c r="M233">
        <v>26</v>
      </c>
      <c r="N233">
        <v>24</v>
      </c>
      <c r="O233">
        <v>24</v>
      </c>
      <c r="P233">
        <v>28</v>
      </c>
      <c r="Q233">
        <v>27</v>
      </c>
      <c r="R233">
        <v>27</v>
      </c>
      <c r="S233">
        <v>29</v>
      </c>
      <c r="T233">
        <v>28</v>
      </c>
      <c r="U233">
        <v>25</v>
      </c>
      <c r="V233">
        <v>27</v>
      </c>
      <c r="W233">
        <v>26</v>
      </c>
      <c r="X233">
        <v>26</v>
      </c>
      <c r="Y233">
        <v>26</v>
      </c>
      <c r="Z233">
        <v>26</v>
      </c>
      <c r="AA233">
        <v>26</v>
      </c>
      <c r="AB233">
        <v>28</v>
      </c>
      <c r="AC233">
        <v>26</v>
      </c>
      <c r="AD233">
        <v>25</v>
      </c>
      <c r="AE233">
        <v>25</v>
      </c>
      <c r="AF233">
        <v>27</v>
      </c>
      <c r="AG233">
        <v>26</v>
      </c>
      <c r="AH233">
        <v>27</v>
      </c>
      <c r="AI233">
        <v>27</v>
      </c>
      <c r="AJ233">
        <v>27</v>
      </c>
      <c r="AK233">
        <v>27</v>
      </c>
      <c r="AL233">
        <v>28</v>
      </c>
      <c r="AM233">
        <v>30</v>
      </c>
      <c r="AN233">
        <v>28</v>
      </c>
      <c r="AO233">
        <v>27</v>
      </c>
      <c r="AP233">
        <v>27</v>
      </c>
      <c r="AQ233">
        <v>29</v>
      </c>
      <c r="AR233">
        <v>31</v>
      </c>
      <c r="AS233">
        <v>29</v>
      </c>
      <c r="AT233">
        <v>28</v>
      </c>
      <c r="AU233">
        <v>32</v>
      </c>
      <c r="AV233">
        <v>31</v>
      </c>
      <c r="AW233">
        <v>31</v>
      </c>
      <c r="AX233">
        <v>29</v>
      </c>
      <c r="AY233">
        <v>33</v>
      </c>
      <c r="AZ233">
        <v>31</v>
      </c>
      <c r="BA233">
        <v>30</v>
      </c>
      <c r="BB233">
        <v>32</v>
      </c>
      <c r="BC233">
        <v>30</v>
      </c>
      <c r="BD233">
        <v>32</v>
      </c>
    </row>
    <row r="234" spans="1:56" x14ac:dyDescent="0.25">
      <c r="A234" t="s">
        <v>4396</v>
      </c>
      <c r="B234" t="s">
        <v>139</v>
      </c>
      <c r="C234" t="s">
        <v>93</v>
      </c>
      <c r="D234">
        <v>7988</v>
      </c>
      <c r="E234">
        <v>26.843</v>
      </c>
      <c r="F234">
        <v>26</v>
      </c>
      <c r="G234">
        <v>33</v>
      </c>
      <c r="H234">
        <v>30</v>
      </c>
      <c r="I234">
        <v>27</v>
      </c>
      <c r="J234">
        <v>25</v>
      </c>
      <c r="K234">
        <v>28</v>
      </c>
      <c r="L234">
        <v>29</v>
      </c>
      <c r="M234">
        <v>25</v>
      </c>
      <c r="N234">
        <v>23</v>
      </c>
      <c r="O234">
        <v>25</v>
      </c>
      <c r="P234">
        <v>26</v>
      </c>
      <c r="Q234">
        <v>26</v>
      </c>
      <c r="R234">
        <v>25</v>
      </c>
      <c r="S234">
        <v>24</v>
      </c>
      <c r="T234">
        <v>25</v>
      </c>
      <c r="U234">
        <v>25</v>
      </c>
      <c r="V234">
        <v>25</v>
      </c>
      <c r="W234">
        <v>25</v>
      </c>
      <c r="X234">
        <v>26</v>
      </c>
      <c r="Y234">
        <v>26</v>
      </c>
      <c r="Z234">
        <v>25</v>
      </c>
      <c r="AA234">
        <v>25</v>
      </c>
      <c r="AB234">
        <v>26</v>
      </c>
      <c r="AC234">
        <v>25</v>
      </c>
      <c r="AD234">
        <v>26</v>
      </c>
      <c r="AE234">
        <v>25</v>
      </c>
      <c r="AF234">
        <v>25</v>
      </c>
      <c r="AG234">
        <v>26</v>
      </c>
      <c r="AH234">
        <v>26</v>
      </c>
      <c r="AI234">
        <v>25</v>
      </c>
      <c r="AJ234">
        <v>27</v>
      </c>
      <c r="AK234">
        <v>27</v>
      </c>
      <c r="AL234">
        <v>29</v>
      </c>
      <c r="AM234">
        <v>28</v>
      </c>
      <c r="AN234">
        <v>28</v>
      </c>
      <c r="AO234">
        <v>27</v>
      </c>
      <c r="AP234">
        <v>27</v>
      </c>
      <c r="AQ234">
        <v>26</v>
      </c>
      <c r="AR234">
        <v>29</v>
      </c>
      <c r="AS234">
        <v>27</v>
      </c>
      <c r="AT234">
        <v>27</v>
      </c>
      <c r="AU234">
        <v>28</v>
      </c>
      <c r="AV234">
        <v>28</v>
      </c>
      <c r="AW234">
        <v>28</v>
      </c>
      <c r="AX234">
        <v>29</v>
      </c>
      <c r="AY234">
        <v>29</v>
      </c>
      <c r="AZ234">
        <v>29</v>
      </c>
      <c r="BA234">
        <v>28</v>
      </c>
      <c r="BB234">
        <v>30</v>
      </c>
      <c r="BC234">
        <v>30</v>
      </c>
      <c r="BD234">
        <v>30</v>
      </c>
    </row>
    <row r="235" spans="1:56" x14ac:dyDescent="0.25">
      <c r="A235" t="s">
        <v>4397</v>
      </c>
      <c r="B235" t="s">
        <v>140</v>
      </c>
      <c r="C235" t="s">
        <v>93</v>
      </c>
      <c r="D235">
        <v>1027</v>
      </c>
      <c r="E235">
        <v>20.373000000000001</v>
      </c>
      <c r="F235">
        <v>19</v>
      </c>
      <c r="G235">
        <v>28</v>
      </c>
      <c r="H235">
        <v>25</v>
      </c>
      <c r="I235">
        <v>19</v>
      </c>
      <c r="J235">
        <v>20</v>
      </c>
      <c r="K235">
        <v>23</v>
      </c>
      <c r="L235">
        <v>27</v>
      </c>
      <c r="M235">
        <v>19</v>
      </c>
      <c r="N235">
        <v>19</v>
      </c>
      <c r="O235">
        <v>19</v>
      </c>
      <c r="P235">
        <v>20</v>
      </c>
      <c r="Q235">
        <v>22</v>
      </c>
      <c r="R235">
        <v>19</v>
      </c>
      <c r="S235">
        <v>19</v>
      </c>
      <c r="T235">
        <v>20</v>
      </c>
      <c r="U235">
        <v>20</v>
      </c>
      <c r="V235">
        <v>19</v>
      </c>
      <c r="W235">
        <v>19</v>
      </c>
      <c r="X235">
        <v>21</v>
      </c>
      <c r="Y235">
        <v>18</v>
      </c>
      <c r="Z235">
        <v>17</v>
      </c>
      <c r="AA235">
        <v>19</v>
      </c>
      <c r="AB235">
        <v>20</v>
      </c>
      <c r="AC235">
        <v>18</v>
      </c>
      <c r="AD235">
        <v>19</v>
      </c>
      <c r="AE235">
        <v>17</v>
      </c>
      <c r="AF235">
        <v>17</v>
      </c>
      <c r="AG235">
        <v>18</v>
      </c>
      <c r="AH235">
        <v>19</v>
      </c>
      <c r="AI235">
        <v>20</v>
      </c>
      <c r="AJ235">
        <v>21</v>
      </c>
      <c r="AK235">
        <v>21</v>
      </c>
      <c r="AL235">
        <v>21</v>
      </c>
      <c r="AM235">
        <v>23</v>
      </c>
      <c r="AN235">
        <v>20</v>
      </c>
      <c r="AO235">
        <v>18</v>
      </c>
      <c r="AP235">
        <v>20</v>
      </c>
      <c r="AQ235">
        <v>19</v>
      </c>
      <c r="AR235">
        <v>20</v>
      </c>
      <c r="AS235">
        <v>20</v>
      </c>
      <c r="AT235">
        <v>19</v>
      </c>
      <c r="AU235">
        <v>20</v>
      </c>
      <c r="AV235">
        <v>21</v>
      </c>
      <c r="AW235">
        <v>21</v>
      </c>
      <c r="AX235">
        <v>22</v>
      </c>
      <c r="AY235">
        <v>22</v>
      </c>
      <c r="AZ235">
        <v>21</v>
      </c>
      <c r="BA235">
        <v>21</v>
      </c>
      <c r="BB235">
        <v>23</v>
      </c>
      <c r="BC235">
        <v>23</v>
      </c>
      <c r="BD235">
        <v>24</v>
      </c>
    </row>
    <row r="236" spans="1:56" x14ac:dyDescent="0.25">
      <c r="A236" t="s">
        <v>4398</v>
      </c>
      <c r="B236" t="s">
        <v>141</v>
      </c>
      <c r="C236" t="s">
        <v>93</v>
      </c>
      <c r="D236">
        <v>503</v>
      </c>
      <c r="E236">
        <v>15.215999999999999</v>
      </c>
      <c r="F236">
        <v>21</v>
      </c>
      <c r="G236">
        <v>26</v>
      </c>
      <c r="H236">
        <v>23</v>
      </c>
      <c r="I236">
        <v>17</v>
      </c>
      <c r="J236">
        <v>17</v>
      </c>
      <c r="K236">
        <v>19</v>
      </c>
      <c r="L236">
        <v>21</v>
      </c>
      <c r="M236">
        <v>15</v>
      </c>
      <c r="N236">
        <v>15</v>
      </c>
      <c r="O236">
        <v>15</v>
      </c>
      <c r="P236">
        <v>16</v>
      </c>
      <c r="Q236">
        <v>17</v>
      </c>
      <c r="R236">
        <v>14</v>
      </c>
      <c r="S236">
        <v>14</v>
      </c>
      <c r="T236">
        <v>16</v>
      </c>
      <c r="U236">
        <v>16</v>
      </c>
      <c r="V236">
        <v>13</v>
      </c>
      <c r="W236">
        <v>14</v>
      </c>
      <c r="X236">
        <v>15</v>
      </c>
      <c r="Y236">
        <v>10</v>
      </c>
      <c r="Z236">
        <v>12</v>
      </c>
      <c r="AA236">
        <v>15</v>
      </c>
      <c r="AB236">
        <v>15</v>
      </c>
      <c r="AC236">
        <v>12</v>
      </c>
      <c r="AD236">
        <v>14</v>
      </c>
      <c r="AE236">
        <v>11</v>
      </c>
      <c r="AF236">
        <v>14</v>
      </c>
      <c r="AG236">
        <v>12</v>
      </c>
      <c r="AH236">
        <v>15</v>
      </c>
      <c r="AI236">
        <v>15</v>
      </c>
      <c r="AJ236">
        <v>16</v>
      </c>
      <c r="AK236">
        <v>15</v>
      </c>
      <c r="AL236">
        <v>15</v>
      </c>
      <c r="AM236">
        <v>17</v>
      </c>
      <c r="AN236">
        <v>15</v>
      </c>
      <c r="AO236">
        <v>13</v>
      </c>
      <c r="AP236">
        <v>16</v>
      </c>
      <c r="AQ236">
        <v>14</v>
      </c>
      <c r="AR236">
        <v>13</v>
      </c>
      <c r="AS236">
        <v>13</v>
      </c>
      <c r="AT236">
        <v>14</v>
      </c>
      <c r="AU236">
        <v>15</v>
      </c>
      <c r="AV236">
        <v>13</v>
      </c>
      <c r="AW236">
        <v>13</v>
      </c>
      <c r="AX236">
        <v>14</v>
      </c>
      <c r="AY236">
        <v>15</v>
      </c>
      <c r="AZ236">
        <v>14</v>
      </c>
      <c r="BA236">
        <v>14</v>
      </c>
      <c r="BB236">
        <v>14</v>
      </c>
      <c r="BC236">
        <v>15</v>
      </c>
      <c r="BD236">
        <v>19</v>
      </c>
    </row>
    <row r="237" spans="1:56" x14ac:dyDescent="0.25">
      <c r="A237" t="s">
        <v>4399</v>
      </c>
      <c r="B237" t="s">
        <v>142</v>
      </c>
      <c r="C237" t="s">
        <v>93</v>
      </c>
      <c r="D237">
        <v>472</v>
      </c>
      <c r="E237">
        <v>25.608000000000001</v>
      </c>
      <c r="F237">
        <v>18</v>
      </c>
      <c r="G237">
        <v>29</v>
      </c>
      <c r="H237">
        <v>28</v>
      </c>
      <c r="I237">
        <v>21</v>
      </c>
      <c r="J237">
        <v>24</v>
      </c>
      <c r="K237">
        <v>27</v>
      </c>
      <c r="L237">
        <v>34</v>
      </c>
      <c r="M237">
        <v>23</v>
      </c>
      <c r="N237">
        <v>25</v>
      </c>
      <c r="O237">
        <v>22</v>
      </c>
      <c r="P237">
        <v>24</v>
      </c>
      <c r="Q237">
        <v>27</v>
      </c>
      <c r="R237">
        <v>26</v>
      </c>
      <c r="S237">
        <v>23</v>
      </c>
      <c r="T237">
        <v>26</v>
      </c>
      <c r="U237">
        <v>24</v>
      </c>
      <c r="V237">
        <v>23</v>
      </c>
      <c r="W237">
        <v>24</v>
      </c>
      <c r="X237">
        <v>26</v>
      </c>
      <c r="Y237">
        <v>25</v>
      </c>
      <c r="Z237">
        <v>24</v>
      </c>
      <c r="AA237">
        <v>23</v>
      </c>
      <c r="AB237">
        <v>26</v>
      </c>
      <c r="AC237">
        <v>22</v>
      </c>
      <c r="AD237">
        <v>24</v>
      </c>
      <c r="AE237">
        <v>23</v>
      </c>
      <c r="AF237">
        <v>21</v>
      </c>
      <c r="AG237">
        <v>25</v>
      </c>
      <c r="AH237">
        <v>23</v>
      </c>
      <c r="AI237">
        <v>25</v>
      </c>
      <c r="AJ237">
        <v>26</v>
      </c>
      <c r="AK237">
        <v>28</v>
      </c>
      <c r="AL237">
        <v>27</v>
      </c>
      <c r="AM237">
        <v>29</v>
      </c>
      <c r="AN237">
        <v>25</v>
      </c>
      <c r="AO237">
        <v>24</v>
      </c>
      <c r="AP237">
        <v>24</v>
      </c>
      <c r="AQ237">
        <v>24</v>
      </c>
      <c r="AR237">
        <v>27</v>
      </c>
      <c r="AS237">
        <v>25</v>
      </c>
      <c r="AT237">
        <v>25</v>
      </c>
      <c r="AU237">
        <v>27</v>
      </c>
      <c r="AV237">
        <v>28</v>
      </c>
      <c r="AW237">
        <v>29</v>
      </c>
      <c r="AX237">
        <v>29</v>
      </c>
      <c r="AY237">
        <v>27</v>
      </c>
      <c r="AZ237">
        <v>29</v>
      </c>
      <c r="BA237">
        <v>28</v>
      </c>
      <c r="BB237">
        <v>32</v>
      </c>
      <c r="BC237">
        <v>30</v>
      </c>
      <c r="BD237">
        <v>28</v>
      </c>
    </row>
    <row r="238" spans="1:56" x14ac:dyDescent="0.25">
      <c r="A238" t="s">
        <v>4400</v>
      </c>
      <c r="B238" t="s">
        <v>143</v>
      </c>
      <c r="C238" t="s">
        <v>93</v>
      </c>
      <c r="D238">
        <v>1553</v>
      </c>
      <c r="E238">
        <v>24.902000000000001</v>
      </c>
      <c r="F238">
        <v>12</v>
      </c>
      <c r="G238">
        <v>18</v>
      </c>
      <c r="H238">
        <v>17</v>
      </c>
      <c r="I238">
        <v>18</v>
      </c>
      <c r="J238">
        <v>21</v>
      </c>
      <c r="K238">
        <v>25</v>
      </c>
      <c r="L238">
        <v>22</v>
      </c>
      <c r="M238">
        <v>23</v>
      </c>
      <c r="N238">
        <v>22</v>
      </c>
      <c r="O238">
        <v>24</v>
      </c>
      <c r="P238">
        <v>25</v>
      </c>
      <c r="Q238">
        <v>26</v>
      </c>
      <c r="R238">
        <v>24</v>
      </c>
      <c r="S238">
        <v>25</v>
      </c>
      <c r="T238">
        <v>25</v>
      </c>
      <c r="U238">
        <v>23</v>
      </c>
      <c r="V238">
        <v>24</v>
      </c>
      <c r="W238">
        <v>24</v>
      </c>
      <c r="X238">
        <v>22</v>
      </c>
      <c r="Y238">
        <v>20</v>
      </c>
      <c r="Z238">
        <v>19</v>
      </c>
      <c r="AA238">
        <v>22</v>
      </c>
      <c r="AB238">
        <v>22</v>
      </c>
      <c r="AC238">
        <v>24</v>
      </c>
      <c r="AD238">
        <v>24</v>
      </c>
      <c r="AE238">
        <v>23</v>
      </c>
      <c r="AF238">
        <v>23</v>
      </c>
      <c r="AG238">
        <v>24</v>
      </c>
      <c r="AH238">
        <v>23</v>
      </c>
      <c r="AI238">
        <v>24</v>
      </c>
      <c r="AJ238">
        <v>24</v>
      </c>
      <c r="AK238">
        <v>24</v>
      </c>
      <c r="AL238">
        <v>27</v>
      </c>
      <c r="AM238">
        <v>28</v>
      </c>
      <c r="AN238">
        <v>32</v>
      </c>
      <c r="AO238">
        <v>31</v>
      </c>
      <c r="AP238">
        <v>31</v>
      </c>
      <c r="AQ238">
        <v>29</v>
      </c>
      <c r="AR238">
        <v>33</v>
      </c>
      <c r="AS238">
        <v>29</v>
      </c>
      <c r="AT238">
        <v>26</v>
      </c>
      <c r="AU238">
        <v>30</v>
      </c>
      <c r="AV238">
        <v>27</v>
      </c>
      <c r="AW238">
        <v>30</v>
      </c>
      <c r="AX238">
        <v>29</v>
      </c>
      <c r="AY238">
        <v>28</v>
      </c>
      <c r="AZ238">
        <v>29</v>
      </c>
      <c r="BA238">
        <v>29</v>
      </c>
      <c r="BB238">
        <v>28</v>
      </c>
      <c r="BC238">
        <v>29</v>
      </c>
      <c r="BD238">
        <v>29</v>
      </c>
    </row>
    <row r="239" spans="1:56" x14ac:dyDescent="0.25">
      <c r="A239" t="s">
        <v>4401</v>
      </c>
      <c r="B239" t="s">
        <v>144</v>
      </c>
      <c r="C239" t="s">
        <v>93</v>
      </c>
      <c r="D239">
        <v>1012</v>
      </c>
      <c r="E239">
        <v>23.391999999999999</v>
      </c>
      <c r="F239">
        <v>9</v>
      </c>
      <c r="G239">
        <v>18</v>
      </c>
      <c r="H239">
        <v>12</v>
      </c>
      <c r="I239">
        <v>18</v>
      </c>
      <c r="J239">
        <v>21</v>
      </c>
      <c r="K239">
        <v>25</v>
      </c>
      <c r="L239">
        <v>22</v>
      </c>
      <c r="M239">
        <v>19</v>
      </c>
      <c r="N239">
        <v>21</v>
      </c>
      <c r="O239">
        <v>25</v>
      </c>
      <c r="P239">
        <v>23</v>
      </c>
      <c r="Q239">
        <v>24</v>
      </c>
      <c r="R239">
        <v>23</v>
      </c>
      <c r="S239">
        <v>22</v>
      </c>
      <c r="T239">
        <v>23</v>
      </c>
      <c r="U239">
        <v>21</v>
      </c>
      <c r="V239">
        <v>23</v>
      </c>
      <c r="W239">
        <v>23</v>
      </c>
      <c r="X239">
        <v>20</v>
      </c>
      <c r="Y239">
        <v>16</v>
      </c>
      <c r="Z239">
        <v>16</v>
      </c>
      <c r="AA239">
        <v>19</v>
      </c>
      <c r="AB239">
        <v>21</v>
      </c>
      <c r="AC239">
        <v>22</v>
      </c>
      <c r="AD239">
        <v>21</v>
      </c>
      <c r="AE239">
        <v>21</v>
      </c>
      <c r="AF239">
        <v>22</v>
      </c>
      <c r="AG239">
        <v>22</v>
      </c>
      <c r="AH239">
        <v>21</v>
      </c>
      <c r="AI239">
        <v>22</v>
      </c>
      <c r="AJ239">
        <v>23</v>
      </c>
      <c r="AK239">
        <v>22</v>
      </c>
      <c r="AL239">
        <v>27</v>
      </c>
      <c r="AM239">
        <v>26</v>
      </c>
      <c r="AN239">
        <v>30</v>
      </c>
      <c r="AO239">
        <v>30</v>
      </c>
      <c r="AP239">
        <v>28</v>
      </c>
      <c r="AQ239">
        <v>29</v>
      </c>
      <c r="AR239">
        <v>32</v>
      </c>
      <c r="AS239">
        <v>27</v>
      </c>
      <c r="AT239">
        <v>25</v>
      </c>
      <c r="AU239">
        <v>28</v>
      </c>
      <c r="AV239">
        <v>24</v>
      </c>
      <c r="AW239">
        <v>29</v>
      </c>
      <c r="AX239">
        <v>30</v>
      </c>
      <c r="AY239">
        <v>26</v>
      </c>
      <c r="AZ239">
        <v>29</v>
      </c>
      <c r="BA239">
        <v>29</v>
      </c>
      <c r="BB239">
        <v>28</v>
      </c>
      <c r="BC239">
        <v>28</v>
      </c>
      <c r="BD239">
        <v>28</v>
      </c>
    </row>
    <row r="240" spans="1:56" x14ac:dyDescent="0.25">
      <c r="A240" t="s">
        <v>4402</v>
      </c>
      <c r="B240" t="s">
        <v>145</v>
      </c>
      <c r="C240" t="s">
        <v>93</v>
      </c>
      <c r="D240">
        <v>541</v>
      </c>
      <c r="E240">
        <v>27.471</v>
      </c>
      <c r="F240">
        <v>14</v>
      </c>
      <c r="G240">
        <v>19</v>
      </c>
      <c r="H240">
        <v>22</v>
      </c>
      <c r="I240">
        <v>17</v>
      </c>
      <c r="J240">
        <v>21</v>
      </c>
      <c r="K240">
        <v>25</v>
      </c>
      <c r="L240">
        <v>22</v>
      </c>
      <c r="M240">
        <v>29</v>
      </c>
      <c r="N240">
        <v>24</v>
      </c>
      <c r="O240">
        <v>23</v>
      </c>
      <c r="P240">
        <v>28</v>
      </c>
      <c r="Q240">
        <v>29</v>
      </c>
      <c r="R240">
        <v>25</v>
      </c>
      <c r="S240">
        <v>29</v>
      </c>
      <c r="T240">
        <v>31</v>
      </c>
      <c r="U240">
        <v>26</v>
      </c>
      <c r="V240">
        <v>26</v>
      </c>
      <c r="W240">
        <v>27</v>
      </c>
      <c r="X240">
        <v>27</v>
      </c>
      <c r="Y240">
        <v>29</v>
      </c>
      <c r="Z240">
        <v>23</v>
      </c>
      <c r="AA240">
        <v>27</v>
      </c>
      <c r="AB240">
        <v>26</v>
      </c>
      <c r="AC240">
        <v>27</v>
      </c>
      <c r="AD240">
        <v>29</v>
      </c>
      <c r="AE240">
        <v>26</v>
      </c>
      <c r="AF240">
        <v>25</v>
      </c>
      <c r="AG240">
        <v>30</v>
      </c>
      <c r="AH240">
        <v>27</v>
      </c>
      <c r="AI240">
        <v>27</v>
      </c>
      <c r="AJ240">
        <v>28</v>
      </c>
      <c r="AK240">
        <v>28</v>
      </c>
      <c r="AL240">
        <v>26</v>
      </c>
      <c r="AM240">
        <v>33</v>
      </c>
      <c r="AN240">
        <v>34</v>
      </c>
      <c r="AO240">
        <v>33</v>
      </c>
      <c r="AP240">
        <v>36</v>
      </c>
      <c r="AQ240">
        <v>28</v>
      </c>
      <c r="AR240">
        <v>35</v>
      </c>
      <c r="AS240">
        <v>31</v>
      </c>
      <c r="AT240">
        <v>27</v>
      </c>
      <c r="AU240">
        <v>33</v>
      </c>
      <c r="AV240">
        <v>31</v>
      </c>
      <c r="AW240">
        <v>31</v>
      </c>
      <c r="AX240">
        <v>28</v>
      </c>
      <c r="AY240">
        <v>31</v>
      </c>
      <c r="AZ240">
        <v>28</v>
      </c>
      <c r="BA240">
        <v>28</v>
      </c>
      <c r="BB240">
        <v>29</v>
      </c>
      <c r="BC240">
        <v>31</v>
      </c>
      <c r="BD240">
        <v>32</v>
      </c>
    </row>
    <row r="241" spans="1:56" x14ac:dyDescent="0.25">
      <c r="A241" t="s">
        <v>4403</v>
      </c>
      <c r="B241" t="s">
        <v>146</v>
      </c>
      <c r="C241" t="s">
        <v>93</v>
      </c>
      <c r="D241">
        <v>62</v>
      </c>
      <c r="E241">
        <v>39.392000000000003</v>
      </c>
      <c r="F241">
        <v>39</v>
      </c>
      <c r="G241">
        <v>49</v>
      </c>
      <c r="H241">
        <v>40</v>
      </c>
      <c r="I241">
        <v>41</v>
      </c>
      <c r="J241">
        <v>37</v>
      </c>
      <c r="K241">
        <v>33</v>
      </c>
      <c r="L241">
        <v>47</v>
      </c>
      <c r="M241">
        <v>39</v>
      </c>
      <c r="N241">
        <v>30</v>
      </c>
      <c r="O241">
        <v>37</v>
      </c>
      <c r="P241">
        <v>40</v>
      </c>
      <c r="Q241">
        <v>33</v>
      </c>
      <c r="R241">
        <v>40</v>
      </c>
      <c r="S241">
        <v>34</v>
      </c>
      <c r="T241">
        <v>39</v>
      </c>
      <c r="U241">
        <v>39</v>
      </c>
      <c r="V241">
        <v>33</v>
      </c>
      <c r="W241">
        <v>40</v>
      </c>
      <c r="X241">
        <v>37</v>
      </c>
      <c r="Y241">
        <v>40</v>
      </c>
      <c r="Z241">
        <v>33</v>
      </c>
      <c r="AA241">
        <v>38</v>
      </c>
      <c r="AB241">
        <v>36</v>
      </c>
      <c r="AC241">
        <v>32</v>
      </c>
      <c r="AD241">
        <v>40</v>
      </c>
      <c r="AE241">
        <v>38</v>
      </c>
      <c r="AF241">
        <v>35</v>
      </c>
      <c r="AG241">
        <v>38</v>
      </c>
      <c r="AH241">
        <v>40</v>
      </c>
      <c r="AI241">
        <v>39</v>
      </c>
      <c r="AJ241">
        <v>40</v>
      </c>
      <c r="AK241">
        <v>41</v>
      </c>
      <c r="AL241">
        <v>44</v>
      </c>
      <c r="AM241">
        <v>39</v>
      </c>
      <c r="AN241">
        <v>38</v>
      </c>
      <c r="AO241">
        <v>39</v>
      </c>
      <c r="AP241">
        <v>38</v>
      </c>
      <c r="AQ241">
        <v>38</v>
      </c>
      <c r="AR241">
        <v>46</v>
      </c>
      <c r="AS241">
        <v>29</v>
      </c>
      <c r="AT241">
        <v>38</v>
      </c>
      <c r="AU241">
        <v>34</v>
      </c>
      <c r="AV241">
        <v>41</v>
      </c>
      <c r="AW241">
        <v>44</v>
      </c>
      <c r="AX241">
        <v>45</v>
      </c>
      <c r="AY241">
        <v>34</v>
      </c>
      <c r="AZ241">
        <v>55</v>
      </c>
      <c r="BA241">
        <v>50</v>
      </c>
      <c r="BB241">
        <v>46</v>
      </c>
      <c r="BC241">
        <v>43</v>
      </c>
      <c r="BD241">
        <v>51</v>
      </c>
    </row>
    <row r="242" spans="1:56" x14ac:dyDescent="0.25">
      <c r="A242" t="s">
        <v>4404</v>
      </c>
      <c r="B242" t="s">
        <v>147</v>
      </c>
      <c r="C242" t="s">
        <v>93</v>
      </c>
      <c r="D242">
        <v>81</v>
      </c>
      <c r="E242">
        <v>19.588000000000001</v>
      </c>
      <c r="F242">
        <v>21</v>
      </c>
      <c r="G242">
        <v>29</v>
      </c>
      <c r="H242">
        <v>27</v>
      </c>
      <c r="I242">
        <v>29</v>
      </c>
      <c r="J242">
        <v>19</v>
      </c>
      <c r="K242">
        <v>13</v>
      </c>
      <c r="L242">
        <v>30</v>
      </c>
      <c r="M242">
        <v>18</v>
      </c>
      <c r="N242">
        <v>17</v>
      </c>
      <c r="O242">
        <v>16</v>
      </c>
      <c r="P242">
        <v>17</v>
      </c>
      <c r="Q242">
        <v>14</v>
      </c>
      <c r="R242">
        <v>18</v>
      </c>
      <c r="S242">
        <v>23</v>
      </c>
      <c r="T242">
        <v>24</v>
      </c>
      <c r="U242">
        <v>18</v>
      </c>
      <c r="V242">
        <v>10</v>
      </c>
      <c r="W242">
        <v>7</v>
      </c>
      <c r="X242">
        <v>16</v>
      </c>
      <c r="Y242">
        <v>21</v>
      </c>
      <c r="Z242">
        <v>11</v>
      </c>
      <c r="AA242">
        <v>19</v>
      </c>
      <c r="AB242">
        <v>20</v>
      </c>
      <c r="AC242">
        <v>7</v>
      </c>
      <c r="AD242">
        <v>10</v>
      </c>
      <c r="AE242">
        <v>20</v>
      </c>
      <c r="AF242">
        <v>17</v>
      </c>
      <c r="AG242">
        <v>22</v>
      </c>
      <c r="AH242">
        <v>27</v>
      </c>
      <c r="AI242">
        <v>13</v>
      </c>
      <c r="AJ242">
        <v>20</v>
      </c>
      <c r="AK242">
        <v>25</v>
      </c>
      <c r="AL242">
        <v>18</v>
      </c>
      <c r="AM242">
        <v>12</v>
      </c>
      <c r="AN242">
        <v>17</v>
      </c>
      <c r="AO242">
        <v>15</v>
      </c>
      <c r="AP242">
        <v>21</v>
      </c>
      <c r="AQ242">
        <v>20</v>
      </c>
      <c r="AR242">
        <v>22</v>
      </c>
      <c r="AS242">
        <v>16</v>
      </c>
      <c r="AT242">
        <v>25</v>
      </c>
      <c r="AU242">
        <v>17</v>
      </c>
      <c r="AV242">
        <v>20</v>
      </c>
      <c r="AW242">
        <v>20</v>
      </c>
      <c r="AX242">
        <v>30</v>
      </c>
      <c r="AY242">
        <v>23</v>
      </c>
      <c r="AZ242">
        <v>25</v>
      </c>
      <c r="BA242">
        <v>28</v>
      </c>
      <c r="BB242">
        <v>23</v>
      </c>
      <c r="BC242">
        <v>23</v>
      </c>
      <c r="BD242">
        <v>26</v>
      </c>
    </row>
    <row r="243" spans="1:56" x14ac:dyDescent="0.25">
      <c r="A243" t="s">
        <v>4405</v>
      </c>
      <c r="B243" t="s">
        <v>148</v>
      </c>
      <c r="C243" t="s">
        <v>93</v>
      </c>
      <c r="D243">
        <v>564</v>
      </c>
      <c r="E243">
        <v>20.940999999999999</v>
      </c>
      <c r="F243">
        <v>18</v>
      </c>
      <c r="G243">
        <v>25</v>
      </c>
      <c r="H243">
        <v>22</v>
      </c>
      <c r="I243">
        <v>22</v>
      </c>
      <c r="J243">
        <v>16</v>
      </c>
      <c r="K243">
        <v>21</v>
      </c>
      <c r="L243">
        <v>26</v>
      </c>
      <c r="M243">
        <v>21</v>
      </c>
      <c r="N243">
        <v>18</v>
      </c>
      <c r="O243">
        <v>18</v>
      </c>
      <c r="P243">
        <v>21</v>
      </c>
      <c r="Q243">
        <v>20</v>
      </c>
      <c r="R243">
        <v>21</v>
      </c>
      <c r="S243">
        <v>22</v>
      </c>
      <c r="T243">
        <v>17</v>
      </c>
      <c r="U243">
        <v>22</v>
      </c>
      <c r="V243">
        <v>17</v>
      </c>
      <c r="W243">
        <v>17</v>
      </c>
      <c r="X243">
        <v>20</v>
      </c>
      <c r="Y243">
        <v>18</v>
      </c>
      <c r="Z243">
        <v>20</v>
      </c>
      <c r="AA243">
        <v>20</v>
      </c>
      <c r="AB243">
        <v>18</v>
      </c>
      <c r="AC243">
        <v>19</v>
      </c>
      <c r="AD243">
        <v>20</v>
      </c>
      <c r="AE243">
        <v>19</v>
      </c>
      <c r="AF243">
        <v>18</v>
      </c>
      <c r="AG243">
        <v>19</v>
      </c>
      <c r="AH243">
        <v>18</v>
      </c>
      <c r="AI243">
        <v>19</v>
      </c>
      <c r="AJ243">
        <v>20</v>
      </c>
      <c r="AK243">
        <v>18</v>
      </c>
      <c r="AL243">
        <v>21</v>
      </c>
      <c r="AM243">
        <v>20</v>
      </c>
      <c r="AN243">
        <v>20</v>
      </c>
      <c r="AO243">
        <v>17</v>
      </c>
      <c r="AP243">
        <v>18</v>
      </c>
      <c r="AQ243">
        <v>17</v>
      </c>
      <c r="AR243">
        <v>21</v>
      </c>
      <c r="AS243">
        <v>21</v>
      </c>
      <c r="AT243">
        <v>18</v>
      </c>
      <c r="AU243">
        <v>26</v>
      </c>
      <c r="AV243">
        <v>25</v>
      </c>
      <c r="AW243">
        <v>21</v>
      </c>
      <c r="AX243">
        <v>23</v>
      </c>
      <c r="AY243">
        <v>27</v>
      </c>
      <c r="AZ243">
        <v>24</v>
      </c>
      <c r="BA243">
        <v>27</v>
      </c>
      <c r="BB243">
        <v>29</v>
      </c>
      <c r="BC243">
        <v>32</v>
      </c>
      <c r="BD243">
        <v>31</v>
      </c>
    </row>
    <row r="244" spans="1:56" x14ac:dyDescent="0.25">
      <c r="A244" t="s">
        <v>4406</v>
      </c>
      <c r="B244" t="s">
        <v>149</v>
      </c>
      <c r="C244" t="s">
        <v>93</v>
      </c>
      <c r="D244">
        <v>48</v>
      </c>
      <c r="E244">
        <v>23.667000000000002</v>
      </c>
      <c r="F244">
        <v>23</v>
      </c>
      <c r="G244">
        <v>22</v>
      </c>
      <c r="H244">
        <v>24</v>
      </c>
      <c r="I244">
        <v>29</v>
      </c>
      <c r="J244">
        <v>20</v>
      </c>
      <c r="K244">
        <v>26</v>
      </c>
      <c r="L244">
        <v>32</v>
      </c>
      <c r="M244">
        <v>22</v>
      </c>
      <c r="N244">
        <v>10</v>
      </c>
      <c r="O244">
        <v>17</v>
      </c>
      <c r="P244">
        <v>23</v>
      </c>
      <c r="Q244">
        <v>18</v>
      </c>
      <c r="R244">
        <v>38</v>
      </c>
      <c r="S244">
        <v>21</v>
      </c>
      <c r="T244">
        <v>21</v>
      </c>
      <c r="U244">
        <v>22</v>
      </c>
      <c r="V244">
        <v>28</v>
      </c>
      <c r="W244">
        <v>19</v>
      </c>
      <c r="X244">
        <v>27</v>
      </c>
      <c r="Y244">
        <v>18</v>
      </c>
      <c r="Z244">
        <v>15</v>
      </c>
      <c r="AA244">
        <v>18</v>
      </c>
      <c r="AB244">
        <v>23</v>
      </c>
      <c r="AC244">
        <v>21</v>
      </c>
      <c r="AD244">
        <v>17</v>
      </c>
      <c r="AE244">
        <v>24</v>
      </c>
      <c r="AF244">
        <v>21</v>
      </c>
      <c r="AG244">
        <v>22</v>
      </c>
      <c r="AH244">
        <v>32</v>
      </c>
      <c r="AI244">
        <v>28</v>
      </c>
      <c r="AJ244">
        <v>33</v>
      </c>
      <c r="AK244">
        <v>10</v>
      </c>
      <c r="AL244">
        <v>29</v>
      </c>
      <c r="AM244">
        <v>25</v>
      </c>
      <c r="AN244">
        <v>27</v>
      </c>
      <c r="AO244">
        <v>21</v>
      </c>
      <c r="AP244">
        <v>22</v>
      </c>
      <c r="AQ244">
        <v>21</v>
      </c>
      <c r="AR244">
        <v>23</v>
      </c>
      <c r="AS244">
        <v>23</v>
      </c>
      <c r="AT244">
        <v>21</v>
      </c>
      <c r="AU244">
        <v>13</v>
      </c>
      <c r="AV244">
        <v>26</v>
      </c>
      <c r="AW244">
        <v>29</v>
      </c>
      <c r="AX244">
        <v>20</v>
      </c>
      <c r="AY244">
        <v>30</v>
      </c>
      <c r="AZ244">
        <v>27</v>
      </c>
      <c r="BA244">
        <v>33</v>
      </c>
      <c r="BB244">
        <v>27</v>
      </c>
      <c r="BC244">
        <v>36</v>
      </c>
      <c r="BD244">
        <v>30</v>
      </c>
    </row>
    <row r="245" spans="1:56" x14ac:dyDescent="0.25">
      <c r="A245" t="s">
        <v>4407</v>
      </c>
      <c r="B245" t="s">
        <v>150</v>
      </c>
      <c r="C245" t="s">
        <v>93</v>
      </c>
      <c r="D245">
        <v>769</v>
      </c>
      <c r="E245">
        <v>44.607999999999997</v>
      </c>
      <c r="F245">
        <v>38</v>
      </c>
      <c r="G245">
        <v>53</v>
      </c>
      <c r="H245">
        <v>45</v>
      </c>
      <c r="I245">
        <v>47</v>
      </c>
      <c r="J245">
        <v>41</v>
      </c>
      <c r="K245">
        <v>47</v>
      </c>
      <c r="L245">
        <v>45</v>
      </c>
      <c r="M245">
        <v>40</v>
      </c>
      <c r="N245">
        <v>38</v>
      </c>
      <c r="O245">
        <v>41</v>
      </c>
      <c r="P245">
        <v>41</v>
      </c>
      <c r="Q245">
        <v>41</v>
      </c>
      <c r="R245">
        <v>38</v>
      </c>
      <c r="S245">
        <v>36</v>
      </c>
      <c r="T245">
        <v>39</v>
      </c>
      <c r="U245">
        <v>41</v>
      </c>
      <c r="V245">
        <v>42</v>
      </c>
      <c r="W245">
        <v>44</v>
      </c>
      <c r="X245">
        <v>47</v>
      </c>
      <c r="Y245">
        <v>51</v>
      </c>
      <c r="Z245">
        <v>49</v>
      </c>
      <c r="AA245">
        <v>47</v>
      </c>
      <c r="AB245">
        <v>51</v>
      </c>
      <c r="AC245">
        <v>46</v>
      </c>
      <c r="AD245">
        <v>50</v>
      </c>
      <c r="AE245">
        <v>50</v>
      </c>
      <c r="AF245">
        <v>52</v>
      </c>
      <c r="AG245">
        <v>48</v>
      </c>
      <c r="AH245">
        <v>46</v>
      </c>
      <c r="AI245">
        <v>48</v>
      </c>
      <c r="AJ245">
        <v>49</v>
      </c>
      <c r="AK245">
        <v>52</v>
      </c>
      <c r="AL245">
        <v>50</v>
      </c>
      <c r="AM245">
        <v>47</v>
      </c>
      <c r="AN245">
        <v>46</v>
      </c>
      <c r="AO245">
        <v>47</v>
      </c>
      <c r="AP245">
        <v>45</v>
      </c>
      <c r="AQ245">
        <v>46</v>
      </c>
      <c r="AR245">
        <v>44</v>
      </c>
      <c r="AS245">
        <v>42</v>
      </c>
      <c r="AT245">
        <v>44</v>
      </c>
      <c r="AU245">
        <v>42</v>
      </c>
      <c r="AV245">
        <v>42</v>
      </c>
      <c r="AW245">
        <v>42</v>
      </c>
      <c r="AX245">
        <v>43</v>
      </c>
      <c r="AY245">
        <v>44</v>
      </c>
      <c r="AZ245">
        <v>43</v>
      </c>
      <c r="BA245">
        <v>41</v>
      </c>
      <c r="BB245">
        <v>42</v>
      </c>
      <c r="BC245">
        <v>41</v>
      </c>
      <c r="BD245">
        <v>41</v>
      </c>
    </row>
    <row r="246" spans="1:56" x14ac:dyDescent="0.25">
      <c r="A246" t="s">
        <v>4408</v>
      </c>
      <c r="B246" t="s">
        <v>151</v>
      </c>
      <c r="C246" t="s">
        <v>93</v>
      </c>
      <c r="D246">
        <v>366</v>
      </c>
      <c r="E246">
        <v>48.451000000000001</v>
      </c>
      <c r="F246">
        <v>40</v>
      </c>
      <c r="G246">
        <v>54</v>
      </c>
      <c r="H246">
        <v>46</v>
      </c>
      <c r="I246">
        <v>46</v>
      </c>
      <c r="J246">
        <v>39</v>
      </c>
      <c r="K246">
        <v>46</v>
      </c>
      <c r="L246">
        <v>46</v>
      </c>
      <c r="M246">
        <v>43</v>
      </c>
      <c r="N246">
        <v>39</v>
      </c>
      <c r="O246">
        <v>41</v>
      </c>
      <c r="P246">
        <v>39</v>
      </c>
      <c r="Q246">
        <v>43</v>
      </c>
      <c r="R246">
        <v>41</v>
      </c>
      <c r="S246">
        <v>37</v>
      </c>
      <c r="T246">
        <v>43</v>
      </c>
      <c r="U246">
        <v>44</v>
      </c>
      <c r="V246">
        <v>44</v>
      </c>
      <c r="W246">
        <v>48</v>
      </c>
      <c r="X246">
        <v>52</v>
      </c>
      <c r="Y246">
        <v>55</v>
      </c>
      <c r="Z246">
        <v>53</v>
      </c>
      <c r="AA246">
        <v>53</v>
      </c>
      <c r="AB246">
        <v>54</v>
      </c>
      <c r="AC246">
        <v>52</v>
      </c>
      <c r="AD246">
        <v>58</v>
      </c>
      <c r="AE246">
        <v>57</v>
      </c>
      <c r="AF246">
        <v>60</v>
      </c>
      <c r="AG246">
        <v>56</v>
      </c>
      <c r="AH246">
        <v>53</v>
      </c>
      <c r="AI246">
        <v>54</v>
      </c>
      <c r="AJ246">
        <v>56</v>
      </c>
      <c r="AK246">
        <v>61</v>
      </c>
      <c r="AL246">
        <v>59</v>
      </c>
      <c r="AM246">
        <v>56</v>
      </c>
      <c r="AN246">
        <v>54</v>
      </c>
      <c r="AO246">
        <v>55</v>
      </c>
      <c r="AP246">
        <v>54</v>
      </c>
      <c r="AQ246">
        <v>53</v>
      </c>
      <c r="AR246">
        <v>48</v>
      </c>
      <c r="AS246">
        <v>45</v>
      </c>
      <c r="AT246">
        <v>50</v>
      </c>
      <c r="AU246">
        <v>45</v>
      </c>
      <c r="AV246">
        <v>44</v>
      </c>
      <c r="AW246">
        <v>46</v>
      </c>
      <c r="AX246">
        <v>47</v>
      </c>
      <c r="AY246">
        <v>46</v>
      </c>
      <c r="AZ246">
        <v>46</v>
      </c>
      <c r="BA246">
        <v>42</v>
      </c>
      <c r="BB246">
        <v>42</v>
      </c>
      <c r="BC246">
        <v>42</v>
      </c>
      <c r="BD246">
        <v>44</v>
      </c>
    </row>
    <row r="247" spans="1:56" x14ac:dyDescent="0.25">
      <c r="A247" t="s">
        <v>4409</v>
      </c>
      <c r="B247" t="s">
        <v>152</v>
      </c>
      <c r="C247" t="s">
        <v>93</v>
      </c>
      <c r="D247">
        <v>46</v>
      </c>
      <c r="E247">
        <v>52.646999999999998</v>
      </c>
      <c r="F247">
        <v>33</v>
      </c>
      <c r="G247">
        <v>61</v>
      </c>
      <c r="H247">
        <v>56</v>
      </c>
      <c r="I247">
        <v>68</v>
      </c>
      <c r="J247">
        <v>54</v>
      </c>
      <c r="K247">
        <v>62</v>
      </c>
      <c r="L247">
        <v>45</v>
      </c>
      <c r="M247">
        <v>45</v>
      </c>
      <c r="N247">
        <v>47</v>
      </c>
      <c r="O247">
        <v>49</v>
      </c>
      <c r="P247">
        <v>59</v>
      </c>
      <c r="Q247">
        <v>44</v>
      </c>
      <c r="R247">
        <v>41</v>
      </c>
      <c r="S247">
        <v>38</v>
      </c>
      <c r="T247">
        <v>40</v>
      </c>
      <c r="U247">
        <v>45</v>
      </c>
      <c r="V247">
        <v>50</v>
      </c>
      <c r="W247">
        <v>46</v>
      </c>
      <c r="X247">
        <v>47</v>
      </c>
      <c r="Y247">
        <v>57</v>
      </c>
      <c r="Z247">
        <v>49</v>
      </c>
      <c r="AA247">
        <v>50</v>
      </c>
      <c r="AB247">
        <v>61</v>
      </c>
      <c r="AC247">
        <v>46</v>
      </c>
      <c r="AD247">
        <v>57</v>
      </c>
      <c r="AE247">
        <v>47</v>
      </c>
      <c r="AF247">
        <v>49</v>
      </c>
      <c r="AG247">
        <v>45</v>
      </c>
      <c r="AH247">
        <v>50</v>
      </c>
      <c r="AI247">
        <v>53</v>
      </c>
      <c r="AJ247">
        <v>57</v>
      </c>
      <c r="AK247">
        <v>43</v>
      </c>
      <c r="AL247">
        <v>49</v>
      </c>
      <c r="AM247">
        <v>47</v>
      </c>
      <c r="AN247">
        <v>49</v>
      </c>
      <c r="AO247">
        <v>55</v>
      </c>
      <c r="AP247">
        <v>46</v>
      </c>
      <c r="AQ247">
        <v>50</v>
      </c>
      <c r="AR247">
        <v>60</v>
      </c>
      <c r="AS247">
        <v>60</v>
      </c>
      <c r="AT247">
        <v>53</v>
      </c>
      <c r="AU247">
        <v>54</v>
      </c>
      <c r="AV247">
        <v>63</v>
      </c>
      <c r="AW247">
        <v>57</v>
      </c>
      <c r="AX247">
        <v>67</v>
      </c>
      <c r="AY247">
        <v>58</v>
      </c>
      <c r="AZ247">
        <v>63</v>
      </c>
      <c r="BA247">
        <v>62</v>
      </c>
      <c r="BB247">
        <v>63</v>
      </c>
      <c r="BC247">
        <v>67</v>
      </c>
      <c r="BD247">
        <v>68</v>
      </c>
    </row>
    <row r="248" spans="1:56" x14ac:dyDescent="0.25">
      <c r="A248" t="s">
        <v>4410</v>
      </c>
      <c r="B248" t="s">
        <v>153</v>
      </c>
      <c r="C248" t="s">
        <v>93</v>
      </c>
      <c r="D248">
        <v>679</v>
      </c>
      <c r="E248">
        <v>21.626999999999999</v>
      </c>
      <c r="F248">
        <v>20</v>
      </c>
      <c r="G248">
        <v>32</v>
      </c>
      <c r="H248">
        <v>26</v>
      </c>
      <c r="I248">
        <v>25</v>
      </c>
      <c r="J248">
        <v>23</v>
      </c>
      <c r="K248">
        <v>21</v>
      </c>
      <c r="L248">
        <v>22</v>
      </c>
      <c r="M248">
        <v>21</v>
      </c>
      <c r="N248">
        <v>20</v>
      </c>
      <c r="O248">
        <v>20</v>
      </c>
      <c r="P248">
        <v>19</v>
      </c>
      <c r="Q248">
        <v>17</v>
      </c>
      <c r="R248">
        <v>17</v>
      </c>
      <c r="S248">
        <v>20</v>
      </c>
      <c r="T248">
        <v>19</v>
      </c>
      <c r="U248">
        <v>18</v>
      </c>
      <c r="V248">
        <v>18</v>
      </c>
      <c r="W248">
        <v>21</v>
      </c>
      <c r="X248">
        <v>20</v>
      </c>
      <c r="Y248">
        <v>20</v>
      </c>
      <c r="Z248">
        <v>19</v>
      </c>
      <c r="AA248">
        <v>18</v>
      </c>
      <c r="AB248">
        <v>21</v>
      </c>
      <c r="AC248">
        <v>17</v>
      </c>
      <c r="AD248">
        <v>17</v>
      </c>
      <c r="AE248">
        <v>17</v>
      </c>
      <c r="AF248">
        <v>19</v>
      </c>
      <c r="AG248">
        <v>18</v>
      </c>
      <c r="AH248">
        <v>17</v>
      </c>
      <c r="AI248">
        <v>18</v>
      </c>
      <c r="AJ248">
        <v>22</v>
      </c>
      <c r="AK248">
        <v>18</v>
      </c>
      <c r="AL248">
        <v>23</v>
      </c>
      <c r="AM248">
        <v>20</v>
      </c>
      <c r="AN248">
        <v>22</v>
      </c>
      <c r="AO248">
        <v>20</v>
      </c>
      <c r="AP248">
        <v>21</v>
      </c>
      <c r="AQ248">
        <v>20</v>
      </c>
      <c r="AR248">
        <v>25</v>
      </c>
      <c r="AS248">
        <v>28</v>
      </c>
      <c r="AT248">
        <v>24</v>
      </c>
      <c r="AU248">
        <v>26</v>
      </c>
      <c r="AV248">
        <v>25</v>
      </c>
      <c r="AW248">
        <v>27</v>
      </c>
      <c r="AX248">
        <v>24</v>
      </c>
      <c r="AY248">
        <v>23</v>
      </c>
      <c r="AZ248">
        <v>28</v>
      </c>
      <c r="BA248">
        <v>26</v>
      </c>
      <c r="BB248">
        <v>28</v>
      </c>
      <c r="BC248">
        <v>27</v>
      </c>
      <c r="BD248">
        <v>26</v>
      </c>
    </row>
    <row r="249" spans="1:56" x14ac:dyDescent="0.25">
      <c r="A249" t="s">
        <v>4411</v>
      </c>
      <c r="B249" t="s">
        <v>154</v>
      </c>
      <c r="C249" t="s">
        <v>93</v>
      </c>
      <c r="D249">
        <v>90</v>
      </c>
      <c r="E249">
        <v>23.431000000000001</v>
      </c>
      <c r="F249">
        <v>13</v>
      </c>
      <c r="G249">
        <v>15</v>
      </c>
      <c r="H249">
        <v>38</v>
      </c>
      <c r="I249">
        <v>18</v>
      </c>
      <c r="J249">
        <v>19</v>
      </c>
      <c r="K249">
        <v>26</v>
      </c>
      <c r="L249">
        <v>29</v>
      </c>
      <c r="M249">
        <v>19</v>
      </c>
      <c r="N249">
        <v>27</v>
      </c>
      <c r="O249">
        <v>10</v>
      </c>
      <c r="P249">
        <v>18</v>
      </c>
      <c r="Q249">
        <v>17</v>
      </c>
      <c r="R249">
        <v>22</v>
      </c>
      <c r="S249">
        <v>22</v>
      </c>
      <c r="T249">
        <v>17</v>
      </c>
      <c r="U249">
        <v>27</v>
      </c>
      <c r="V249">
        <v>25</v>
      </c>
      <c r="W249">
        <v>16</v>
      </c>
      <c r="X249">
        <v>23</v>
      </c>
      <c r="Y249">
        <v>27</v>
      </c>
      <c r="Z249">
        <v>17</v>
      </c>
      <c r="AA249">
        <v>23</v>
      </c>
      <c r="AB249">
        <v>16</v>
      </c>
      <c r="AC249">
        <v>24</v>
      </c>
      <c r="AD249">
        <v>22</v>
      </c>
      <c r="AE249">
        <v>17</v>
      </c>
      <c r="AF249">
        <v>21</v>
      </c>
      <c r="AG249">
        <v>22</v>
      </c>
      <c r="AH249">
        <v>21</v>
      </c>
      <c r="AI249">
        <v>26</v>
      </c>
      <c r="AJ249">
        <v>29</v>
      </c>
      <c r="AK249">
        <v>27</v>
      </c>
      <c r="AL249">
        <v>28</v>
      </c>
      <c r="AM249">
        <v>22</v>
      </c>
      <c r="AN249">
        <v>18</v>
      </c>
      <c r="AO249">
        <v>23</v>
      </c>
      <c r="AP249">
        <v>17</v>
      </c>
      <c r="AQ249">
        <v>30</v>
      </c>
      <c r="AR249">
        <v>24</v>
      </c>
      <c r="AS249">
        <v>24</v>
      </c>
      <c r="AT249">
        <v>28</v>
      </c>
      <c r="AU249">
        <v>32</v>
      </c>
      <c r="AV249">
        <v>22</v>
      </c>
      <c r="AW249">
        <v>21</v>
      </c>
      <c r="AX249">
        <v>38</v>
      </c>
      <c r="AY249">
        <v>27</v>
      </c>
      <c r="AZ249">
        <v>27</v>
      </c>
      <c r="BA249">
        <v>37</v>
      </c>
      <c r="BB249">
        <v>29</v>
      </c>
      <c r="BC249">
        <v>25</v>
      </c>
      <c r="BD249">
        <v>30</v>
      </c>
    </row>
    <row r="250" spans="1:56" x14ac:dyDescent="0.25">
      <c r="A250" t="s">
        <v>4412</v>
      </c>
      <c r="B250" t="s">
        <v>155</v>
      </c>
      <c r="C250" t="s">
        <v>93</v>
      </c>
      <c r="D250">
        <v>162</v>
      </c>
      <c r="E250">
        <v>26.803999999999998</v>
      </c>
      <c r="F250">
        <v>24</v>
      </c>
      <c r="G250">
        <v>34</v>
      </c>
      <c r="H250">
        <v>25</v>
      </c>
      <c r="I250">
        <v>28</v>
      </c>
      <c r="J250">
        <v>27</v>
      </c>
      <c r="K250">
        <v>31</v>
      </c>
      <c r="L250">
        <v>33</v>
      </c>
      <c r="M250">
        <v>23</v>
      </c>
      <c r="N250">
        <v>20</v>
      </c>
      <c r="O250">
        <v>29</v>
      </c>
      <c r="P250">
        <v>24</v>
      </c>
      <c r="Q250">
        <v>26</v>
      </c>
      <c r="R250">
        <v>20</v>
      </c>
      <c r="S250">
        <v>22</v>
      </c>
      <c r="T250">
        <v>25</v>
      </c>
      <c r="U250">
        <v>24</v>
      </c>
      <c r="V250">
        <v>25</v>
      </c>
      <c r="W250">
        <v>29</v>
      </c>
      <c r="X250">
        <v>28</v>
      </c>
      <c r="Y250">
        <v>24</v>
      </c>
      <c r="Z250">
        <v>27</v>
      </c>
      <c r="AA250">
        <v>29</v>
      </c>
      <c r="AB250">
        <v>23</v>
      </c>
      <c r="AC250">
        <v>25</v>
      </c>
      <c r="AD250">
        <v>22</v>
      </c>
      <c r="AE250">
        <v>20</v>
      </c>
      <c r="AF250">
        <v>23</v>
      </c>
      <c r="AG250">
        <v>31</v>
      </c>
      <c r="AH250">
        <v>24</v>
      </c>
      <c r="AI250">
        <v>16</v>
      </c>
      <c r="AJ250">
        <v>24</v>
      </c>
      <c r="AK250">
        <v>24</v>
      </c>
      <c r="AL250">
        <v>24</v>
      </c>
      <c r="AM250">
        <v>27</v>
      </c>
      <c r="AN250">
        <v>31</v>
      </c>
      <c r="AO250">
        <v>26</v>
      </c>
      <c r="AP250">
        <v>25</v>
      </c>
      <c r="AQ250">
        <v>27</v>
      </c>
      <c r="AR250">
        <v>32</v>
      </c>
      <c r="AS250">
        <v>29</v>
      </c>
      <c r="AT250">
        <v>28</v>
      </c>
      <c r="AU250">
        <v>36</v>
      </c>
      <c r="AV250">
        <v>28</v>
      </c>
      <c r="AW250">
        <v>25</v>
      </c>
      <c r="AX250">
        <v>27</v>
      </c>
      <c r="AY250">
        <v>37</v>
      </c>
      <c r="AZ250">
        <v>27</v>
      </c>
      <c r="BA250">
        <v>35</v>
      </c>
      <c r="BB250">
        <v>34</v>
      </c>
      <c r="BC250">
        <v>31</v>
      </c>
      <c r="BD250">
        <v>29</v>
      </c>
    </row>
    <row r="251" spans="1:56" x14ac:dyDescent="0.25">
      <c r="A251" t="s">
        <v>4413</v>
      </c>
      <c r="B251" t="s">
        <v>156</v>
      </c>
      <c r="C251" t="s">
        <v>93</v>
      </c>
      <c r="D251">
        <v>94</v>
      </c>
      <c r="E251">
        <v>18.667000000000002</v>
      </c>
      <c r="F251">
        <v>22</v>
      </c>
      <c r="G251">
        <v>36</v>
      </c>
      <c r="H251">
        <v>31</v>
      </c>
      <c r="I251">
        <v>25</v>
      </c>
      <c r="J251">
        <v>29</v>
      </c>
      <c r="K251">
        <v>26</v>
      </c>
      <c r="L251">
        <v>27</v>
      </c>
      <c r="M251">
        <v>23</v>
      </c>
      <c r="N251">
        <v>16</v>
      </c>
      <c r="O251">
        <v>17</v>
      </c>
      <c r="P251">
        <v>17</v>
      </c>
      <c r="Q251">
        <v>17</v>
      </c>
      <c r="R251">
        <v>19</v>
      </c>
      <c r="S251">
        <v>14</v>
      </c>
      <c r="T251">
        <v>20</v>
      </c>
      <c r="U251">
        <v>15</v>
      </c>
      <c r="V251">
        <v>19</v>
      </c>
      <c r="W251">
        <v>14</v>
      </c>
      <c r="X251">
        <v>19</v>
      </c>
      <c r="Y251">
        <v>21</v>
      </c>
      <c r="Z251">
        <v>22</v>
      </c>
      <c r="AA251">
        <v>13</v>
      </c>
      <c r="AB251">
        <v>15</v>
      </c>
      <c r="AC251">
        <v>21</v>
      </c>
      <c r="AD251">
        <v>22</v>
      </c>
      <c r="AE251">
        <v>11</v>
      </c>
      <c r="AF251">
        <v>15</v>
      </c>
      <c r="AG251">
        <v>11</v>
      </c>
      <c r="AH251">
        <v>12</v>
      </c>
      <c r="AI251">
        <v>13</v>
      </c>
      <c r="AJ251">
        <v>19</v>
      </c>
      <c r="AK251">
        <v>12</v>
      </c>
      <c r="AL251">
        <v>14</v>
      </c>
      <c r="AM251">
        <v>23</v>
      </c>
      <c r="AN251">
        <v>12</v>
      </c>
      <c r="AO251">
        <v>13</v>
      </c>
      <c r="AP251">
        <v>13</v>
      </c>
      <c r="AQ251">
        <v>13</v>
      </c>
      <c r="AR251">
        <v>26</v>
      </c>
      <c r="AS251">
        <v>16</v>
      </c>
      <c r="AT251">
        <v>16</v>
      </c>
      <c r="AU251">
        <v>19</v>
      </c>
      <c r="AV251">
        <v>25</v>
      </c>
      <c r="AW251">
        <v>14</v>
      </c>
      <c r="AX251">
        <v>21</v>
      </c>
      <c r="AY251">
        <v>18</v>
      </c>
      <c r="AZ251">
        <v>17</v>
      </c>
      <c r="BA251">
        <v>18</v>
      </c>
      <c r="BB251">
        <v>20</v>
      </c>
      <c r="BC251">
        <v>20</v>
      </c>
      <c r="BD251">
        <v>21</v>
      </c>
    </row>
    <row r="252" spans="1:56" x14ac:dyDescent="0.25">
      <c r="A252" t="s">
        <v>4414</v>
      </c>
      <c r="B252" t="s">
        <v>157</v>
      </c>
      <c r="C252" t="s">
        <v>93</v>
      </c>
      <c r="D252">
        <v>62</v>
      </c>
      <c r="E252">
        <v>23.02</v>
      </c>
      <c r="F252">
        <v>23</v>
      </c>
      <c r="G252">
        <v>24</v>
      </c>
      <c r="H252">
        <v>22</v>
      </c>
      <c r="I252">
        <v>18</v>
      </c>
      <c r="J252">
        <v>10</v>
      </c>
      <c r="K252">
        <v>17</v>
      </c>
      <c r="L252">
        <v>26</v>
      </c>
      <c r="M252">
        <v>20</v>
      </c>
      <c r="N252">
        <v>12</v>
      </c>
      <c r="O252">
        <v>29</v>
      </c>
      <c r="P252">
        <v>22</v>
      </c>
      <c r="Q252">
        <v>20</v>
      </c>
      <c r="R252">
        <v>16</v>
      </c>
      <c r="S252">
        <v>22</v>
      </c>
      <c r="T252">
        <v>18</v>
      </c>
      <c r="U252">
        <v>21</v>
      </c>
      <c r="V252">
        <v>17</v>
      </c>
      <c r="W252">
        <v>16</v>
      </c>
      <c r="X252">
        <v>17</v>
      </c>
      <c r="Y252">
        <v>24</v>
      </c>
      <c r="Z252">
        <v>17</v>
      </c>
      <c r="AA252">
        <v>20</v>
      </c>
      <c r="AB252">
        <v>20</v>
      </c>
      <c r="AC252">
        <v>15</v>
      </c>
      <c r="AD252">
        <v>20</v>
      </c>
      <c r="AE252">
        <v>13</v>
      </c>
      <c r="AF252">
        <v>22</v>
      </c>
      <c r="AG252">
        <v>20</v>
      </c>
      <c r="AH252">
        <v>22</v>
      </c>
      <c r="AI252">
        <v>19</v>
      </c>
      <c r="AJ252">
        <v>25</v>
      </c>
      <c r="AK252">
        <v>22</v>
      </c>
      <c r="AL252">
        <v>26</v>
      </c>
      <c r="AM252">
        <v>25</v>
      </c>
      <c r="AN252">
        <v>21</v>
      </c>
      <c r="AO252">
        <v>17</v>
      </c>
      <c r="AP252">
        <v>21</v>
      </c>
      <c r="AQ252">
        <v>24</v>
      </c>
      <c r="AR252">
        <v>25</v>
      </c>
      <c r="AS252">
        <v>24</v>
      </c>
      <c r="AT252">
        <v>25</v>
      </c>
      <c r="AU252">
        <v>27</v>
      </c>
      <c r="AV252">
        <v>18</v>
      </c>
      <c r="AW252">
        <v>32</v>
      </c>
      <c r="AX252">
        <v>27</v>
      </c>
      <c r="AY252">
        <v>32</v>
      </c>
      <c r="AZ252">
        <v>38</v>
      </c>
      <c r="BA252">
        <v>45</v>
      </c>
      <c r="BB252">
        <v>38</v>
      </c>
      <c r="BC252">
        <v>39</v>
      </c>
      <c r="BD252">
        <v>41</v>
      </c>
    </row>
    <row r="253" spans="1:56" x14ac:dyDescent="0.25">
      <c r="A253" t="s">
        <v>4415</v>
      </c>
      <c r="B253" t="s">
        <v>158</v>
      </c>
      <c r="C253" t="s">
        <v>93</v>
      </c>
      <c r="D253">
        <v>169</v>
      </c>
      <c r="E253">
        <v>29.686</v>
      </c>
      <c r="F253">
        <v>28</v>
      </c>
      <c r="G253">
        <v>35</v>
      </c>
      <c r="H253">
        <v>25</v>
      </c>
      <c r="I253">
        <v>29</v>
      </c>
      <c r="J253">
        <v>32</v>
      </c>
      <c r="K253">
        <v>31</v>
      </c>
      <c r="L253">
        <v>42</v>
      </c>
      <c r="M253">
        <v>26</v>
      </c>
      <c r="N253">
        <v>23</v>
      </c>
      <c r="O253">
        <v>29</v>
      </c>
      <c r="P253">
        <v>22</v>
      </c>
      <c r="Q253">
        <v>31</v>
      </c>
      <c r="R253">
        <v>27</v>
      </c>
      <c r="S253">
        <v>28</v>
      </c>
      <c r="T253">
        <v>23</v>
      </c>
      <c r="U253">
        <v>22</v>
      </c>
      <c r="V253">
        <v>34</v>
      </c>
      <c r="W253">
        <v>28</v>
      </c>
      <c r="X253">
        <v>31</v>
      </c>
      <c r="Y253">
        <v>28</v>
      </c>
      <c r="Z253">
        <v>30</v>
      </c>
      <c r="AA253">
        <v>30</v>
      </c>
      <c r="AB253">
        <v>28</v>
      </c>
      <c r="AC253">
        <v>23</v>
      </c>
      <c r="AD253">
        <v>25</v>
      </c>
      <c r="AE253">
        <v>26</v>
      </c>
      <c r="AF253">
        <v>25</v>
      </c>
      <c r="AG253">
        <v>33</v>
      </c>
      <c r="AH253">
        <v>33</v>
      </c>
      <c r="AI253">
        <v>28</v>
      </c>
      <c r="AJ253">
        <v>23</v>
      </c>
      <c r="AK253">
        <v>25</v>
      </c>
      <c r="AL253">
        <v>42</v>
      </c>
      <c r="AM253">
        <v>42</v>
      </c>
      <c r="AN253">
        <v>45</v>
      </c>
      <c r="AO253">
        <v>38</v>
      </c>
      <c r="AP253">
        <v>34</v>
      </c>
      <c r="AQ253">
        <v>28</v>
      </c>
      <c r="AR253">
        <v>30</v>
      </c>
      <c r="AS253">
        <v>30</v>
      </c>
      <c r="AT253">
        <v>30</v>
      </c>
      <c r="AU253">
        <v>29</v>
      </c>
      <c r="AV253">
        <v>29</v>
      </c>
      <c r="AW253">
        <v>25</v>
      </c>
      <c r="AX253">
        <v>27</v>
      </c>
      <c r="AY253">
        <v>25</v>
      </c>
      <c r="AZ253">
        <v>32</v>
      </c>
      <c r="BA253">
        <v>23</v>
      </c>
      <c r="BB253">
        <v>28</v>
      </c>
      <c r="BC253">
        <v>36</v>
      </c>
      <c r="BD253">
        <v>38</v>
      </c>
    </row>
    <row r="254" spans="1:56" x14ac:dyDescent="0.25">
      <c r="A254" t="s">
        <v>4416</v>
      </c>
      <c r="B254" t="s">
        <v>159</v>
      </c>
      <c r="C254" t="s">
        <v>93</v>
      </c>
      <c r="D254">
        <v>178</v>
      </c>
      <c r="E254">
        <v>37.411999999999999</v>
      </c>
      <c r="F254">
        <v>29</v>
      </c>
      <c r="G254">
        <v>32</v>
      </c>
      <c r="H254">
        <v>31</v>
      </c>
      <c r="I254">
        <v>25</v>
      </c>
      <c r="J254">
        <v>27</v>
      </c>
      <c r="K254">
        <v>29</v>
      </c>
      <c r="L254">
        <v>24</v>
      </c>
      <c r="M254">
        <v>36</v>
      </c>
      <c r="N254">
        <v>31</v>
      </c>
      <c r="O254">
        <v>36</v>
      </c>
      <c r="P254">
        <v>37</v>
      </c>
      <c r="Q254">
        <v>30</v>
      </c>
      <c r="R254">
        <v>33</v>
      </c>
      <c r="S254">
        <v>35</v>
      </c>
      <c r="T254">
        <v>28</v>
      </c>
      <c r="U254">
        <v>33</v>
      </c>
      <c r="V254">
        <v>31</v>
      </c>
      <c r="W254">
        <v>27</v>
      </c>
      <c r="X254">
        <v>28</v>
      </c>
      <c r="Y254">
        <v>38</v>
      </c>
      <c r="Z254">
        <v>30</v>
      </c>
      <c r="AA254">
        <v>40</v>
      </c>
      <c r="AB254">
        <v>37</v>
      </c>
      <c r="AC254">
        <v>46</v>
      </c>
      <c r="AD254">
        <v>39</v>
      </c>
      <c r="AE254">
        <v>38</v>
      </c>
      <c r="AF254">
        <v>36</v>
      </c>
      <c r="AG254">
        <v>40</v>
      </c>
      <c r="AH254">
        <v>42</v>
      </c>
      <c r="AI254">
        <v>40</v>
      </c>
      <c r="AJ254">
        <v>39</v>
      </c>
      <c r="AK254">
        <v>41</v>
      </c>
      <c r="AL254">
        <v>41</v>
      </c>
      <c r="AM254">
        <v>46</v>
      </c>
      <c r="AN254">
        <v>42</v>
      </c>
      <c r="AO254">
        <v>37</v>
      </c>
      <c r="AP254">
        <v>37</v>
      </c>
      <c r="AQ254">
        <v>45</v>
      </c>
      <c r="AR254">
        <v>40</v>
      </c>
      <c r="AS254">
        <v>39</v>
      </c>
      <c r="AT254">
        <v>39</v>
      </c>
      <c r="AU254">
        <v>42</v>
      </c>
      <c r="AV254">
        <v>45</v>
      </c>
      <c r="AW254">
        <v>45</v>
      </c>
      <c r="AX254">
        <v>44</v>
      </c>
      <c r="AY254">
        <v>47</v>
      </c>
      <c r="AZ254">
        <v>43</v>
      </c>
      <c r="BA254">
        <v>46</v>
      </c>
      <c r="BB254">
        <v>46</v>
      </c>
      <c r="BC254">
        <v>44</v>
      </c>
      <c r="BD254">
        <v>52</v>
      </c>
    </row>
    <row r="255" spans="1:56" x14ac:dyDescent="0.25">
      <c r="A255" t="s">
        <v>4417</v>
      </c>
      <c r="B255" t="s">
        <v>160</v>
      </c>
      <c r="C255" t="s">
        <v>93</v>
      </c>
      <c r="D255">
        <v>512</v>
      </c>
      <c r="E255">
        <v>23.922000000000001</v>
      </c>
      <c r="F255">
        <v>22</v>
      </c>
      <c r="G255">
        <v>28</v>
      </c>
      <c r="H255">
        <v>31</v>
      </c>
      <c r="I255">
        <v>19</v>
      </c>
      <c r="J255">
        <v>23</v>
      </c>
      <c r="K255">
        <v>24</v>
      </c>
      <c r="L255">
        <v>24</v>
      </c>
      <c r="M255">
        <v>21</v>
      </c>
      <c r="N255">
        <v>20</v>
      </c>
      <c r="O255">
        <v>21</v>
      </c>
      <c r="P255">
        <v>22</v>
      </c>
      <c r="Q255">
        <v>22</v>
      </c>
      <c r="R255">
        <v>22</v>
      </c>
      <c r="S255">
        <v>22</v>
      </c>
      <c r="T255">
        <v>25</v>
      </c>
      <c r="U255">
        <v>21</v>
      </c>
      <c r="V255">
        <v>20</v>
      </c>
      <c r="W255">
        <v>21</v>
      </c>
      <c r="X255">
        <v>20</v>
      </c>
      <c r="Y255">
        <v>22</v>
      </c>
      <c r="Z255">
        <v>21</v>
      </c>
      <c r="AA255">
        <v>24</v>
      </c>
      <c r="AB255">
        <v>26</v>
      </c>
      <c r="AC255">
        <v>22</v>
      </c>
      <c r="AD255">
        <v>24</v>
      </c>
      <c r="AE255">
        <v>25</v>
      </c>
      <c r="AF255">
        <v>23</v>
      </c>
      <c r="AG255">
        <v>28</v>
      </c>
      <c r="AH255">
        <v>24</v>
      </c>
      <c r="AI255">
        <v>23</v>
      </c>
      <c r="AJ255">
        <v>23</v>
      </c>
      <c r="AK255">
        <v>20</v>
      </c>
      <c r="AL255">
        <v>26</v>
      </c>
      <c r="AM255">
        <v>25</v>
      </c>
      <c r="AN255">
        <v>22</v>
      </c>
      <c r="AO255">
        <v>22</v>
      </c>
      <c r="AP255">
        <v>21</v>
      </c>
      <c r="AQ255">
        <v>19</v>
      </c>
      <c r="AR255">
        <v>27</v>
      </c>
      <c r="AS255">
        <v>25</v>
      </c>
      <c r="AT255">
        <v>22</v>
      </c>
      <c r="AU255">
        <v>24</v>
      </c>
      <c r="AV255">
        <v>25</v>
      </c>
      <c r="AW255">
        <v>27</v>
      </c>
      <c r="AX255">
        <v>28</v>
      </c>
      <c r="AY255">
        <v>29</v>
      </c>
      <c r="AZ255">
        <v>30</v>
      </c>
      <c r="BA255">
        <v>26</v>
      </c>
      <c r="BB255">
        <v>27</v>
      </c>
      <c r="BC255">
        <v>28</v>
      </c>
      <c r="BD255">
        <v>34</v>
      </c>
    </row>
    <row r="256" spans="1:56" x14ac:dyDescent="0.25">
      <c r="A256" t="s">
        <v>4418</v>
      </c>
      <c r="B256" t="s">
        <v>244</v>
      </c>
      <c r="C256" t="s">
        <v>93</v>
      </c>
      <c r="D256">
        <v>653</v>
      </c>
      <c r="E256">
        <v>24.765000000000001</v>
      </c>
      <c r="F256">
        <v>24</v>
      </c>
      <c r="G256">
        <v>30</v>
      </c>
      <c r="H256">
        <v>33</v>
      </c>
      <c r="I256">
        <v>24</v>
      </c>
      <c r="J256">
        <v>24</v>
      </c>
      <c r="K256">
        <v>25</v>
      </c>
      <c r="L256">
        <v>27</v>
      </c>
      <c r="M256">
        <v>23</v>
      </c>
      <c r="N256">
        <v>22</v>
      </c>
      <c r="O256">
        <v>21</v>
      </c>
      <c r="P256">
        <v>23</v>
      </c>
      <c r="Q256">
        <v>22</v>
      </c>
      <c r="R256">
        <v>25</v>
      </c>
      <c r="S256">
        <v>24</v>
      </c>
      <c r="T256">
        <v>23</v>
      </c>
      <c r="U256">
        <v>23</v>
      </c>
      <c r="V256">
        <v>28</v>
      </c>
      <c r="W256">
        <v>21</v>
      </c>
      <c r="X256">
        <v>28</v>
      </c>
      <c r="Y256">
        <v>24</v>
      </c>
      <c r="Z256">
        <v>25</v>
      </c>
      <c r="AA256">
        <v>23</v>
      </c>
      <c r="AB256">
        <v>25</v>
      </c>
      <c r="AC256">
        <v>20</v>
      </c>
      <c r="AD256">
        <v>24</v>
      </c>
      <c r="AE256">
        <v>23</v>
      </c>
      <c r="AF256">
        <v>24</v>
      </c>
      <c r="AG256">
        <v>24</v>
      </c>
      <c r="AH256">
        <v>25</v>
      </c>
      <c r="AI256">
        <v>21</v>
      </c>
      <c r="AJ256">
        <v>23</v>
      </c>
      <c r="AK256">
        <v>24</v>
      </c>
      <c r="AL256">
        <v>25</v>
      </c>
      <c r="AM256">
        <v>26</v>
      </c>
      <c r="AN256">
        <v>26</v>
      </c>
      <c r="AO256">
        <v>22</v>
      </c>
      <c r="AP256">
        <v>24</v>
      </c>
      <c r="AQ256">
        <v>24</v>
      </c>
      <c r="AR256">
        <v>24</v>
      </c>
      <c r="AS256">
        <v>23</v>
      </c>
      <c r="AT256">
        <v>24</v>
      </c>
      <c r="AU256">
        <v>25</v>
      </c>
      <c r="AV256">
        <v>26</v>
      </c>
      <c r="AW256">
        <v>28</v>
      </c>
      <c r="AX256">
        <v>28</v>
      </c>
      <c r="AY256">
        <v>26</v>
      </c>
      <c r="AZ256">
        <v>29</v>
      </c>
      <c r="BA256">
        <v>26</v>
      </c>
      <c r="BB256">
        <v>27</v>
      </c>
      <c r="BC256">
        <v>27</v>
      </c>
      <c r="BD256">
        <v>28</v>
      </c>
    </row>
    <row r="257" spans="1:56" x14ac:dyDescent="0.25">
      <c r="A257" t="s">
        <v>4419</v>
      </c>
      <c r="B257" t="s">
        <v>245</v>
      </c>
      <c r="C257" t="s">
        <v>93</v>
      </c>
      <c r="D257">
        <v>132</v>
      </c>
      <c r="E257">
        <v>25.588000000000001</v>
      </c>
      <c r="F257">
        <v>15</v>
      </c>
      <c r="G257">
        <v>38</v>
      </c>
      <c r="H257">
        <v>26</v>
      </c>
      <c r="I257">
        <v>25</v>
      </c>
      <c r="J257">
        <v>19</v>
      </c>
      <c r="K257">
        <v>31</v>
      </c>
      <c r="L257">
        <v>21</v>
      </c>
      <c r="M257">
        <v>24</v>
      </c>
      <c r="N257">
        <v>23</v>
      </c>
      <c r="O257">
        <v>20</v>
      </c>
      <c r="P257">
        <v>25</v>
      </c>
      <c r="Q257">
        <v>21</v>
      </c>
      <c r="R257">
        <v>25</v>
      </c>
      <c r="S257">
        <v>24</v>
      </c>
      <c r="T257">
        <v>23</v>
      </c>
      <c r="U257">
        <v>20</v>
      </c>
      <c r="V257">
        <v>21</v>
      </c>
      <c r="W257">
        <v>33</v>
      </c>
      <c r="X257">
        <v>21</v>
      </c>
      <c r="Y257">
        <v>19</v>
      </c>
      <c r="Z257">
        <v>24</v>
      </c>
      <c r="AA257">
        <v>21</v>
      </c>
      <c r="AB257">
        <v>22</v>
      </c>
      <c r="AC257">
        <v>25</v>
      </c>
      <c r="AD257">
        <v>23</v>
      </c>
      <c r="AE257">
        <v>27</v>
      </c>
      <c r="AF257">
        <v>19</v>
      </c>
      <c r="AG257">
        <v>22</v>
      </c>
      <c r="AH257">
        <v>31</v>
      </c>
      <c r="AI257">
        <v>26</v>
      </c>
      <c r="AJ257">
        <v>23</v>
      </c>
      <c r="AK257">
        <v>29</v>
      </c>
      <c r="AL257">
        <v>29</v>
      </c>
      <c r="AM257">
        <v>28</v>
      </c>
      <c r="AN257">
        <v>32</v>
      </c>
      <c r="AO257">
        <v>28</v>
      </c>
      <c r="AP257">
        <v>33</v>
      </c>
      <c r="AQ257">
        <v>24</v>
      </c>
      <c r="AR257">
        <v>30</v>
      </c>
      <c r="AS257">
        <v>26</v>
      </c>
      <c r="AT257">
        <v>27</v>
      </c>
      <c r="AU257">
        <v>27</v>
      </c>
      <c r="AV257">
        <v>28</v>
      </c>
      <c r="AW257">
        <v>26</v>
      </c>
      <c r="AX257">
        <v>28</v>
      </c>
      <c r="AY257">
        <v>28</v>
      </c>
      <c r="AZ257">
        <v>30</v>
      </c>
      <c r="BA257">
        <v>29</v>
      </c>
      <c r="BB257">
        <v>23</v>
      </c>
      <c r="BC257">
        <v>32</v>
      </c>
      <c r="BD257">
        <v>31</v>
      </c>
    </row>
    <row r="258" spans="1:56" x14ac:dyDescent="0.25">
      <c r="A258" t="s">
        <v>4420</v>
      </c>
      <c r="B258" t="s">
        <v>246</v>
      </c>
      <c r="C258" t="s">
        <v>93</v>
      </c>
      <c r="D258">
        <v>237</v>
      </c>
      <c r="E258">
        <v>29.175999999999998</v>
      </c>
      <c r="F258">
        <v>19</v>
      </c>
      <c r="G258">
        <v>28</v>
      </c>
      <c r="H258">
        <v>35</v>
      </c>
      <c r="I258">
        <v>26</v>
      </c>
      <c r="J258">
        <v>34</v>
      </c>
      <c r="K258">
        <v>28</v>
      </c>
      <c r="L258">
        <v>30</v>
      </c>
      <c r="M258">
        <v>25</v>
      </c>
      <c r="N258">
        <v>32</v>
      </c>
      <c r="O258">
        <v>27</v>
      </c>
      <c r="P258">
        <v>32</v>
      </c>
      <c r="Q258">
        <v>33</v>
      </c>
      <c r="R258">
        <v>29</v>
      </c>
      <c r="S258">
        <v>31</v>
      </c>
      <c r="T258">
        <v>28</v>
      </c>
      <c r="U258">
        <v>28</v>
      </c>
      <c r="V258">
        <v>30</v>
      </c>
      <c r="W258">
        <v>31</v>
      </c>
      <c r="X258">
        <v>29</v>
      </c>
      <c r="Y258">
        <v>30</v>
      </c>
      <c r="Z258">
        <v>24</v>
      </c>
      <c r="AA258">
        <v>30</v>
      </c>
      <c r="AB258">
        <v>33</v>
      </c>
      <c r="AC258">
        <v>27</v>
      </c>
      <c r="AD258">
        <v>30</v>
      </c>
      <c r="AE258">
        <v>29</v>
      </c>
      <c r="AF258">
        <v>27</v>
      </c>
      <c r="AG258">
        <v>25</v>
      </c>
      <c r="AH258">
        <v>29</v>
      </c>
      <c r="AI258">
        <v>26</v>
      </c>
      <c r="AJ258">
        <v>26</v>
      </c>
      <c r="AK258">
        <v>31</v>
      </c>
      <c r="AL258">
        <v>31</v>
      </c>
      <c r="AM258">
        <v>29</v>
      </c>
      <c r="AN258">
        <v>28</v>
      </c>
      <c r="AO258">
        <v>29</v>
      </c>
      <c r="AP258">
        <v>31</v>
      </c>
      <c r="AQ258">
        <v>29</v>
      </c>
      <c r="AR258">
        <v>26</v>
      </c>
      <c r="AS258">
        <v>28</v>
      </c>
      <c r="AT258">
        <v>29</v>
      </c>
      <c r="AU258">
        <v>25</v>
      </c>
      <c r="AV258">
        <v>28</v>
      </c>
      <c r="AW258">
        <v>27</v>
      </c>
      <c r="AX258">
        <v>29</v>
      </c>
      <c r="AY258">
        <v>34</v>
      </c>
      <c r="AZ258">
        <v>33</v>
      </c>
      <c r="BA258">
        <v>32</v>
      </c>
      <c r="BB258">
        <v>37</v>
      </c>
      <c r="BC258">
        <v>30</v>
      </c>
      <c r="BD258">
        <v>31</v>
      </c>
    </row>
    <row r="259" spans="1:56" x14ac:dyDescent="0.25">
      <c r="A259" t="s">
        <v>4421</v>
      </c>
      <c r="B259" t="s">
        <v>164</v>
      </c>
      <c r="C259" t="s">
        <v>93</v>
      </c>
      <c r="D259">
        <v>46</v>
      </c>
      <c r="E259">
        <v>26.254999999999999</v>
      </c>
      <c r="F259">
        <v>29</v>
      </c>
      <c r="G259">
        <v>35</v>
      </c>
      <c r="H259">
        <v>29</v>
      </c>
      <c r="I259">
        <v>23</v>
      </c>
      <c r="J259">
        <v>22</v>
      </c>
      <c r="K259">
        <v>24</v>
      </c>
      <c r="L259">
        <v>22</v>
      </c>
      <c r="M259">
        <v>17</v>
      </c>
      <c r="N259">
        <v>19</v>
      </c>
      <c r="O259">
        <v>31</v>
      </c>
      <c r="P259">
        <v>28</v>
      </c>
      <c r="Q259">
        <v>25</v>
      </c>
      <c r="R259">
        <v>16</v>
      </c>
      <c r="S259">
        <v>27</v>
      </c>
      <c r="T259">
        <v>24</v>
      </c>
      <c r="U259">
        <v>18</v>
      </c>
      <c r="V259">
        <v>16</v>
      </c>
      <c r="W259">
        <v>31</v>
      </c>
      <c r="X259">
        <v>16</v>
      </c>
      <c r="Y259">
        <v>21</v>
      </c>
      <c r="Z259">
        <v>15</v>
      </c>
      <c r="AA259">
        <v>28</v>
      </c>
      <c r="AB259">
        <v>23</v>
      </c>
      <c r="AC259">
        <v>17</v>
      </c>
      <c r="AD259">
        <v>22</v>
      </c>
      <c r="AE259">
        <v>26</v>
      </c>
      <c r="AF259">
        <v>19</v>
      </c>
      <c r="AG259">
        <v>28</v>
      </c>
      <c r="AH259">
        <v>26</v>
      </c>
      <c r="AI259">
        <v>30</v>
      </c>
      <c r="AJ259">
        <v>22</v>
      </c>
      <c r="AK259">
        <v>30</v>
      </c>
      <c r="AL259">
        <v>37</v>
      </c>
      <c r="AM259">
        <v>35</v>
      </c>
      <c r="AN259">
        <v>32</v>
      </c>
      <c r="AO259">
        <v>35</v>
      </c>
      <c r="AP259">
        <v>18</v>
      </c>
      <c r="AQ259">
        <v>31</v>
      </c>
      <c r="AR259">
        <v>38</v>
      </c>
      <c r="AS259">
        <v>19</v>
      </c>
      <c r="AT259">
        <v>39</v>
      </c>
      <c r="AU259">
        <v>34</v>
      </c>
      <c r="AV259">
        <v>18</v>
      </c>
      <c r="AW259">
        <v>23</v>
      </c>
      <c r="AX259">
        <v>35</v>
      </c>
      <c r="AY259">
        <v>30</v>
      </c>
      <c r="AZ259">
        <v>33</v>
      </c>
      <c r="BA259">
        <v>23</v>
      </c>
      <c r="BB259">
        <v>30</v>
      </c>
      <c r="BC259">
        <v>30</v>
      </c>
      <c r="BD259">
        <v>40</v>
      </c>
    </row>
    <row r="260" spans="1:56" x14ac:dyDescent="0.25">
      <c r="A260" t="s">
        <v>4422</v>
      </c>
      <c r="B260" t="s">
        <v>165</v>
      </c>
      <c r="C260" t="s">
        <v>93</v>
      </c>
      <c r="D260">
        <v>201</v>
      </c>
      <c r="E260">
        <v>26.097999999999999</v>
      </c>
      <c r="F260">
        <v>27</v>
      </c>
      <c r="G260">
        <v>33</v>
      </c>
      <c r="H260">
        <v>20</v>
      </c>
      <c r="I260">
        <v>39</v>
      </c>
      <c r="J260">
        <v>19</v>
      </c>
      <c r="K260">
        <v>31</v>
      </c>
      <c r="L260">
        <v>25</v>
      </c>
      <c r="M260">
        <v>24</v>
      </c>
      <c r="N260">
        <v>26</v>
      </c>
      <c r="O260">
        <v>25</v>
      </c>
      <c r="P260">
        <v>29</v>
      </c>
      <c r="Q260">
        <v>24</v>
      </c>
      <c r="R260">
        <v>21</v>
      </c>
      <c r="S260">
        <v>32</v>
      </c>
      <c r="T260">
        <v>22</v>
      </c>
      <c r="U260">
        <v>26</v>
      </c>
      <c r="V260">
        <v>35</v>
      </c>
      <c r="W260">
        <v>21</v>
      </c>
      <c r="X260">
        <v>26</v>
      </c>
      <c r="Y260">
        <v>25</v>
      </c>
      <c r="Z260">
        <v>33</v>
      </c>
      <c r="AA260">
        <v>26</v>
      </c>
      <c r="AB260">
        <v>22</v>
      </c>
      <c r="AC260">
        <v>32</v>
      </c>
      <c r="AD260">
        <v>18</v>
      </c>
      <c r="AE260">
        <v>30</v>
      </c>
      <c r="AF260">
        <v>30</v>
      </c>
      <c r="AG260">
        <v>22</v>
      </c>
      <c r="AH260">
        <v>28</v>
      </c>
      <c r="AI260">
        <v>25</v>
      </c>
      <c r="AJ260">
        <v>28</v>
      </c>
      <c r="AK260">
        <v>31</v>
      </c>
      <c r="AL260">
        <v>25</v>
      </c>
      <c r="AM260">
        <v>22</v>
      </c>
      <c r="AN260">
        <v>29</v>
      </c>
      <c r="AO260">
        <v>19</v>
      </c>
      <c r="AP260">
        <v>26</v>
      </c>
      <c r="AQ260">
        <v>24</v>
      </c>
      <c r="AR260">
        <v>27</v>
      </c>
      <c r="AS260">
        <v>27</v>
      </c>
      <c r="AT260">
        <v>19</v>
      </c>
      <c r="AU260">
        <v>26</v>
      </c>
      <c r="AV260">
        <v>27</v>
      </c>
      <c r="AW260">
        <v>21</v>
      </c>
      <c r="AX260">
        <v>27</v>
      </c>
      <c r="AY260">
        <v>32</v>
      </c>
      <c r="AZ260">
        <v>29</v>
      </c>
      <c r="BA260">
        <v>25</v>
      </c>
      <c r="BB260">
        <v>25</v>
      </c>
      <c r="BC260">
        <v>20</v>
      </c>
      <c r="BD260">
        <v>26</v>
      </c>
    </row>
    <row r="261" spans="1:56" x14ac:dyDescent="0.25">
      <c r="A261" t="s">
        <v>4423</v>
      </c>
      <c r="B261" t="s">
        <v>166</v>
      </c>
      <c r="C261" t="s">
        <v>93</v>
      </c>
      <c r="D261">
        <v>90</v>
      </c>
      <c r="E261">
        <v>17.940999999999999</v>
      </c>
      <c r="F261">
        <v>10</v>
      </c>
      <c r="G261">
        <v>25</v>
      </c>
      <c r="H261">
        <v>13</v>
      </c>
      <c r="I261">
        <v>12</v>
      </c>
      <c r="J261">
        <v>8</v>
      </c>
      <c r="K261">
        <v>11</v>
      </c>
      <c r="L261">
        <v>16</v>
      </c>
      <c r="M261">
        <v>25</v>
      </c>
      <c r="N261">
        <v>26</v>
      </c>
      <c r="O261">
        <v>22</v>
      </c>
      <c r="P261">
        <v>20</v>
      </c>
      <c r="Q261">
        <v>11</v>
      </c>
      <c r="R261">
        <v>23</v>
      </c>
      <c r="S261">
        <v>14</v>
      </c>
      <c r="T261">
        <v>10</v>
      </c>
      <c r="U261">
        <v>14</v>
      </c>
      <c r="V261">
        <v>12</v>
      </c>
      <c r="W261">
        <v>18</v>
      </c>
      <c r="X261">
        <v>12</v>
      </c>
      <c r="Y261">
        <v>14</v>
      </c>
      <c r="Z261">
        <v>11</v>
      </c>
      <c r="AA261">
        <v>9</v>
      </c>
      <c r="AB261">
        <v>16</v>
      </c>
      <c r="AC261">
        <v>14</v>
      </c>
      <c r="AD261">
        <v>9</v>
      </c>
      <c r="AE261">
        <v>20</v>
      </c>
      <c r="AF261">
        <v>13</v>
      </c>
      <c r="AG261">
        <v>19</v>
      </c>
      <c r="AH261">
        <v>14</v>
      </c>
      <c r="AI261">
        <v>17</v>
      </c>
      <c r="AJ261">
        <v>22</v>
      </c>
      <c r="AK261">
        <v>21</v>
      </c>
      <c r="AL261">
        <v>19</v>
      </c>
      <c r="AM261">
        <v>29</v>
      </c>
      <c r="AN261">
        <v>22</v>
      </c>
      <c r="AO261">
        <v>16</v>
      </c>
      <c r="AP261">
        <v>20</v>
      </c>
      <c r="AQ261">
        <v>22</v>
      </c>
      <c r="AR261">
        <v>17</v>
      </c>
      <c r="AS261">
        <v>20</v>
      </c>
      <c r="AT261">
        <v>26</v>
      </c>
      <c r="AU261">
        <v>21</v>
      </c>
      <c r="AV261">
        <v>23</v>
      </c>
      <c r="AW261">
        <v>22</v>
      </c>
      <c r="AX261">
        <v>21</v>
      </c>
      <c r="AY261">
        <v>29</v>
      </c>
      <c r="AZ261">
        <v>20</v>
      </c>
      <c r="BA261">
        <v>22</v>
      </c>
      <c r="BB261">
        <v>27</v>
      </c>
      <c r="BC261">
        <v>15</v>
      </c>
      <c r="BD261">
        <v>23</v>
      </c>
    </row>
    <row r="262" spans="1:56" x14ac:dyDescent="0.25">
      <c r="A262" t="s">
        <v>4424</v>
      </c>
      <c r="B262" t="s">
        <v>167</v>
      </c>
      <c r="C262" t="s">
        <v>93</v>
      </c>
      <c r="D262">
        <v>204</v>
      </c>
      <c r="E262">
        <v>21.039000000000001</v>
      </c>
      <c r="F262">
        <v>34</v>
      </c>
      <c r="G262">
        <v>31</v>
      </c>
      <c r="H262">
        <v>34</v>
      </c>
      <c r="I262">
        <v>37</v>
      </c>
      <c r="J262">
        <v>22</v>
      </c>
      <c r="K262">
        <v>24</v>
      </c>
      <c r="L262">
        <v>23</v>
      </c>
      <c r="M262">
        <v>21</v>
      </c>
      <c r="N262">
        <v>27</v>
      </c>
      <c r="O262">
        <v>21</v>
      </c>
      <c r="P262">
        <v>21</v>
      </c>
      <c r="Q262">
        <v>22</v>
      </c>
      <c r="R262">
        <v>23</v>
      </c>
      <c r="S262">
        <v>21</v>
      </c>
      <c r="T262">
        <v>18</v>
      </c>
      <c r="U262">
        <v>23</v>
      </c>
      <c r="V262">
        <v>23</v>
      </c>
      <c r="W262">
        <v>17</v>
      </c>
      <c r="X262">
        <v>18</v>
      </c>
      <c r="Y262">
        <v>19</v>
      </c>
      <c r="Z262">
        <v>25</v>
      </c>
      <c r="AA262">
        <v>22</v>
      </c>
      <c r="AB262">
        <v>26</v>
      </c>
      <c r="AC262">
        <v>16</v>
      </c>
      <c r="AD262">
        <v>13</v>
      </c>
      <c r="AE262">
        <v>12</v>
      </c>
      <c r="AF262">
        <v>17</v>
      </c>
      <c r="AG262">
        <v>15</v>
      </c>
      <c r="AH262">
        <v>19</v>
      </c>
      <c r="AI262">
        <v>15</v>
      </c>
      <c r="AJ262">
        <v>16</v>
      </c>
      <c r="AK262">
        <v>17</v>
      </c>
      <c r="AL262">
        <v>17</v>
      </c>
      <c r="AM262">
        <v>17</v>
      </c>
      <c r="AN262">
        <v>16</v>
      </c>
      <c r="AO262">
        <v>20</v>
      </c>
      <c r="AP262">
        <v>18</v>
      </c>
      <c r="AQ262">
        <v>19</v>
      </c>
      <c r="AR262">
        <v>18</v>
      </c>
      <c r="AS262">
        <v>22</v>
      </c>
      <c r="AT262">
        <v>21</v>
      </c>
      <c r="AU262">
        <v>20</v>
      </c>
      <c r="AV262">
        <v>29</v>
      </c>
      <c r="AW262">
        <v>22</v>
      </c>
      <c r="AX262">
        <v>14</v>
      </c>
      <c r="AY262">
        <v>19</v>
      </c>
      <c r="AZ262">
        <v>21</v>
      </c>
      <c r="BA262">
        <v>21</v>
      </c>
      <c r="BB262">
        <v>26</v>
      </c>
      <c r="BC262">
        <v>19</v>
      </c>
      <c r="BD262">
        <v>22</v>
      </c>
    </row>
    <row r="263" spans="1:56" x14ac:dyDescent="0.25">
      <c r="A263" t="s">
        <v>4425</v>
      </c>
      <c r="B263" t="s">
        <v>247</v>
      </c>
      <c r="C263" t="s">
        <v>93</v>
      </c>
      <c r="D263">
        <v>170</v>
      </c>
      <c r="E263">
        <v>17.803999999999998</v>
      </c>
      <c r="F263">
        <v>25</v>
      </c>
      <c r="G263">
        <v>12</v>
      </c>
      <c r="H263">
        <v>17</v>
      </c>
      <c r="I263">
        <v>16</v>
      </c>
      <c r="J263">
        <v>22</v>
      </c>
      <c r="K263">
        <v>20</v>
      </c>
      <c r="L263">
        <v>21</v>
      </c>
      <c r="M263">
        <v>15</v>
      </c>
      <c r="N263">
        <v>11</v>
      </c>
      <c r="O263">
        <v>10</v>
      </c>
      <c r="P263">
        <v>15</v>
      </c>
      <c r="Q263">
        <v>15</v>
      </c>
      <c r="R263">
        <v>16</v>
      </c>
      <c r="S263">
        <v>12</v>
      </c>
      <c r="T263">
        <v>18</v>
      </c>
      <c r="U263">
        <v>6</v>
      </c>
      <c r="V263">
        <v>20</v>
      </c>
      <c r="W263">
        <v>16</v>
      </c>
      <c r="X263">
        <v>21</v>
      </c>
      <c r="Y263">
        <v>19</v>
      </c>
      <c r="Z263">
        <v>18</v>
      </c>
      <c r="AA263">
        <v>16</v>
      </c>
      <c r="AB263">
        <v>14</v>
      </c>
      <c r="AC263">
        <v>12</v>
      </c>
      <c r="AD263">
        <v>13</v>
      </c>
      <c r="AE263">
        <v>11</v>
      </c>
      <c r="AF263">
        <v>11</v>
      </c>
      <c r="AG263">
        <v>13</v>
      </c>
      <c r="AH263">
        <v>14</v>
      </c>
      <c r="AI263">
        <v>10</v>
      </c>
      <c r="AJ263">
        <v>18</v>
      </c>
      <c r="AK263">
        <v>18</v>
      </c>
      <c r="AL263">
        <v>25</v>
      </c>
      <c r="AM263">
        <v>26</v>
      </c>
      <c r="AN263">
        <v>26</v>
      </c>
      <c r="AO263">
        <v>14</v>
      </c>
      <c r="AP263">
        <v>24</v>
      </c>
      <c r="AQ263">
        <v>23</v>
      </c>
      <c r="AR263">
        <v>19</v>
      </c>
      <c r="AS263">
        <v>20</v>
      </c>
      <c r="AT263">
        <v>22</v>
      </c>
      <c r="AU263">
        <v>20</v>
      </c>
      <c r="AV263">
        <v>15</v>
      </c>
      <c r="AW263">
        <v>20</v>
      </c>
      <c r="AX263">
        <v>19</v>
      </c>
      <c r="AY263">
        <v>26</v>
      </c>
      <c r="AZ263">
        <v>25</v>
      </c>
      <c r="BA263">
        <v>16</v>
      </c>
      <c r="BB263">
        <v>24</v>
      </c>
      <c r="BC263">
        <v>29</v>
      </c>
      <c r="BD263">
        <v>20</v>
      </c>
    </row>
    <row r="264" spans="1:56" x14ac:dyDescent="0.25">
      <c r="A264" t="s">
        <v>4426</v>
      </c>
      <c r="B264" t="s">
        <v>169</v>
      </c>
      <c r="C264" t="s">
        <v>93</v>
      </c>
      <c r="D264">
        <v>114</v>
      </c>
      <c r="E264">
        <v>27.783999999999999</v>
      </c>
      <c r="F264">
        <v>22</v>
      </c>
      <c r="G264">
        <v>31</v>
      </c>
      <c r="H264">
        <v>28</v>
      </c>
      <c r="I264">
        <v>26</v>
      </c>
      <c r="J264">
        <v>23</v>
      </c>
      <c r="K264">
        <v>33</v>
      </c>
      <c r="L264">
        <v>30</v>
      </c>
      <c r="M264">
        <v>23</v>
      </c>
      <c r="N264">
        <v>21</v>
      </c>
      <c r="O264">
        <v>26</v>
      </c>
      <c r="P264">
        <v>27</v>
      </c>
      <c r="Q264">
        <v>37</v>
      </c>
      <c r="R264">
        <v>31</v>
      </c>
      <c r="S264">
        <v>23</v>
      </c>
      <c r="T264">
        <v>22</v>
      </c>
      <c r="U264">
        <v>28</v>
      </c>
      <c r="V264">
        <v>32</v>
      </c>
      <c r="W264">
        <v>26</v>
      </c>
      <c r="X264">
        <v>29</v>
      </c>
      <c r="Y264">
        <v>32</v>
      </c>
      <c r="Z264">
        <v>36</v>
      </c>
      <c r="AA264">
        <v>31</v>
      </c>
      <c r="AB264">
        <v>33</v>
      </c>
      <c r="AC264">
        <v>29</v>
      </c>
      <c r="AD264">
        <v>24</v>
      </c>
      <c r="AE264">
        <v>28</v>
      </c>
      <c r="AF264">
        <v>25</v>
      </c>
      <c r="AG264">
        <v>22</v>
      </c>
      <c r="AH264">
        <v>22</v>
      </c>
      <c r="AI264">
        <v>26</v>
      </c>
      <c r="AJ264">
        <v>26</v>
      </c>
      <c r="AK264">
        <v>28</v>
      </c>
      <c r="AL264">
        <v>25</v>
      </c>
      <c r="AM264">
        <v>28</v>
      </c>
      <c r="AN264">
        <v>18</v>
      </c>
      <c r="AO264">
        <v>27</v>
      </c>
      <c r="AP264">
        <v>24</v>
      </c>
      <c r="AQ264">
        <v>21</v>
      </c>
      <c r="AR264">
        <v>34</v>
      </c>
      <c r="AS264">
        <v>24</v>
      </c>
      <c r="AT264">
        <v>32</v>
      </c>
      <c r="AU264">
        <v>28</v>
      </c>
      <c r="AV264">
        <v>28</v>
      </c>
      <c r="AW264">
        <v>28</v>
      </c>
      <c r="AX264">
        <v>39</v>
      </c>
      <c r="AY264">
        <v>31</v>
      </c>
      <c r="AZ264">
        <v>35</v>
      </c>
      <c r="BA264">
        <v>26</v>
      </c>
      <c r="BB264">
        <v>30</v>
      </c>
      <c r="BC264">
        <v>29</v>
      </c>
      <c r="BD264">
        <v>30</v>
      </c>
    </row>
    <row r="265" spans="1:56" x14ac:dyDescent="0.25">
      <c r="A265" t="s">
        <v>4427</v>
      </c>
      <c r="B265" t="s">
        <v>170</v>
      </c>
      <c r="C265" t="s">
        <v>93</v>
      </c>
      <c r="D265">
        <v>775</v>
      </c>
      <c r="E265">
        <v>23.843</v>
      </c>
      <c r="F265">
        <v>28</v>
      </c>
      <c r="G265">
        <v>32</v>
      </c>
      <c r="H265">
        <v>28</v>
      </c>
      <c r="I265">
        <v>28</v>
      </c>
      <c r="J265">
        <v>21</v>
      </c>
      <c r="K265">
        <v>24</v>
      </c>
      <c r="L265">
        <v>31</v>
      </c>
      <c r="M265">
        <v>24</v>
      </c>
      <c r="N265">
        <v>19</v>
      </c>
      <c r="O265">
        <v>21</v>
      </c>
      <c r="P265">
        <v>23</v>
      </c>
      <c r="Q265">
        <v>21</v>
      </c>
      <c r="R265">
        <v>24</v>
      </c>
      <c r="S265">
        <v>24</v>
      </c>
      <c r="T265">
        <v>21</v>
      </c>
      <c r="U265">
        <v>24</v>
      </c>
      <c r="V265">
        <v>20</v>
      </c>
      <c r="W265">
        <v>20</v>
      </c>
      <c r="X265">
        <v>23</v>
      </c>
      <c r="Y265">
        <v>22</v>
      </c>
      <c r="Z265">
        <v>20</v>
      </c>
      <c r="AA265">
        <v>23</v>
      </c>
      <c r="AB265">
        <v>21</v>
      </c>
      <c r="AC265">
        <v>19</v>
      </c>
      <c r="AD265">
        <v>22</v>
      </c>
      <c r="AE265">
        <v>23</v>
      </c>
      <c r="AF265">
        <v>20</v>
      </c>
      <c r="AG265">
        <v>22</v>
      </c>
      <c r="AH265">
        <v>23</v>
      </c>
      <c r="AI265">
        <v>22</v>
      </c>
      <c r="AJ265">
        <v>23</v>
      </c>
      <c r="AK265">
        <v>21</v>
      </c>
      <c r="AL265">
        <v>25</v>
      </c>
      <c r="AM265">
        <v>22</v>
      </c>
      <c r="AN265">
        <v>22</v>
      </c>
      <c r="AO265">
        <v>20</v>
      </c>
      <c r="AP265">
        <v>22</v>
      </c>
      <c r="AQ265">
        <v>20</v>
      </c>
      <c r="AR265">
        <v>25</v>
      </c>
      <c r="AS265">
        <v>22</v>
      </c>
      <c r="AT265">
        <v>22</v>
      </c>
      <c r="AU265">
        <v>25</v>
      </c>
      <c r="AV265">
        <v>27</v>
      </c>
      <c r="AW265">
        <v>24</v>
      </c>
      <c r="AX265">
        <v>26</v>
      </c>
      <c r="AY265">
        <v>28</v>
      </c>
      <c r="AZ265">
        <v>27</v>
      </c>
      <c r="BA265">
        <v>29</v>
      </c>
      <c r="BB265">
        <v>29</v>
      </c>
      <c r="BC265">
        <v>32</v>
      </c>
      <c r="BD265">
        <v>32</v>
      </c>
    </row>
    <row r="266" spans="1:56" x14ac:dyDescent="0.25">
      <c r="A266" t="s">
        <v>4428</v>
      </c>
      <c r="B266" t="s">
        <v>45</v>
      </c>
      <c r="C266" t="s">
        <v>95</v>
      </c>
      <c r="D266">
        <v>17354</v>
      </c>
      <c r="E266">
        <v>16.489999999999998</v>
      </c>
      <c r="F266">
        <v>3</v>
      </c>
      <c r="G266">
        <v>5</v>
      </c>
      <c r="H266">
        <v>5</v>
      </c>
      <c r="I266">
        <v>6</v>
      </c>
      <c r="J266">
        <v>9</v>
      </c>
      <c r="K266">
        <v>10</v>
      </c>
      <c r="L266">
        <v>10</v>
      </c>
      <c r="M266">
        <v>12</v>
      </c>
      <c r="N266">
        <v>13</v>
      </c>
      <c r="O266">
        <v>13</v>
      </c>
      <c r="P266">
        <v>13</v>
      </c>
      <c r="Q266">
        <v>13</v>
      </c>
      <c r="R266">
        <v>13</v>
      </c>
      <c r="S266">
        <v>13</v>
      </c>
      <c r="T266">
        <v>12</v>
      </c>
      <c r="U266">
        <v>13</v>
      </c>
      <c r="V266">
        <v>14</v>
      </c>
      <c r="W266">
        <v>13</v>
      </c>
      <c r="X266">
        <v>14</v>
      </c>
      <c r="Y266">
        <v>14</v>
      </c>
      <c r="Z266">
        <v>14</v>
      </c>
      <c r="AA266">
        <v>14</v>
      </c>
      <c r="AB266">
        <v>15</v>
      </c>
      <c r="AC266">
        <v>14</v>
      </c>
      <c r="AD266">
        <v>15</v>
      </c>
      <c r="AE266">
        <v>14</v>
      </c>
      <c r="AF266">
        <v>14</v>
      </c>
      <c r="AG266">
        <v>15</v>
      </c>
      <c r="AH266">
        <v>16</v>
      </c>
      <c r="AI266">
        <v>16</v>
      </c>
      <c r="AJ266">
        <v>19</v>
      </c>
      <c r="AK266">
        <v>20</v>
      </c>
      <c r="AL266">
        <v>18</v>
      </c>
      <c r="AM266">
        <v>21</v>
      </c>
      <c r="AN266">
        <v>21</v>
      </c>
      <c r="AO266">
        <v>26</v>
      </c>
      <c r="AP266">
        <v>27</v>
      </c>
      <c r="AQ266">
        <v>28</v>
      </c>
      <c r="AR266">
        <v>29</v>
      </c>
      <c r="AS266">
        <v>29</v>
      </c>
      <c r="AT266">
        <v>29</v>
      </c>
      <c r="AU266">
        <v>27</v>
      </c>
      <c r="AV266">
        <v>25</v>
      </c>
      <c r="AW266">
        <v>24</v>
      </c>
      <c r="AX266">
        <v>23</v>
      </c>
      <c r="AY266">
        <v>21</v>
      </c>
      <c r="AZ266">
        <v>21</v>
      </c>
      <c r="BA266">
        <v>18</v>
      </c>
      <c r="BB266">
        <v>17</v>
      </c>
      <c r="BC266">
        <v>16</v>
      </c>
      <c r="BD266">
        <v>17</v>
      </c>
    </row>
    <row r="267" spans="1:56" x14ac:dyDescent="0.25">
      <c r="A267" t="s">
        <v>4429</v>
      </c>
      <c r="B267" t="s">
        <v>110</v>
      </c>
      <c r="C267" t="s">
        <v>95</v>
      </c>
      <c r="D267">
        <v>4755</v>
      </c>
      <c r="E267">
        <v>21.646999999999998</v>
      </c>
      <c r="F267">
        <v>5</v>
      </c>
      <c r="G267">
        <v>9</v>
      </c>
      <c r="H267">
        <v>9</v>
      </c>
      <c r="I267">
        <v>10</v>
      </c>
      <c r="J267">
        <v>13</v>
      </c>
      <c r="K267">
        <v>14</v>
      </c>
      <c r="L267">
        <v>13</v>
      </c>
      <c r="M267">
        <v>14</v>
      </c>
      <c r="N267">
        <v>16</v>
      </c>
      <c r="O267">
        <v>16</v>
      </c>
      <c r="P267">
        <v>16</v>
      </c>
      <c r="Q267">
        <v>16</v>
      </c>
      <c r="R267">
        <v>16</v>
      </c>
      <c r="S267">
        <v>17</v>
      </c>
      <c r="T267">
        <v>16</v>
      </c>
      <c r="U267">
        <v>17</v>
      </c>
      <c r="V267">
        <v>19</v>
      </c>
      <c r="W267">
        <v>16</v>
      </c>
      <c r="X267">
        <v>19</v>
      </c>
      <c r="Y267">
        <v>20</v>
      </c>
      <c r="Z267">
        <v>19</v>
      </c>
      <c r="AA267">
        <v>19</v>
      </c>
      <c r="AB267">
        <v>20</v>
      </c>
      <c r="AC267">
        <v>18</v>
      </c>
      <c r="AD267">
        <v>20</v>
      </c>
      <c r="AE267">
        <v>19</v>
      </c>
      <c r="AF267">
        <v>19</v>
      </c>
      <c r="AG267">
        <v>20</v>
      </c>
      <c r="AH267">
        <v>21</v>
      </c>
      <c r="AI267">
        <v>22</v>
      </c>
      <c r="AJ267">
        <v>23</v>
      </c>
      <c r="AK267">
        <v>26</v>
      </c>
      <c r="AL267">
        <v>25</v>
      </c>
      <c r="AM267">
        <v>27</v>
      </c>
      <c r="AN267">
        <v>28</v>
      </c>
      <c r="AO267">
        <v>33</v>
      </c>
      <c r="AP267">
        <v>35</v>
      </c>
      <c r="AQ267">
        <v>36</v>
      </c>
      <c r="AR267">
        <v>37</v>
      </c>
      <c r="AS267">
        <v>37</v>
      </c>
      <c r="AT267">
        <v>37</v>
      </c>
      <c r="AU267">
        <v>36</v>
      </c>
      <c r="AV267">
        <v>34</v>
      </c>
      <c r="AW267">
        <v>31</v>
      </c>
      <c r="AX267">
        <v>30</v>
      </c>
      <c r="AY267">
        <v>28</v>
      </c>
      <c r="AZ267">
        <v>26</v>
      </c>
      <c r="BA267">
        <v>23</v>
      </c>
      <c r="BB267">
        <v>22</v>
      </c>
      <c r="BC267">
        <v>21</v>
      </c>
      <c r="BD267">
        <v>21</v>
      </c>
    </row>
    <row r="268" spans="1:56" x14ac:dyDescent="0.25">
      <c r="A268" t="s">
        <v>4430</v>
      </c>
      <c r="B268" t="s">
        <v>111</v>
      </c>
      <c r="C268" t="s">
        <v>95</v>
      </c>
      <c r="D268">
        <v>61</v>
      </c>
      <c r="E268">
        <v>38.667000000000002</v>
      </c>
      <c r="F268">
        <v>7</v>
      </c>
      <c r="G268">
        <v>15</v>
      </c>
      <c r="H268">
        <v>15</v>
      </c>
      <c r="I268">
        <v>17</v>
      </c>
      <c r="J268">
        <v>27</v>
      </c>
      <c r="K268">
        <v>25</v>
      </c>
      <c r="L268">
        <v>18</v>
      </c>
      <c r="M268">
        <v>23</v>
      </c>
      <c r="N268">
        <v>26</v>
      </c>
      <c r="O268">
        <v>23</v>
      </c>
      <c r="P268">
        <v>32</v>
      </c>
      <c r="Q268">
        <v>31</v>
      </c>
      <c r="R268">
        <v>30</v>
      </c>
      <c r="S268">
        <v>32</v>
      </c>
      <c r="T268">
        <v>37</v>
      </c>
      <c r="U268">
        <v>24</v>
      </c>
      <c r="V268">
        <v>37</v>
      </c>
      <c r="W268">
        <v>30</v>
      </c>
      <c r="X268">
        <v>47</v>
      </c>
      <c r="Y268">
        <v>44</v>
      </c>
      <c r="Z268">
        <v>35</v>
      </c>
      <c r="AA268">
        <v>40</v>
      </c>
      <c r="AB268">
        <v>42</v>
      </c>
      <c r="AC268">
        <v>42</v>
      </c>
      <c r="AD268">
        <v>50</v>
      </c>
      <c r="AE268">
        <v>48</v>
      </c>
      <c r="AF268">
        <v>54</v>
      </c>
      <c r="AG268">
        <v>46</v>
      </c>
      <c r="AH268">
        <v>49</v>
      </c>
      <c r="AI268">
        <v>51</v>
      </c>
      <c r="AJ268">
        <v>50</v>
      </c>
      <c r="AK268">
        <v>52</v>
      </c>
      <c r="AL268">
        <v>51</v>
      </c>
      <c r="AM268">
        <v>59</v>
      </c>
      <c r="AN268">
        <v>57</v>
      </c>
      <c r="AO268">
        <v>54</v>
      </c>
      <c r="AP268">
        <v>64</v>
      </c>
      <c r="AQ268">
        <v>56</v>
      </c>
      <c r="AR268">
        <v>48</v>
      </c>
      <c r="AS268">
        <v>52</v>
      </c>
      <c r="AT268">
        <v>47</v>
      </c>
      <c r="AU268">
        <v>55</v>
      </c>
      <c r="AV268">
        <v>46</v>
      </c>
      <c r="AW268">
        <v>38</v>
      </c>
      <c r="AX268">
        <v>36</v>
      </c>
      <c r="AY268">
        <v>36</v>
      </c>
      <c r="AZ268">
        <v>37</v>
      </c>
      <c r="BA268">
        <v>40</v>
      </c>
      <c r="BB268">
        <v>39</v>
      </c>
      <c r="BC268">
        <v>31</v>
      </c>
      <c r="BD268">
        <v>27</v>
      </c>
    </row>
    <row r="269" spans="1:56" x14ac:dyDescent="0.25">
      <c r="A269" t="s">
        <v>4431</v>
      </c>
      <c r="B269" t="s">
        <v>112</v>
      </c>
      <c r="C269" t="s">
        <v>95</v>
      </c>
      <c r="D269">
        <v>181</v>
      </c>
      <c r="E269">
        <v>25.196000000000002</v>
      </c>
      <c r="F269">
        <v>8</v>
      </c>
      <c r="G269">
        <v>7</v>
      </c>
      <c r="H269">
        <v>10</v>
      </c>
      <c r="I269">
        <v>13</v>
      </c>
      <c r="J269">
        <v>14</v>
      </c>
      <c r="K269">
        <v>14</v>
      </c>
      <c r="L269">
        <v>19</v>
      </c>
      <c r="M269">
        <v>19</v>
      </c>
      <c r="N269">
        <v>23</v>
      </c>
      <c r="O269">
        <v>22</v>
      </c>
      <c r="P269">
        <v>24</v>
      </c>
      <c r="Q269">
        <v>20</v>
      </c>
      <c r="R269">
        <v>23</v>
      </c>
      <c r="S269">
        <v>23</v>
      </c>
      <c r="T269">
        <v>23</v>
      </c>
      <c r="U269">
        <v>22</v>
      </c>
      <c r="V269">
        <v>24</v>
      </c>
      <c r="W269">
        <v>23</v>
      </c>
      <c r="X269">
        <v>25</v>
      </c>
      <c r="Y269">
        <v>26</v>
      </c>
      <c r="Z269">
        <v>20</v>
      </c>
      <c r="AA269">
        <v>23</v>
      </c>
      <c r="AB269">
        <v>25</v>
      </c>
      <c r="AC269">
        <v>20</v>
      </c>
      <c r="AD269">
        <v>21</v>
      </c>
      <c r="AE269">
        <v>25</v>
      </c>
      <c r="AF269">
        <v>19</v>
      </c>
      <c r="AG269">
        <v>22</v>
      </c>
      <c r="AH269">
        <v>27</v>
      </c>
      <c r="AI269">
        <v>24</v>
      </c>
      <c r="AJ269">
        <v>28</v>
      </c>
      <c r="AK269">
        <v>28</v>
      </c>
      <c r="AL269">
        <v>31</v>
      </c>
      <c r="AM269">
        <v>35</v>
      </c>
      <c r="AN269">
        <v>33</v>
      </c>
      <c r="AO269">
        <v>42</v>
      </c>
      <c r="AP269">
        <v>44</v>
      </c>
      <c r="AQ269">
        <v>38</v>
      </c>
      <c r="AR269">
        <v>33</v>
      </c>
      <c r="AS269">
        <v>45</v>
      </c>
      <c r="AT269">
        <v>36</v>
      </c>
      <c r="AU269">
        <v>36</v>
      </c>
      <c r="AV269">
        <v>35</v>
      </c>
      <c r="AW269">
        <v>31</v>
      </c>
      <c r="AX269">
        <v>37</v>
      </c>
      <c r="AY269">
        <v>30</v>
      </c>
      <c r="AZ269">
        <v>29</v>
      </c>
      <c r="BA269">
        <v>24</v>
      </c>
      <c r="BB269">
        <v>18</v>
      </c>
      <c r="BC269">
        <v>22</v>
      </c>
      <c r="BD269">
        <v>22</v>
      </c>
    </row>
    <row r="270" spans="1:56" x14ac:dyDescent="0.25">
      <c r="A270" t="s">
        <v>4432</v>
      </c>
      <c r="B270" t="s">
        <v>113</v>
      </c>
      <c r="C270" t="s">
        <v>95</v>
      </c>
      <c r="D270">
        <v>94</v>
      </c>
      <c r="E270">
        <v>34.097999999999999</v>
      </c>
      <c r="F270">
        <v>12</v>
      </c>
      <c r="G270">
        <v>10</v>
      </c>
      <c r="H270">
        <v>13</v>
      </c>
      <c r="I270">
        <v>17</v>
      </c>
      <c r="J270">
        <v>22</v>
      </c>
      <c r="K270">
        <v>21</v>
      </c>
      <c r="L270">
        <v>15</v>
      </c>
      <c r="M270">
        <v>22</v>
      </c>
      <c r="N270">
        <v>26</v>
      </c>
      <c r="O270">
        <v>28</v>
      </c>
      <c r="P270">
        <v>28</v>
      </c>
      <c r="Q270">
        <v>27</v>
      </c>
      <c r="R270">
        <v>22</v>
      </c>
      <c r="S270">
        <v>33</v>
      </c>
      <c r="T270">
        <v>30</v>
      </c>
      <c r="U270">
        <v>32</v>
      </c>
      <c r="V270">
        <v>37</v>
      </c>
      <c r="W270">
        <v>35</v>
      </c>
      <c r="X270">
        <v>43</v>
      </c>
      <c r="Y270">
        <v>31</v>
      </c>
      <c r="Z270">
        <v>40</v>
      </c>
      <c r="AA270">
        <v>27</v>
      </c>
      <c r="AB270">
        <v>35</v>
      </c>
      <c r="AC270">
        <v>40</v>
      </c>
      <c r="AD270">
        <v>35</v>
      </c>
      <c r="AE270">
        <v>34</v>
      </c>
      <c r="AF270">
        <v>32</v>
      </c>
      <c r="AG270">
        <v>41</v>
      </c>
      <c r="AH270">
        <v>36</v>
      </c>
      <c r="AI270">
        <v>37</v>
      </c>
      <c r="AJ270">
        <v>40</v>
      </c>
      <c r="AK270">
        <v>46</v>
      </c>
      <c r="AL270">
        <v>37</v>
      </c>
      <c r="AM270">
        <v>45</v>
      </c>
      <c r="AN270">
        <v>45</v>
      </c>
      <c r="AO270">
        <v>46</v>
      </c>
      <c r="AP270">
        <v>46</v>
      </c>
      <c r="AQ270">
        <v>49</v>
      </c>
      <c r="AR270">
        <v>48</v>
      </c>
      <c r="AS270">
        <v>50</v>
      </c>
      <c r="AT270">
        <v>57</v>
      </c>
      <c r="AU270">
        <v>36</v>
      </c>
      <c r="AV270">
        <v>42</v>
      </c>
      <c r="AW270">
        <v>46</v>
      </c>
      <c r="AX270">
        <v>41</v>
      </c>
      <c r="AY270">
        <v>47</v>
      </c>
      <c r="AZ270">
        <v>37</v>
      </c>
      <c r="BA270">
        <v>31</v>
      </c>
      <c r="BB270">
        <v>32</v>
      </c>
      <c r="BC270">
        <v>32</v>
      </c>
      <c r="BD270">
        <v>25</v>
      </c>
    </row>
    <row r="271" spans="1:56" x14ac:dyDescent="0.25">
      <c r="A271" t="s">
        <v>4433</v>
      </c>
      <c r="B271" t="s">
        <v>114</v>
      </c>
      <c r="C271" t="s">
        <v>95</v>
      </c>
      <c r="D271">
        <v>159</v>
      </c>
      <c r="E271">
        <v>21.02</v>
      </c>
      <c r="F271">
        <v>6</v>
      </c>
      <c r="G271">
        <v>8</v>
      </c>
      <c r="H271">
        <v>6</v>
      </c>
      <c r="I271">
        <v>8</v>
      </c>
      <c r="J271">
        <v>13</v>
      </c>
      <c r="K271">
        <v>16</v>
      </c>
      <c r="L271">
        <v>13</v>
      </c>
      <c r="M271">
        <v>10</v>
      </c>
      <c r="N271">
        <v>13</v>
      </c>
      <c r="O271">
        <v>12</v>
      </c>
      <c r="P271">
        <v>11</v>
      </c>
      <c r="Q271">
        <v>11</v>
      </c>
      <c r="R271">
        <v>15</v>
      </c>
      <c r="S271">
        <v>13</v>
      </c>
      <c r="T271">
        <v>13</v>
      </c>
      <c r="U271">
        <v>19</v>
      </c>
      <c r="V271">
        <v>17</v>
      </c>
      <c r="W271">
        <v>15</v>
      </c>
      <c r="X271">
        <v>21</v>
      </c>
      <c r="Y271">
        <v>17</v>
      </c>
      <c r="Z271">
        <v>18</v>
      </c>
      <c r="AA271">
        <v>22</v>
      </c>
      <c r="AB271">
        <v>19</v>
      </c>
      <c r="AC271">
        <v>15</v>
      </c>
      <c r="AD271">
        <v>19</v>
      </c>
      <c r="AE271">
        <v>17</v>
      </c>
      <c r="AF271">
        <v>17</v>
      </c>
      <c r="AG271">
        <v>18</v>
      </c>
      <c r="AH271">
        <v>22</v>
      </c>
      <c r="AI271">
        <v>24</v>
      </c>
      <c r="AJ271">
        <v>26</v>
      </c>
      <c r="AK271">
        <v>26</v>
      </c>
      <c r="AL271">
        <v>24</v>
      </c>
      <c r="AM271">
        <v>26</v>
      </c>
      <c r="AN271">
        <v>27</v>
      </c>
      <c r="AO271">
        <v>28</v>
      </c>
      <c r="AP271">
        <v>34</v>
      </c>
      <c r="AQ271">
        <v>36</v>
      </c>
      <c r="AR271">
        <v>40</v>
      </c>
      <c r="AS271">
        <v>41</v>
      </c>
      <c r="AT271">
        <v>44</v>
      </c>
      <c r="AU271">
        <v>38</v>
      </c>
      <c r="AV271">
        <v>38</v>
      </c>
      <c r="AW271">
        <v>32</v>
      </c>
      <c r="AX271">
        <v>28</v>
      </c>
      <c r="AY271">
        <v>31</v>
      </c>
      <c r="AZ271">
        <v>23</v>
      </c>
      <c r="BA271">
        <v>23</v>
      </c>
      <c r="BB271">
        <v>19</v>
      </c>
      <c r="BC271">
        <v>18</v>
      </c>
      <c r="BD271">
        <v>22</v>
      </c>
    </row>
    <row r="272" spans="1:56" x14ac:dyDescent="0.25">
      <c r="A272" t="s">
        <v>4434</v>
      </c>
      <c r="B272" t="s">
        <v>115</v>
      </c>
      <c r="C272" t="s">
        <v>95</v>
      </c>
      <c r="D272">
        <v>101</v>
      </c>
      <c r="E272">
        <v>22.431000000000001</v>
      </c>
      <c r="F272">
        <v>7</v>
      </c>
      <c r="G272">
        <v>11</v>
      </c>
      <c r="H272">
        <v>10</v>
      </c>
      <c r="I272">
        <v>14</v>
      </c>
      <c r="J272">
        <v>16</v>
      </c>
      <c r="K272">
        <v>21</v>
      </c>
      <c r="L272">
        <v>15</v>
      </c>
      <c r="M272">
        <v>12</v>
      </c>
      <c r="N272">
        <v>12</v>
      </c>
      <c r="O272">
        <v>11</v>
      </c>
      <c r="P272">
        <v>9</v>
      </c>
      <c r="Q272">
        <v>8</v>
      </c>
      <c r="R272">
        <v>19</v>
      </c>
      <c r="S272">
        <v>14</v>
      </c>
      <c r="T272">
        <v>14</v>
      </c>
      <c r="U272">
        <v>22</v>
      </c>
      <c r="V272">
        <v>17</v>
      </c>
      <c r="W272">
        <v>13</v>
      </c>
      <c r="X272">
        <v>22</v>
      </c>
      <c r="Y272">
        <v>15</v>
      </c>
      <c r="Z272">
        <v>15</v>
      </c>
      <c r="AA272">
        <v>25</v>
      </c>
      <c r="AB272">
        <v>21</v>
      </c>
      <c r="AC272">
        <v>15</v>
      </c>
      <c r="AD272">
        <v>22</v>
      </c>
      <c r="AE272">
        <v>15</v>
      </c>
      <c r="AF272">
        <v>19</v>
      </c>
      <c r="AG272">
        <v>18</v>
      </c>
      <c r="AH272">
        <v>25</v>
      </c>
      <c r="AI272">
        <v>24</v>
      </c>
      <c r="AJ272">
        <v>25</v>
      </c>
      <c r="AK272">
        <v>27</v>
      </c>
      <c r="AL272">
        <v>28</v>
      </c>
      <c r="AM272">
        <v>26</v>
      </c>
      <c r="AN272">
        <v>26</v>
      </c>
      <c r="AO272">
        <v>32</v>
      </c>
      <c r="AP272">
        <v>34</v>
      </c>
      <c r="AQ272">
        <v>37</v>
      </c>
      <c r="AR272">
        <v>37</v>
      </c>
      <c r="AS272">
        <v>41</v>
      </c>
      <c r="AT272">
        <v>51</v>
      </c>
      <c r="AU272">
        <v>40</v>
      </c>
      <c r="AV272">
        <v>40</v>
      </c>
      <c r="AW272">
        <v>34</v>
      </c>
      <c r="AX272">
        <v>32</v>
      </c>
      <c r="AY272">
        <v>31</v>
      </c>
      <c r="AZ272">
        <v>27</v>
      </c>
      <c r="BA272">
        <v>24</v>
      </c>
      <c r="BB272">
        <v>24</v>
      </c>
      <c r="BC272">
        <v>23</v>
      </c>
      <c r="BD272">
        <v>24</v>
      </c>
    </row>
    <row r="273" spans="1:56" x14ac:dyDescent="0.25">
      <c r="A273" t="s">
        <v>4435</v>
      </c>
      <c r="B273" t="s">
        <v>116</v>
      </c>
      <c r="C273" t="s">
        <v>95</v>
      </c>
      <c r="D273">
        <v>112</v>
      </c>
      <c r="E273">
        <v>19.725000000000001</v>
      </c>
      <c r="F273">
        <v>6</v>
      </c>
      <c r="G273">
        <v>8</v>
      </c>
      <c r="H273">
        <v>6</v>
      </c>
      <c r="I273">
        <v>10</v>
      </c>
      <c r="J273">
        <v>9</v>
      </c>
      <c r="K273">
        <v>10</v>
      </c>
      <c r="L273">
        <v>10</v>
      </c>
      <c r="M273">
        <v>14</v>
      </c>
      <c r="N273">
        <v>12</v>
      </c>
      <c r="O273">
        <v>12</v>
      </c>
      <c r="P273">
        <v>16</v>
      </c>
      <c r="Q273">
        <v>11</v>
      </c>
      <c r="R273">
        <v>13</v>
      </c>
      <c r="S273">
        <v>14</v>
      </c>
      <c r="T273">
        <v>14</v>
      </c>
      <c r="U273">
        <v>12</v>
      </c>
      <c r="V273">
        <v>16</v>
      </c>
      <c r="W273">
        <v>14</v>
      </c>
      <c r="X273">
        <v>19</v>
      </c>
      <c r="Y273">
        <v>12</v>
      </c>
      <c r="Z273">
        <v>14</v>
      </c>
      <c r="AA273">
        <v>17</v>
      </c>
      <c r="AB273">
        <v>22</v>
      </c>
      <c r="AC273">
        <v>14</v>
      </c>
      <c r="AD273">
        <v>21</v>
      </c>
      <c r="AE273">
        <v>20</v>
      </c>
      <c r="AF273">
        <v>19</v>
      </c>
      <c r="AG273">
        <v>21</v>
      </c>
      <c r="AH273">
        <v>19</v>
      </c>
      <c r="AI273">
        <v>24</v>
      </c>
      <c r="AJ273">
        <v>25</v>
      </c>
      <c r="AK273">
        <v>26</v>
      </c>
      <c r="AL273">
        <v>28</v>
      </c>
      <c r="AM273">
        <v>29</v>
      </c>
      <c r="AN273">
        <v>26</v>
      </c>
      <c r="AO273">
        <v>27</v>
      </c>
      <c r="AP273">
        <v>29</v>
      </c>
      <c r="AQ273">
        <v>32</v>
      </c>
      <c r="AR273">
        <v>34</v>
      </c>
      <c r="AS273">
        <v>36</v>
      </c>
      <c r="AT273">
        <v>47</v>
      </c>
      <c r="AU273">
        <v>35</v>
      </c>
      <c r="AV273">
        <v>26</v>
      </c>
      <c r="AW273">
        <v>24</v>
      </c>
      <c r="AX273">
        <v>28</v>
      </c>
      <c r="AY273">
        <v>20</v>
      </c>
      <c r="AZ273">
        <v>26</v>
      </c>
      <c r="BA273">
        <v>19</v>
      </c>
      <c r="BB273">
        <v>17</v>
      </c>
      <c r="BC273">
        <v>20</v>
      </c>
      <c r="BD273">
        <v>23</v>
      </c>
    </row>
    <row r="274" spans="1:56" x14ac:dyDescent="0.25">
      <c r="A274" t="s">
        <v>4436</v>
      </c>
      <c r="B274" t="s">
        <v>117</v>
      </c>
      <c r="C274" t="s">
        <v>95</v>
      </c>
      <c r="D274">
        <v>114</v>
      </c>
      <c r="E274">
        <v>24.960999999999999</v>
      </c>
      <c r="F274">
        <v>6</v>
      </c>
      <c r="G274">
        <v>7</v>
      </c>
      <c r="H274">
        <v>9</v>
      </c>
      <c r="I274">
        <v>12</v>
      </c>
      <c r="J274">
        <v>10</v>
      </c>
      <c r="K274">
        <v>11</v>
      </c>
      <c r="L274">
        <v>13</v>
      </c>
      <c r="M274">
        <v>17</v>
      </c>
      <c r="N274">
        <v>16</v>
      </c>
      <c r="O274">
        <v>20</v>
      </c>
      <c r="P274">
        <v>22</v>
      </c>
      <c r="Q274">
        <v>23</v>
      </c>
      <c r="R274">
        <v>15</v>
      </c>
      <c r="S274">
        <v>24</v>
      </c>
      <c r="T274">
        <v>21</v>
      </c>
      <c r="U274">
        <v>22</v>
      </c>
      <c r="V274">
        <v>19</v>
      </c>
      <c r="W274">
        <v>18</v>
      </c>
      <c r="X274">
        <v>23</v>
      </c>
      <c r="Y274">
        <v>24</v>
      </c>
      <c r="Z274">
        <v>21</v>
      </c>
      <c r="AA274">
        <v>18</v>
      </c>
      <c r="AB274">
        <v>23</v>
      </c>
      <c r="AC274">
        <v>27</v>
      </c>
      <c r="AD274">
        <v>24</v>
      </c>
      <c r="AE274">
        <v>22</v>
      </c>
      <c r="AF274">
        <v>23</v>
      </c>
      <c r="AG274">
        <v>20</v>
      </c>
      <c r="AH274">
        <v>27</v>
      </c>
      <c r="AI274">
        <v>24</v>
      </c>
      <c r="AJ274">
        <v>25</v>
      </c>
      <c r="AK274">
        <v>35</v>
      </c>
      <c r="AL274">
        <v>35</v>
      </c>
      <c r="AM274">
        <v>34</v>
      </c>
      <c r="AN274">
        <v>30</v>
      </c>
      <c r="AO274">
        <v>38</v>
      </c>
      <c r="AP274">
        <v>41</v>
      </c>
      <c r="AQ274">
        <v>40</v>
      </c>
      <c r="AR274">
        <v>43</v>
      </c>
      <c r="AS274">
        <v>46</v>
      </c>
      <c r="AT274">
        <v>39</v>
      </c>
      <c r="AU274">
        <v>46</v>
      </c>
      <c r="AV274">
        <v>36</v>
      </c>
      <c r="AW274">
        <v>36</v>
      </c>
      <c r="AX274">
        <v>33</v>
      </c>
      <c r="AY274">
        <v>37</v>
      </c>
      <c r="AZ274">
        <v>29</v>
      </c>
      <c r="BA274">
        <v>26</v>
      </c>
      <c r="BB274">
        <v>21</v>
      </c>
      <c r="BC274">
        <v>23</v>
      </c>
      <c r="BD274">
        <v>19</v>
      </c>
    </row>
    <row r="275" spans="1:56" x14ac:dyDescent="0.25">
      <c r="A275" t="s">
        <v>4437</v>
      </c>
      <c r="B275" t="s">
        <v>118</v>
      </c>
      <c r="C275" t="s">
        <v>95</v>
      </c>
      <c r="D275">
        <v>106</v>
      </c>
      <c r="E275">
        <v>15.51</v>
      </c>
      <c r="F275">
        <v>1</v>
      </c>
      <c r="G275">
        <v>3</v>
      </c>
      <c r="H275">
        <v>3</v>
      </c>
      <c r="I275">
        <v>4</v>
      </c>
      <c r="J275">
        <v>9</v>
      </c>
      <c r="K275">
        <v>10</v>
      </c>
      <c r="L275">
        <v>12</v>
      </c>
      <c r="M275">
        <v>10</v>
      </c>
      <c r="N275">
        <v>11</v>
      </c>
      <c r="O275">
        <v>14</v>
      </c>
      <c r="P275">
        <v>11</v>
      </c>
      <c r="Q275">
        <v>14</v>
      </c>
      <c r="R275">
        <v>9</v>
      </c>
      <c r="S275">
        <v>10</v>
      </c>
      <c r="T275">
        <v>15</v>
      </c>
      <c r="U275">
        <v>13</v>
      </c>
      <c r="V275">
        <v>17</v>
      </c>
      <c r="W275">
        <v>14</v>
      </c>
      <c r="X275">
        <v>10</v>
      </c>
      <c r="Y275">
        <v>12</v>
      </c>
      <c r="Z275">
        <v>14</v>
      </c>
      <c r="AA275">
        <v>9</v>
      </c>
      <c r="AB275">
        <v>13</v>
      </c>
      <c r="AC275">
        <v>13</v>
      </c>
      <c r="AD275">
        <v>14</v>
      </c>
      <c r="AE275">
        <v>13</v>
      </c>
      <c r="AF275">
        <v>13</v>
      </c>
      <c r="AG275">
        <v>10</v>
      </c>
      <c r="AH275">
        <v>17</v>
      </c>
      <c r="AI275">
        <v>15</v>
      </c>
      <c r="AJ275">
        <v>18</v>
      </c>
      <c r="AK275">
        <v>21</v>
      </c>
      <c r="AL275">
        <v>21</v>
      </c>
      <c r="AM275">
        <v>21</v>
      </c>
      <c r="AN275">
        <v>24</v>
      </c>
      <c r="AO275">
        <v>36</v>
      </c>
      <c r="AP275">
        <v>31</v>
      </c>
      <c r="AQ275">
        <v>30</v>
      </c>
      <c r="AR275">
        <v>28</v>
      </c>
      <c r="AS275">
        <v>34</v>
      </c>
      <c r="AT275">
        <v>32</v>
      </c>
      <c r="AU275">
        <v>26</v>
      </c>
      <c r="AV275">
        <v>20</v>
      </c>
      <c r="AW275">
        <v>20</v>
      </c>
      <c r="AX275">
        <v>20</v>
      </c>
      <c r="AY275">
        <v>21</v>
      </c>
      <c r="AZ275">
        <v>15</v>
      </c>
      <c r="BA275">
        <v>12</v>
      </c>
      <c r="BB275">
        <v>13</v>
      </c>
      <c r="BC275">
        <v>6</v>
      </c>
      <c r="BD275">
        <v>9</v>
      </c>
    </row>
    <row r="276" spans="1:56" x14ac:dyDescent="0.25">
      <c r="A276" t="s">
        <v>4438</v>
      </c>
      <c r="B276" t="s">
        <v>119</v>
      </c>
      <c r="C276" t="s">
        <v>95</v>
      </c>
      <c r="D276">
        <v>200</v>
      </c>
      <c r="E276">
        <v>30.294</v>
      </c>
      <c r="F276">
        <v>14</v>
      </c>
      <c r="G276">
        <v>16</v>
      </c>
      <c r="H276">
        <v>21</v>
      </c>
      <c r="I276">
        <v>20</v>
      </c>
      <c r="J276">
        <v>23</v>
      </c>
      <c r="K276">
        <v>23</v>
      </c>
      <c r="L276">
        <v>17</v>
      </c>
      <c r="M276">
        <v>27</v>
      </c>
      <c r="N276">
        <v>26</v>
      </c>
      <c r="O276">
        <v>26</v>
      </c>
      <c r="P276">
        <v>23</v>
      </c>
      <c r="Q276">
        <v>23</v>
      </c>
      <c r="R276">
        <v>25</v>
      </c>
      <c r="S276">
        <v>28</v>
      </c>
      <c r="T276">
        <v>21</v>
      </c>
      <c r="U276">
        <v>26</v>
      </c>
      <c r="V276">
        <v>23</v>
      </c>
      <c r="W276">
        <v>21</v>
      </c>
      <c r="X276">
        <v>24</v>
      </c>
      <c r="Y276">
        <v>28</v>
      </c>
      <c r="Z276">
        <v>23</v>
      </c>
      <c r="AA276">
        <v>30</v>
      </c>
      <c r="AB276">
        <v>29</v>
      </c>
      <c r="AC276">
        <v>28</v>
      </c>
      <c r="AD276">
        <v>31</v>
      </c>
      <c r="AE276">
        <v>31</v>
      </c>
      <c r="AF276">
        <v>29</v>
      </c>
      <c r="AG276">
        <v>28</v>
      </c>
      <c r="AH276">
        <v>30</v>
      </c>
      <c r="AI276">
        <v>33</v>
      </c>
      <c r="AJ276">
        <v>35</v>
      </c>
      <c r="AK276">
        <v>32</v>
      </c>
      <c r="AL276">
        <v>35</v>
      </c>
      <c r="AM276">
        <v>40</v>
      </c>
      <c r="AN276">
        <v>41</v>
      </c>
      <c r="AO276">
        <v>42</v>
      </c>
      <c r="AP276">
        <v>48</v>
      </c>
      <c r="AQ276">
        <v>42</v>
      </c>
      <c r="AR276">
        <v>47</v>
      </c>
      <c r="AS276">
        <v>46</v>
      </c>
      <c r="AT276">
        <v>48</v>
      </c>
      <c r="AU276">
        <v>47</v>
      </c>
      <c r="AV276">
        <v>43</v>
      </c>
      <c r="AW276">
        <v>41</v>
      </c>
      <c r="AX276">
        <v>38</v>
      </c>
      <c r="AY276">
        <v>33</v>
      </c>
      <c r="AZ276">
        <v>29</v>
      </c>
      <c r="BA276">
        <v>34</v>
      </c>
      <c r="BB276">
        <v>27</v>
      </c>
      <c r="BC276">
        <v>26</v>
      </c>
      <c r="BD276">
        <v>24</v>
      </c>
    </row>
    <row r="277" spans="1:56" x14ac:dyDescent="0.25">
      <c r="A277" t="s">
        <v>4439</v>
      </c>
      <c r="B277" t="s">
        <v>120</v>
      </c>
      <c r="C277" t="s">
        <v>95</v>
      </c>
      <c r="D277">
        <v>55</v>
      </c>
      <c r="E277">
        <v>23.391999999999999</v>
      </c>
      <c r="F277">
        <v>3</v>
      </c>
      <c r="G277">
        <v>3</v>
      </c>
      <c r="H277">
        <v>8</v>
      </c>
      <c r="I277">
        <v>7</v>
      </c>
      <c r="J277">
        <v>6</v>
      </c>
      <c r="K277">
        <v>14</v>
      </c>
      <c r="L277">
        <v>9</v>
      </c>
      <c r="M277">
        <v>12</v>
      </c>
      <c r="N277">
        <v>11</v>
      </c>
      <c r="O277">
        <v>11</v>
      </c>
      <c r="P277">
        <v>14</v>
      </c>
      <c r="Q277">
        <v>16</v>
      </c>
      <c r="R277">
        <v>17</v>
      </c>
      <c r="S277">
        <v>20</v>
      </c>
      <c r="T277">
        <v>17</v>
      </c>
      <c r="U277">
        <v>15</v>
      </c>
      <c r="V277">
        <v>19</v>
      </c>
      <c r="W277">
        <v>14</v>
      </c>
      <c r="X277">
        <v>16</v>
      </c>
      <c r="Y277">
        <v>18</v>
      </c>
      <c r="Z277">
        <v>15</v>
      </c>
      <c r="AA277">
        <v>19</v>
      </c>
      <c r="AB277">
        <v>25</v>
      </c>
      <c r="AC277">
        <v>17</v>
      </c>
      <c r="AD277">
        <v>17</v>
      </c>
      <c r="AE277">
        <v>12</v>
      </c>
      <c r="AF277">
        <v>11</v>
      </c>
      <c r="AG277">
        <v>13</v>
      </c>
      <c r="AH277">
        <v>14</v>
      </c>
      <c r="AI277">
        <v>19</v>
      </c>
      <c r="AJ277">
        <v>25</v>
      </c>
      <c r="AK277">
        <v>27</v>
      </c>
      <c r="AL277">
        <v>29</v>
      </c>
      <c r="AM277">
        <v>25</v>
      </c>
      <c r="AN277">
        <v>24</v>
      </c>
      <c r="AO277">
        <v>37</v>
      </c>
      <c r="AP277">
        <v>29</v>
      </c>
      <c r="AQ277">
        <v>46</v>
      </c>
      <c r="AR277">
        <v>39</v>
      </c>
      <c r="AS277">
        <v>38</v>
      </c>
      <c r="AT277">
        <v>43</v>
      </c>
      <c r="AU277">
        <v>55</v>
      </c>
      <c r="AV277">
        <v>44</v>
      </c>
      <c r="AW277">
        <v>43</v>
      </c>
      <c r="AX277">
        <v>46</v>
      </c>
      <c r="AY277">
        <v>35</v>
      </c>
      <c r="AZ277">
        <v>41</v>
      </c>
      <c r="BA277">
        <v>41</v>
      </c>
      <c r="BB277">
        <v>40</v>
      </c>
      <c r="BC277">
        <v>44</v>
      </c>
      <c r="BD277">
        <v>30</v>
      </c>
    </row>
    <row r="278" spans="1:56" x14ac:dyDescent="0.25">
      <c r="A278" t="s">
        <v>4440</v>
      </c>
      <c r="B278" t="s">
        <v>121</v>
      </c>
      <c r="C278" t="s">
        <v>95</v>
      </c>
      <c r="D278">
        <v>351</v>
      </c>
      <c r="E278">
        <v>21.274999999999999</v>
      </c>
      <c r="F278">
        <v>5</v>
      </c>
      <c r="G278">
        <v>9</v>
      </c>
      <c r="H278">
        <v>9</v>
      </c>
      <c r="I278">
        <v>6</v>
      </c>
      <c r="J278">
        <v>14</v>
      </c>
      <c r="K278">
        <v>12</v>
      </c>
      <c r="L278">
        <v>10</v>
      </c>
      <c r="M278">
        <v>11</v>
      </c>
      <c r="N278">
        <v>12</v>
      </c>
      <c r="O278">
        <v>15</v>
      </c>
      <c r="P278">
        <v>13</v>
      </c>
      <c r="Q278">
        <v>15</v>
      </c>
      <c r="R278">
        <v>17</v>
      </c>
      <c r="S278">
        <v>16</v>
      </c>
      <c r="T278">
        <v>16</v>
      </c>
      <c r="U278">
        <v>20</v>
      </c>
      <c r="V278">
        <v>20</v>
      </c>
      <c r="W278">
        <v>16</v>
      </c>
      <c r="X278">
        <v>21</v>
      </c>
      <c r="Y278">
        <v>23</v>
      </c>
      <c r="Z278">
        <v>20</v>
      </c>
      <c r="AA278">
        <v>19</v>
      </c>
      <c r="AB278">
        <v>19</v>
      </c>
      <c r="AC278">
        <v>22</v>
      </c>
      <c r="AD278">
        <v>19</v>
      </c>
      <c r="AE278">
        <v>19</v>
      </c>
      <c r="AF278">
        <v>20</v>
      </c>
      <c r="AG278">
        <v>24</v>
      </c>
      <c r="AH278">
        <v>25</v>
      </c>
      <c r="AI278">
        <v>21</v>
      </c>
      <c r="AJ278">
        <v>27</v>
      </c>
      <c r="AK278">
        <v>27</v>
      </c>
      <c r="AL278">
        <v>23</v>
      </c>
      <c r="AM278">
        <v>26</v>
      </c>
      <c r="AN278">
        <v>30</v>
      </c>
      <c r="AO278">
        <v>32</v>
      </c>
      <c r="AP278">
        <v>39</v>
      </c>
      <c r="AQ278">
        <v>42</v>
      </c>
      <c r="AR278">
        <v>35</v>
      </c>
      <c r="AS278">
        <v>36</v>
      </c>
      <c r="AT278">
        <v>36</v>
      </c>
      <c r="AU278">
        <v>30</v>
      </c>
      <c r="AV278">
        <v>33</v>
      </c>
      <c r="AW278">
        <v>27</v>
      </c>
      <c r="AX278">
        <v>28</v>
      </c>
      <c r="AY278">
        <v>26</v>
      </c>
      <c r="AZ278">
        <v>24</v>
      </c>
      <c r="BA278">
        <v>17</v>
      </c>
      <c r="BB278">
        <v>22</v>
      </c>
      <c r="BC278">
        <v>20</v>
      </c>
      <c r="BD278">
        <v>17</v>
      </c>
    </row>
    <row r="279" spans="1:56" x14ac:dyDescent="0.25">
      <c r="A279" t="s">
        <v>4441</v>
      </c>
      <c r="B279" t="s">
        <v>122</v>
      </c>
      <c r="C279" t="s">
        <v>95</v>
      </c>
      <c r="D279">
        <v>208</v>
      </c>
      <c r="E279">
        <v>26.548999999999999</v>
      </c>
      <c r="F279">
        <v>6</v>
      </c>
      <c r="G279">
        <v>15</v>
      </c>
      <c r="H279">
        <v>11</v>
      </c>
      <c r="I279">
        <v>12</v>
      </c>
      <c r="J279">
        <v>15</v>
      </c>
      <c r="K279">
        <v>15</v>
      </c>
      <c r="L279">
        <v>14</v>
      </c>
      <c r="M279">
        <v>20</v>
      </c>
      <c r="N279">
        <v>19</v>
      </c>
      <c r="O279">
        <v>19</v>
      </c>
      <c r="P279">
        <v>18</v>
      </c>
      <c r="Q279">
        <v>20</v>
      </c>
      <c r="R279">
        <v>22</v>
      </c>
      <c r="S279">
        <v>17</v>
      </c>
      <c r="T279">
        <v>21</v>
      </c>
      <c r="U279">
        <v>20</v>
      </c>
      <c r="V279">
        <v>21</v>
      </c>
      <c r="W279">
        <v>22</v>
      </c>
      <c r="X279">
        <v>25</v>
      </c>
      <c r="Y279">
        <v>28</v>
      </c>
      <c r="Z279">
        <v>27</v>
      </c>
      <c r="AA279">
        <v>23</v>
      </c>
      <c r="AB279">
        <v>28</v>
      </c>
      <c r="AC279">
        <v>21</v>
      </c>
      <c r="AD279">
        <v>25</v>
      </c>
      <c r="AE279">
        <v>28</v>
      </c>
      <c r="AF279">
        <v>28</v>
      </c>
      <c r="AG279">
        <v>25</v>
      </c>
      <c r="AH279">
        <v>25</v>
      </c>
      <c r="AI279">
        <v>32</v>
      </c>
      <c r="AJ279">
        <v>31</v>
      </c>
      <c r="AK279">
        <v>36</v>
      </c>
      <c r="AL279">
        <v>30</v>
      </c>
      <c r="AM279">
        <v>35</v>
      </c>
      <c r="AN279">
        <v>34</v>
      </c>
      <c r="AO279">
        <v>35</v>
      </c>
      <c r="AP279">
        <v>35</v>
      </c>
      <c r="AQ279">
        <v>42</v>
      </c>
      <c r="AR279">
        <v>43</v>
      </c>
      <c r="AS279">
        <v>38</v>
      </c>
      <c r="AT279">
        <v>41</v>
      </c>
      <c r="AU279">
        <v>42</v>
      </c>
      <c r="AV279">
        <v>41</v>
      </c>
      <c r="AW279">
        <v>38</v>
      </c>
      <c r="AX279">
        <v>33</v>
      </c>
      <c r="AY279">
        <v>36</v>
      </c>
      <c r="AZ279">
        <v>35</v>
      </c>
      <c r="BA279">
        <v>30</v>
      </c>
      <c r="BB279">
        <v>25</v>
      </c>
      <c r="BC279">
        <v>23</v>
      </c>
      <c r="BD279">
        <v>29</v>
      </c>
    </row>
    <row r="280" spans="1:56" x14ac:dyDescent="0.25">
      <c r="A280" t="s">
        <v>4442</v>
      </c>
      <c r="B280" t="s">
        <v>123</v>
      </c>
      <c r="C280" t="s">
        <v>95</v>
      </c>
      <c r="D280">
        <v>184</v>
      </c>
      <c r="E280">
        <v>28.254999999999999</v>
      </c>
      <c r="F280">
        <v>12</v>
      </c>
      <c r="G280">
        <v>20</v>
      </c>
      <c r="H280">
        <v>16</v>
      </c>
      <c r="I280">
        <v>17</v>
      </c>
      <c r="J280">
        <v>23</v>
      </c>
      <c r="K280">
        <v>20</v>
      </c>
      <c r="L280">
        <v>22</v>
      </c>
      <c r="M280">
        <v>26</v>
      </c>
      <c r="N280">
        <v>25</v>
      </c>
      <c r="O280">
        <v>28</v>
      </c>
      <c r="P280">
        <v>28</v>
      </c>
      <c r="Q280">
        <v>34</v>
      </c>
      <c r="R280">
        <v>25</v>
      </c>
      <c r="S280">
        <v>27</v>
      </c>
      <c r="T280">
        <v>22</v>
      </c>
      <c r="U280">
        <v>22</v>
      </c>
      <c r="V280">
        <v>21</v>
      </c>
      <c r="W280">
        <v>17</v>
      </c>
      <c r="X280">
        <v>22</v>
      </c>
      <c r="Y280">
        <v>23</v>
      </c>
      <c r="Z280">
        <v>28</v>
      </c>
      <c r="AA280">
        <v>26</v>
      </c>
      <c r="AB280">
        <v>26</v>
      </c>
      <c r="AC280">
        <v>20</v>
      </c>
      <c r="AD280">
        <v>25</v>
      </c>
      <c r="AE280">
        <v>27</v>
      </c>
      <c r="AF280">
        <v>24</v>
      </c>
      <c r="AG280">
        <v>29</v>
      </c>
      <c r="AH280">
        <v>26</v>
      </c>
      <c r="AI280">
        <v>25</v>
      </c>
      <c r="AJ280">
        <v>27</v>
      </c>
      <c r="AK280">
        <v>29</v>
      </c>
      <c r="AL280">
        <v>34</v>
      </c>
      <c r="AM280">
        <v>33</v>
      </c>
      <c r="AN280">
        <v>36</v>
      </c>
      <c r="AO280">
        <v>42</v>
      </c>
      <c r="AP280">
        <v>48</v>
      </c>
      <c r="AQ280">
        <v>42</v>
      </c>
      <c r="AR280">
        <v>40</v>
      </c>
      <c r="AS280">
        <v>40</v>
      </c>
      <c r="AT280">
        <v>41</v>
      </c>
      <c r="AU280">
        <v>39</v>
      </c>
      <c r="AV280">
        <v>38</v>
      </c>
      <c r="AW280">
        <v>34</v>
      </c>
      <c r="AX280">
        <v>37</v>
      </c>
      <c r="AY280">
        <v>38</v>
      </c>
      <c r="AZ280">
        <v>32</v>
      </c>
      <c r="BA280">
        <v>30</v>
      </c>
      <c r="BB280">
        <v>27</v>
      </c>
      <c r="BC280">
        <v>25</v>
      </c>
      <c r="BD280">
        <v>23</v>
      </c>
    </row>
    <row r="281" spans="1:56" x14ac:dyDescent="0.25">
      <c r="A281" t="s">
        <v>4443</v>
      </c>
      <c r="B281" t="s">
        <v>124</v>
      </c>
      <c r="C281" t="s">
        <v>95</v>
      </c>
      <c r="D281">
        <v>825</v>
      </c>
      <c r="E281">
        <v>18.059000000000001</v>
      </c>
      <c r="F281">
        <v>5</v>
      </c>
      <c r="G281">
        <v>6</v>
      </c>
      <c r="H281">
        <v>7</v>
      </c>
      <c r="I281">
        <v>10</v>
      </c>
      <c r="J281">
        <v>9</v>
      </c>
      <c r="K281">
        <v>13</v>
      </c>
      <c r="L281">
        <v>11</v>
      </c>
      <c r="M281">
        <v>11</v>
      </c>
      <c r="N281">
        <v>10</v>
      </c>
      <c r="O281">
        <v>12</v>
      </c>
      <c r="P281">
        <v>13</v>
      </c>
      <c r="Q281">
        <v>13</v>
      </c>
      <c r="R281">
        <v>11</v>
      </c>
      <c r="S281">
        <v>13</v>
      </c>
      <c r="T281">
        <v>12</v>
      </c>
      <c r="U281">
        <v>15</v>
      </c>
      <c r="V281">
        <v>16</v>
      </c>
      <c r="W281">
        <v>18</v>
      </c>
      <c r="X281">
        <v>16</v>
      </c>
      <c r="Y281">
        <v>17</v>
      </c>
      <c r="Z281">
        <v>17</v>
      </c>
      <c r="AA281">
        <v>15</v>
      </c>
      <c r="AB281">
        <v>18</v>
      </c>
      <c r="AC281">
        <v>15</v>
      </c>
      <c r="AD281">
        <v>16</v>
      </c>
      <c r="AE281">
        <v>15</v>
      </c>
      <c r="AF281">
        <v>15</v>
      </c>
      <c r="AG281">
        <v>16</v>
      </c>
      <c r="AH281">
        <v>16</v>
      </c>
      <c r="AI281">
        <v>16</v>
      </c>
      <c r="AJ281">
        <v>18</v>
      </c>
      <c r="AK281">
        <v>21</v>
      </c>
      <c r="AL281">
        <v>17</v>
      </c>
      <c r="AM281">
        <v>23</v>
      </c>
      <c r="AN281">
        <v>23</v>
      </c>
      <c r="AO281">
        <v>32</v>
      </c>
      <c r="AP281">
        <v>29</v>
      </c>
      <c r="AQ281">
        <v>34</v>
      </c>
      <c r="AR281">
        <v>34</v>
      </c>
      <c r="AS281">
        <v>33</v>
      </c>
      <c r="AT281">
        <v>31</v>
      </c>
      <c r="AU281">
        <v>31</v>
      </c>
      <c r="AV281">
        <v>31</v>
      </c>
      <c r="AW281">
        <v>30</v>
      </c>
      <c r="AX281">
        <v>24</v>
      </c>
      <c r="AY281">
        <v>22</v>
      </c>
      <c r="AZ281">
        <v>22</v>
      </c>
      <c r="BA281">
        <v>19</v>
      </c>
      <c r="BB281">
        <v>17</v>
      </c>
      <c r="BC281">
        <v>16</v>
      </c>
      <c r="BD281">
        <v>17</v>
      </c>
    </row>
    <row r="282" spans="1:56" x14ac:dyDescent="0.25">
      <c r="A282" t="s">
        <v>4444</v>
      </c>
      <c r="B282" t="s">
        <v>125</v>
      </c>
      <c r="C282" t="s">
        <v>95</v>
      </c>
      <c r="D282">
        <v>563</v>
      </c>
      <c r="E282">
        <v>15.314</v>
      </c>
      <c r="F282">
        <v>4</v>
      </c>
      <c r="G282">
        <v>6</v>
      </c>
      <c r="H282">
        <v>8</v>
      </c>
      <c r="I282">
        <v>7</v>
      </c>
      <c r="J282">
        <v>9</v>
      </c>
      <c r="K282">
        <v>10</v>
      </c>
      <c r="L282">
        <v>9</v>
      </c>
      <c r="M282">
        <v>7</v>
      </c>
      <c r="N282">
        <v>11</v>
      </c>
      <c r="O282">
        <v>10</v>
      </c>
      <c r="P282">
        <v>12</v>
      </c>
      <c r="Q282">
        <v>10</v>
      </c>
      <c r="R282">
        <v>9</v>
      </c>
      <c r="S282">
        <v>10</v>
      </c>
      <c r="T282">
        <v>11</v>
      </c>
      <c r="U282">
        <v>12</v>
      </c>
      <c r="V282">
        <v>13</v>
      </c>
      <c r="W282">
        <v>9</v>
      </c>
      <c r="X282">
        <v>13</v>
      </c>
      <c r="Y282">
        <v>12</v>
      </c>
      <c r="Z282">
        <v>10</v>
      </c>
      <c r="AA282">
        <v>12</v>
      </c>
      <c r="AB282">
        <v>13</v>
      </c>
      <c r="AC282">
        <v>12</v>
      </c>
      <c r="AD282">
        <v>13</v>
      </c>
      <c r="AE282">
        <v>12</v>
      </c>
      <c r="AF282">
        <v>11</v>
      </c>
      <c r="AG282">
        <v>12</v>
      </c>
      <c r="AH282">
        <v>15</v>
      </c>
      <c r="AI282">
        <v>13</v>
      </c>
      <c r="AJ282">
        <v>14</v>
      </c>
      <c r="AK282">
        <v>21</v>
      </c>
      <c r="AL282">
        <v>18</v>
      </c>
      <c r="AM282">
        <v>16</v>
      </c>
      <c r="AN282">
        <v>19</v>
      </c>
      <c r="AO282">
        <v>24</v>
      </c>
      <c r="AP282">
        <v>26</v>
      </c>
      <c r="AQ282">
        <v>27</v>
      </c>
      <c r="AR282">
        <v>30</v>
      </c>
      <c r="AS282">
        <v>28</v>
      </c>
      <c r="AT282">
        <v>31</v>
      </c>
      <c r="AU282">
        <v>30</v>
      </c>
      <c r="AV282">
        <v>25</v>
      </c>
      <c r="AW282">
        <v>24</v>
      </c>
      <c r="AX282">
        <v>23</v>
      </c>
      <c r="AY282">
        <v>21</v>
      </c>
      <c r="AZ282">
        <v>18</v>
      </c>
      <c r="BA282">
        <v>19</v>
      </c>
      <c r="BB282">
        <v>18</v>
      </c>
      <c r="BC282">
        <v>16</v>
      </c>
      <c r="BD282">
        <v>18</v>
      </c>
    </row>
    <row r="283" spans="1:56" x14ac:dyDescent="0.25">
      <c r="A283" t="s">
        <v>4445</v>
      </c>
      <c r="B283" t="s">
        <v>71</v>
      </c>
      <c r="C283" t="s">
        <v>95</v>
      </c>
      <c r="D283">
        <v>350</v>
      </c>
      <c r="E283">
        <v>13.196</v>
      </c>
      <c r="F283">
        <v>3</v>
      </c>
      <c r="G283">
        <v>5</v>
      </c>
      <c r="H283">
        <v>5</v>
      </c>
      <c r="I283">
        <v>5</v>
      </c>
      <c r="J283">
        <v>8</v>
      </c>
      <c r="K283">
        <v>7</v>
      </c>
      <c r="L283">
        <v>6</v>
      </c>
      <c r="M283">
        <v>6</v>
      </c>
      <c r="N283">
        <v>8</v>
      </c>
      <c r="O283">
        <v>7</v>
      </c>
      <c r="P283">
        <v>7</v>
      </c>
      <c r="Q283">
        <v>6</v>
      </c>
      <c r="R283">
        <v>5</v>
      </c>
      <c r="S283">
        <v>7</v>
      </c>
      <c r="T283">
        <v>6</v>
      </c>
      <c r="U283">
        <v>11</v>
      </c>
      <c r="V283">
        <v>11</v>
      </c>
      <c r="W283">
        <v>5</v>
      </c>
      <c r="X283">
        <v>11</v>
      </c>
      <c r="Y283">
        <v>9</v>
      </c>
      <c r="Z283">
        <v>9</v>
      </c>
      <c r="AA283">
        <v>10</v>
      </c>
      <c r="AB283">
        <v>11</v>
      </c>
      <c r="AC283">
        <v>9</v>
      </c>
      <c r="AD283">
        <v>10</v>
      </c>
      <c r="AE283">
        <v>8</v>
      </c>
      <c r="AF283">
        <v>8</v>
      </c>
      <c r="AG283">
        <v>11</v>
      </c>
      <c r="AH283">
        <v>13</v>
      </c>
      <c r="AI283">
        <v>12</v>
      </c>
      <c r="AJ283">
        <v>11</v>
      </c>
      <c r="AK283">
        <v>18</v>
      </c>
      <c r="AL283">
        <v>15</v>
      </c>
      <c r="AM283">
        <v>15</v>
      </c>
      <c r="AN283">
        <v>17</v>
      </c>
      <c r="AO283">
        <v>21</v>
      </c>
      <c r="AP283">
        <v>25</v>
      </c>
      <c r="AQ283">
        <v>26</v>
      </c>
      <c r="AR283">
        <v>30</v>
      </c>
      <c r="AS283">
        <v>26</v>
      </c>
      <c r="AT283">
        <v>28</v>
      </c>
      <c r="AU283">
        <v>29</v>
      </c>
      <c r="AV283">
        <v>24</v>
      </c>
      <c r="AW283">
        <v>24</v>
      </c>
      <c r="AX283">
        <v>21</v>
      </c>
      <c r="AY283">
        <v>19</v>
      </c>
      <c r="AZ283">
        <v>18</v>
      </c>
      <c r="BA283">
        <v>17</v>
      </c>
      <c r="BB283">
        <v>17</v>
      </c>
      <c r="BC283">
        <v>16</v>
      </c>
      <c r="BD283">
        <v>17</v>
      </c>
    </row>
    <row r="284" spans="1:56" x14ac:dyDescent="0.25">
      <c r="A284" t="s">
        <v>4446</v>
      </c>
      <c r="B284" t="s">
        <v>127</v>
      </c>
      <c r="C284" t="s">
        <v>95</v>
      </c>
      <c r="D284">
        <v>213</v>
      </c>
      <c r="E284">
        <v>18.117999999999999</v>
      </c>
      <c r="F284">
        <v>5</v>
      </c>
      <c r="G284">
        <v>7</v>
      </c>
      <c r="H284">
        <v>11</v>
      </c>
      <c r="I284">
        <v>9</v>
      </c>
      <c r="J284">
        <v>9</v>
      </c>
      <c r="K284">
        <v>14</v>
      </c>
      <c r="L284">
        <v>12</v>
      </c>
      <c r="M284">
        <v>9</v>
      </c>
      <c r="N284">
        <v>15</v>
      </c>
      <c r="O284">
        <v>13</v>
      </c>
      <c r="P284">
        <v>17</v>
      </c>
      <c r="Q284">
        <v>15</v>
      </c>
      <c r="R284">
        <v>15</v>
      </c>
      <c r="S284">
        <v>12</v>
      </c>
      <c r="T284">
        <v>18</v>
      </c>
      <c r="U284">
        <v>14</v>
      </c>
      <c r="V284">
        <v>16</v>
      </c>
      <c r="W284">
        <v>15</v>
      </c>
      <c r="X284">
        <v>16</v>
      </c>
      <c r="Y284">
        <v>16</v>
      </c>
      <c r="Z284">
        <v>13</v>
      </c>
      <c r="AA284">
        <v>14</v>
      </c>
      <c r="AB284">
        <v>15</v>
      </c>
      <c r="AC284">
        <v>17</v>
      </c>
      <c r="AD284">
        <v>16</v>
      </c>
      <c r="AE284">
        <v>17</v>
      </c>
      <c r="AF284">
        <v>16</v>
      </c>
      <c r="AG284">
        <v>14</v>
      </c>
      <c r="AH284">
        <v>17</v>
      </c>
      <c r="AI284">
        <v>16</v>
      </c>
      <c r="AJ284">
        <v>18</v>
      </c>
      <c r="AK284">
        <v>24</v>
      </c>
      <c r="AL284">
        <v>22</v>
      </c>
      <c r="AM284">
        <v>18</v>
      </c>
      <c r="AN284">
        <v>22</v>
      </c>
      <c r="AO284">
        <v>28</v>
      </c>
      <c r="AP284">
        <v>29</v>
      </c>
      <c r="AQ284">
        <v>29</v>
      </c>
      <c r="AR284">
        <v>30</v>
      </c>
      <c r="AS284">
        <v>31</v>
      </c>
      <c r="AT284">
        <v>36</v>
      </c>
      <c r="AU284">
        <v>31</v>
      </c>
      <c r="AV284">
        <v>25</v>
      </c>
      <c r="AW284">
        <v>24</v>
      </c>
      <c r="AX284">
        <v>27</v>
      </c>
      <c r="AY284">
        <v>22</v>
      </c>
      <c r="AZ284">
        <v>18</v>
      </c>
      <c r="BA284">
        <v>20</v>
      </c>
      <c r="BB284">
        <v>20</v>
      </c>
      <c r="BC284">
        <v>17</v>
      </c>
      <c r="BD284">
        <v>20</v>
      </c>
    </row>
    <row r="285" spans="1:56" x14ac:dyDescent="0.25">
      <c r="A285" t="s">
        <v>4447</v>
      </c>
      <c r="B285" t="s">
        <v>128</v>
      </c>
      <c r="C285" t="s">
        <v>95</v>
      </c>
      <c r="D285">
        <v>784</v>
      </c>
      <c r="E285">
        <v>16.824000000000002</v>
      </c>
      <c r="F285">
        <v>3</v>
      </c>
      <c r="G285">
        <v>6</v>
      </c>
      <c r="H285">
        <v>6</v>
      </c>
      <c r="I285">
        <v>5</v>
      </c>
      <c r="J285">
        <v>8</v>
      </c>
      <c r="K285">
        <v>9</v>
      </c>
      <c r="L285">
        <v>7</v>
      </c>
      <c r="M285">
        <v>9</v>
      </c>
      <c r="N285">
        <v>11</v>
      </c>
      <c r="O285">
        <v>12</v>
      </c>
      <c r="P285">
        <v>10</v>
      </c>
      <c r="Q285">
        <v>12</v>
      </c>
      <c r="R285">
        <v>12</v>
      </c>
      <c r="S285">
        <v>11</v>
      </c>
      <c r="T285">
        <v>13</v>
      </c>
      <c r="U285">
        <v>12</v>
      </c>
      <c r="V285">
        <v>14</v>
      </c>
      <c r="W285">
        <v>12</v>
      </c>
      <c r="X285">
        <v>14</v>
      </c>
      <c r="Y285">
        <v>18</v>
      </c>
      <c r="Z285">
        <v>16</v>
      </c>
      <c r="AA285">
        <v>14</v>
      </c>
      <c r="AB285">
        <v>15</v>
      </c>
      <c r="AC285">
        <v>12</v>
      </c>
      <c r="AD285">
        <v>14</v>
      </c>
      <c r="AE285">
        <v>14</v>
      </c>
      <c r="AF285">
        <v>14</v>
      </c>
      <c r="AG285">
        <v>13</v>
      </c>
      <c r="AH285">
        <v>16</v>
      </c>
      <c r="AI285">
        <v>15</v>
      </c>
      <c r="AJ285">
        <v>17</v>
      </c>
      <c r="AK285">
        <v>18</v>
      </c>
      <c r="AL285">
        <v>17</v>
      </c>
      <c r="AM285">
        <v>20</v>
      </c>
      <c r="AN285">
        <v>23</v>
      </c>
      <c r="AO285">
        <v>27</v>
      </c>
      <c r="AP285">
        <v>31</v>
      </c>
      <c r="AQ285">
        <v>30</v>
      </c>
      <c r="AR285">
        <v>33</v>
      </c>
      <c r="AS285">
        <v>34</v>
      </c>
      <c r="AT285">
        <v>32</v>
      </c>
      <c r="AU285">
        <v>31</v>
      </c>
      <c r="AV285">
        <v>29</v>
      </c>
      <c r="AW285">
        <v>26</v>
      </c>
      <c r="AX285">
        <v>29</v>
      </c>
      <c r="AY285">
        <v>25</v>
      </c>
      <c r="AZ285">
        <v>20</v>
      </c>
      <c r="BA285">
        <v>18</v>
      </c>
      <c r="BB285">
        <v>17</v>
      </c>
      <c r="BC285">
        <v>17</v>
      </c>
      <c r="BD285">
        <v>17</v>
      </c>
    </row>
    <row r="286" spans="1:56" x14ac:dyDescent="0.25">
      <c r="A286" t="s">
        <v>4448</v>
      </c>
      <c r="B286" t="s">
        <v>72</v>
      </c>
      <c r="C286" t="s">
        <v>95</v>
      </c>
      <c r="D286">
        <v>103</v>
      </c>
      <c r="E286">
        <v>23.745000000000001</v>
      </c>
      <c r="F286">
        <v>4</v>
      </c>
      <c r="G286">
        <v>14</v>
      </c>
      <c r="H286">
        <v>13</v>
      </c>
      <c r="I286">
        <v>15</v>
      </c>
      <c r="J286">
        <v>13</v>
      </c>
      <c r="K286">
        <v>25</v>
      </c>
      <c r="L286">
        <v>15</v>
      </c>
      <c r="M286">
        <v>14</v>
      </c>
      <c r="N286">
        <v>15</v>
      </c>
      <c r="O286">
        <v>21</v>
      </c>
      <c r="P286">
        <v>15</v>
      </c>
      <c r="Q286">
        <v>15</v>
      </c>
      <c r="R286">
        <v>23</v>
      </c>
      <c r="S286">
        <v>20</v>
      </c>
      <c r="T286">
        <v>16</v>
      </c>
      <c r="U286">
        <v>20</v>
      </c>
      <c r="V286">
        <v>21</v>
      </c>
      <c r="W286">
        <v>12</v>
      </c>
      <c r="X286">
        <v>14</v>
      </c>
      <c r="Y286">
        <v>16</v>
      </c>
      <c r="Z286">
        <v>20</v>
      </c>
      <c r="AA286">
        <v>17</v>
      </c>
      <c r="AB286">
        <v>16</v>
      </c>
      <c r="AC286">
        <v>17</v>
      </c>
      <c r="AD286">
        <v>18</v>
      </c>
      <c r="AE286">
        <v>17</v>
      </c>
      <c r="AF286">
        <v>15</v>
      </c>
      <c r="AG286">
        <v>19</v>
      </c>
      <c r="AH286">
        <v>15</v>
      </c>
      <c r="AI286">
        <v>22</v>
      </c>
      <c r="AJ286">
        <v>22</v>
      </c>
      <c r="AK286">
        <v>34</v>
      </c>
      <c r="AL286">
        <v>29</v>
      </c>
      <c r="AM286">
        <v>28</v>
      </c>
      <c r="AN286">
        <v>31</v>
      </c>
      <c r="AO286">
        <v>42</v>
      </c>
      <c r="AP286">
        <v>46</v>
      </c>
      <c r="AQ286">
        <v>36</v>
      </c>
      <c r="AR286">
        <v>45</v>
      </c>
      <c r="AS286">
        <v>36</v>
      </c>
      <c r="AT286">
        <v>47</v>
      </c>
      <c r="AU286">
        <v>39</v>
      </c>
      <c r="AV286">
        <v>42</v>
      </c>
      <c r="AW286">
        <v>40</v>
      </c>
      <c r="AX286">
        <v>38</v>
      </c>
      <c r="AY286">
        <v>31</v>
      </c>
      <c r="AZ286">
        <v>25</v>
      </c>
      <c r="BA286">
        <v>21</v>
      </c>
      <c r="BB286">
        <v>26</v>
      </c>
      <c r="BC286">
        <v>25</v>
      </c>
      <c r="BD286">
        <v>31</v>
      </c>
    </row>
    <row r="287" spans="1:56" x14ac:dyDescent="0.25">
      <c r="A287" t="s">
        <v>4449</v>
      </c>
      <c r="B287" t="s">
        <v>240</v>
      </c>
      <c r="C287" t="s">
        <v>95</v>
      </c>
      <c r="D287">
        <v>42</v>
      </c>
      <c r="E287">
        <v>17.783999999999999</v>
      </c>
      <c r="F287">
        <v>9</v>
      </c>
      <c r="G287">
        <v>11</v>
      </c>
      <c r="H287">
        <v>8</v>
      </c>
      <c r="I287">
        <v>4</v>
      </c>
      <c r="J287">
        <v>9</v>
      </c>
      <c r="K287">
        <v>17</v>
      </c>
      <c r="L287">
        <v>6</v>
      </c>
      <c r="M287">
        <v>10</v>
      </c>
      <c r="N287">
        <v>18</v>
      </c>
      <c r="O287">
        <v>4</v>
      </c>
      <c r="P287">
        <v>9</v>
      </c>
      <c r="Q287">
        <v>6</v>
      </c>
      <c r="R287">
        <v>10</v>
      </c>
      <c r="S287">
        <v>6</v>
      </c>
      <c r="T287">
        <v>4</v>
      </c>
      <c r="U287">
        <v>10</v>
      </c>
      <c r="V287">
        <v>15</v>
      </c>
      <c r="W287">
        <v>9</v>
      </c>
      <c r="X287">
        <v>18</v>
      </c>
      <c r="Y287">
        <v>17</v>
      </c>
      <c r="Z287">
        <v>16</v>
      </c>
      <c r="AA287">
        <v>14</v>
      </c>
      <c r="AB287">
        <v>11</v>
      </c>
      <c r="AC287">
        <v>6</v>
      </c>
      <c r="AD287">
        <v>7</v>
      </c>
      <c r="AE287">
        <v>4</v>
      </c>
      <c r="AF287">
        <v>14</v>
      </c>
      <c r="AG287">
        <v>4</v>
      </c>
      <c r="AH287">
        <v>15</v>
      </c>
      <c r="AI287">
        <v>14</v>
      </c>
      <c r="AJ287">
        <v>27</v>
      </c>
      <c r="AK287">
        <v>15</v>
      </c>
      <c r="AL287">
        <v>25</v>
      </c>
      <c r="AM287">
        <v>28</v>
      </c>
      <c r="AN287">
        <v>25</v>
      </c>
      <c r="AO287">
        <v>24</v>
      </c>
      <c r="AP287">
        <v>35</v>
      </c>
      <c r="AQ287">
        <v>27</v>
      </c>
      <c r="AR287">
        <v>39</v>
      </c>
      <c r="AS287">
        <v>40</v>
      </c>
      <c r="AT287">
        <v>44</v>
      </c>
      <c r="AU287">
        <v>38</v>
      </c>
      <c r="AV287">
        <v>40</v>
      </c>
      <c r="AW287">
        <v>33</v>
      </c>
      <c r="AX287">
        <v>26</v>
      </c>
      <c r="AY287">
        <v>22</v>
      </c>
      <c r="AZ287">
        <v>32</v>
      </c>
      <c r="BA287">
        <v>15</v>
      </c>
      <c r="BB287">
        <v>22</v>
      </c>
      <c r="BC287">
        <v>20</v>
      </c>
      <c r="BD287">
        <v>25</v>
      </c>
    </row>
    <row r="288" spans="1:56" x14ac:dyDescent="0.25">
      <c r="A288" t="s">
        <v>4450</v>
      </c>
      <c r="B288" t="s">
        <v>129</v>
      </c>
      <c r="C288" t="s">
        <v>95</v>
      </c>
      <c r="D288">
        <v>74</v>
      </c>
      <c r="E288">
        <v>20.196000000000002</v>
      </c>
      <c r="F288">
        <v>5</v>
      </c>
      <c r="G288">
        <v>6</v>
      </c>
      <c r="H288">
        <v>6</v>
      </c>
      <c r="I288">
        <v>6</v>
      </c>
      <c r="J288">
        <v>9</v>
      </c>
      <c r="K288">
        <v>9</v>
      </c>
      <c r="L288">
        <v>15</v>
      </c>
      <c r="M288">
        <v>13</v>
      </c>
      <c r="N288">
        <v>16</v>
      </c>
      <c r="O288">
        <v>13</v>
      </c>
      <c r="P288">
        <v>12</v>
      </c>
      <c r="Q288">
        <v>15</v>
      </c>
      <c r="R288">
        <v>17</v>
      </c>
      <c r="S288">
        <v>15</v>
      </c>
      <c r="T288">
        <v>11</v>
      </c>
      <c r="U288">
        <v>11</v>
      </c>
      <c r="V288">
        <v>17</v>
      </c>
      <c r="W288">
        <v>18</v>
      </c>
      <c r="X288">
        <v>21</v>
      </c>
      <c r="Y288">
        <v>11</v>
      </c>
      <c r="Z288">
        <v>14</v>
      </c>
      <c r="AA288">
        <v>14</v>
      </c>
      <c r="AB288">
        <v>11</v>
      </c>
      <c r="AC288">
        <v>14</v>
      </c>
      <c r="AD288">
        <v>18</v>
      </c>
      <c r="AE288">
        <v>13</v>
      </c>
      <c r="AF288">
        <v>22</v>
      </c>
      <c r="AG288">
        <v>14</v>
      </c>
      <c r="AH288">
        <v>17</v>
      </c>
      <c r="AI288">
        <v>20</v>
      </c>
      <c r="AJ288">
        <v>25</v>
      </c>
      <c r="AK288">
        <v>24</v>
      </c>
      <c r="AL288">
        <v>23</v>
      </c>
      <c r="AM288">
        <v>23</v>
      </c>
      <c r="AN288">
        <v>32</v>
      </c>
      <c r="AO288">
        <v>31</v>
      </c>
      <c r="AP288">
        <v>34</v>
      </c>
      <c r="AQ288">
        <v>40</v>
      </c>
      <c r="AR288">
        <v>35</v>
      </c>
      <c r="AS288">
        <v>41</v>
      </c>
      <c r="AT288">
        <v>41</v>
      </c>
      <c r="AU288">
        <v>35</v>
      </c>
      <c r="AV288">
        <v>31</v>
      </c>
      <c r="AW288">
        <v>33</v>
      </c>
      <c r="AX288">
        <v>36</v>
      </c>
      <c r="AY288">
        <v>29</v>
      </c>
      <c r="AZ288">
        <v>24</v>
      </c>
      <c r="BA288">
        <v>32</v>
      </c>
      <c r="BB288">
        <v>18</v>
      </c>
      <c r="BC288">
        <v>19</v>
      </c>
      <c r="BD288">
        <v>21</v>
      </c>
    </row>
    <row r="289" spans="1:56" x14ac:dyDescent="0.25">
      <c r="A289" t="s">
        <v>4451</v>
      </c>
      <c r="B289" t="s">
        <v>241</v>
      </c>
      <c r="C289" t="s">
        <v>95</v>
      </c>
      <c r="D289">
        <v>137</v>
      </c>
      <c r="E289">
        <v>17.077999999999999</v>
      </c>
      <c r="F289">
        <v>4</v>
      </c>
      <c r="G289">
        <v>4</v>
      </c>
      <c r="H289">
        <v>4</v>
      </c>
      <c r="I289">
        <v>7</v>
      </c>
      <c r="J289">
        <v>9</v>
      </c>
      <c r="K289">
        <v>9</v>
      </c>
      <c r="L289">
        <v>6</v>
      </c>
      <c r="M289">
        <v>10</v>
      </c>
      <c r="N289">
        <v>6</v>
      </c>
      <c r="O289">
        <v>11</v>
      </c>
      <c r="P289">
        <v>11</v>
      </c>
      <c r="Q289">
        <v>8</v>
      </c>
      <c r="R289">
        <v>11</v>
      </c>
      <c r="S289">
        <v>13</v>
      </c>
      <c r="T289">
        <v>10</v>
      </c>
      <c r="U289">
        <v>11</v>
      </c>
      <c r="V289">
        <v>11</v>
      </c>
      <c r="W289">
        <v>8</v>
      </c>
      <c r="X289">
        <v>15</v>
      </c>
      <c r="Y289">
        <v>13</v>
      </c>
      <c r="Z289">
        <v>11</v>
      </c>
      <c r="AA289">
        <v>15</v>
      </c>
      <c r="AB289">
        <v>17</v>
      </c>
      <c r="AC289">
        <v>13</v>
      </c>
      <c r="AD289">
        <v>18</v>
      </c>
      <c r="AE289">
        <v>17</v>
      </c>
      <c r="AF289">
        <v>13</v>
      </c>
      <c r="AG289">
        <v>23</v>
      </c>
      <c r="AH289">
        <v>17</v>
      </c>
      <c r="AI289">
        <v>19</v>
      </c>
      <c r="AJ289">
        <v>22</v>
      </c>
      <c r="AK289">
        <v>25</v>
      </c>
      <c r="AL289">
        <v>27</v>
      </c>
      <c r="AM289">
        <v>21</v>
      </c>
      <c r="AN289">
        <v>25</v>
      </c>
      <c r="AO289">
        <v>26</v>
      </c>
      <c r="AP289">
        <v>33</v>
      </c>
      <c r="AQ289">
        <v>29</v>
      </c>
      <c r="AR289">
        <v>32</v>
      </c>
      <c r="AS289">
        <v>41</v>
      </c>
      <c r="AT289">
        <v>27</v>
      </c>
      <c r="AU289">
        <v>34</v>
      </c>
      <c r="AV289">
        <v>31</v>
      </c>
      <c r="AW289">
        <v>24</v>
      </c>
      <c r="AX289">
        <v>22</v>
      </c>
      <c r="AY289">
        <v>25</v>
      </c>
      <c r="AZ289">
        <v>25</v>
      </c>
      <c r="BA289">
        <v>15</v>
      </c>
      <c r="BB289">
        <v>13</v>
      </c>
      <c r="BC289">
        <v>16</v>
      </c>
      <c r="BD289">
        <v>14</v>
      </c>
    </row>
    <row r="290" spans="1:56" x14ac:dyDescent="0.25">
      <c r="A290" t="s">
        <v>4452</v>
      </c>
      <c r="B290" t="s">
        <v>242</v>
      </c>
      <c r="C290" t="s">
        <v>95</v>
      </c>
      <c r="D290">
        <v>65</v>
      </c>
      <c r="E290">
        <v>11.430999999999999</v>
      </c>
      <c r="F290">
        <v>2</v>
      </c>
      <c r="G290">
        <v>1</v>
      </c>
      <c r="H290">
        <v>7</v>
      </c>
      <c r="I290">
        <v>3</v>
      </c>
      <c r="J290">
        <v>5</v>
      </c>
      <c r="K290">
        <v>6</v>
      </c>
      <c r="L290">
        <v>12</v>
      </c>
      <c r="M290">
        <v>14</v>
      </c>
      <c r="N290">
        <v>5</v>
      </c>
      <c r="O290">
        <v>3</v>
      </c>
      <c r="P290">
        <v>9</v>
      </c>
      <c r="Q290">
        <v>12</v>
      </c>
      <c r="R290">
        <v>7</v>
      </c>
      <c r="S290">
        <v>2</v>
      </c>
      <c r="T290">
        <v>5</v>
      </c>
      <c r="U290">
        <v>5</v>
      </c>
      <c r="V290">
        <v>11</v>
      </c>
      <c r="W290">
        <v>12</v>
      </c>
      <c r="X290">
        <v>10</v>
      </c>
      <c r="Y290">
        <v>14</v>
      </c>
      <c r="Z290">
        <v>12</v>
      </c>
      <c r="AA290">
        <v>7</v>
      </c>
      <c r="AB290">
        <v>13</v>
      </c>
      <c r="AC290">
        <v>18</v>
      </c>
      <c r="AD290">
        <v>11</v>
      </c>
      <c r="AE290">
        <v>16</v>
      </c>
      <c r="AF290">
        <v>9</v>
      </c>
      <c r="AG290">
        <v>11</v>
      </c>
      <c r="AH290">
        <v>16</v>
      </c>
      <c r="AI290">
        <v>21</v>
      </c>
      <c r="AJ290">
        <v>4</v>
      </c>
      <c r="AK290">
        <v>13</v>
      </c>
      <c r="AL290">
        <v>4</v>
      </c>
      <c r="AM290">
        <v>16</v>
      </c>
      <c r="AN290">
        <v>13</v>
      </c>
      <c r="AO290">
        <v>16</v>
      </c>
      <c r="AP290">
        <v>21</v>
      </c>
      <c r="AQ290">
        <v>14</v>
      </c>
      <c r="AR290">
        <v>22</v>
      </c>
      <c r="AS290">
        <v>18</v>
      </c>
      <c r="AT290">
        <v>20</v>
      </c>
      <c r="AU290">
        <v>16</v>
      </c>
      <c r="AV290">
        <v>18</v>
      </c>
      <c r="AW290">
        <v>26</v>
      </c>
      <c r="AX290">
        <v>14</v>
      </c>
      <c r="AY290">
        <v>14</v>
      </c>
      <c r="AZ290">
        <v>11</v>
      </c>
      <c r="BA290">
        <v>15</v>
      </c>
      <c r="BB290">
        <v>6</v>
      </c>
      <c r="BC290">
        <v>14</v>
      </c>
      <c r="BD290">
        <v>9</v>
      </c>
    </row>
    <row r="291" spans="1:56" x14ac:dyDescent="0.25">
      <c r="A291" t="s">
        <v>4453</v>
      </c>
      <c r="B291" t="s">
        <v>132</v>
      </c>
      <c r="C291" t="s">
        <v>95</v>
      </c>
      <c r="D291">
        <v>124</v>
      </c>
      <c r="E291">
        <v>41.960999999999999</v>
      </c>
      <c r="F291">
        <v>30</v>
      </c>
      <c r="G291">
        <v>18</v>
      </c>
      <c r="H291">
        <v>18</v>
      </c>
      <c r="I291">
        <v>26</v>
      </c>
      <c r="J291">
        <v>41</v>
      </c>
      <c r="K291">
        <v>34</v>
      </c>
      <c r="L291">
        <v>42</v>
      </c>
      <c r="M291">
        <v>46</v>
      </c>
      <c r="N291">
        <v>47</v>
      </c>
      <c r="O291">
        <v>35</v>
      </c>
      <c r="P291">
        <v>39</v>
      </c>
      <c r="Q291">
        <v>33</v>
      </c>
      <c r="R291">
        <v>34</v>
      </c>
      <c r="S291">
        <v>35</v>
      </c>
      <c r="T291">
        <v>29</v>
      </c>
      <c r="U291">
        <v>36</v>
      </c>
      <c r="V291">
        <v>34</v>
      </c>
      <c r="W291">
        <v>37</v>
      </c>
      <c r="X291">
        <v>39</v>
      </c>
      <c r="Y291">
        <v>36</v>
      </c>
      <c r="Z291">
        <v>41</v>
      </c>
      <c r="AA291">
        <v>38</v>
      </c>
      <c r="AB291">
        <v>29</v>
      </c>
      <c r="AC291">
        <v>38</v>
      </c>
      <c r="AD291">
        <v>41</v>
      </c>
      <c r="AE291">
        <v>38</v>
      </c>
      <c r="AF291">
        <v>38</v>
      </c>
      <c r="AG291">
        <v>35</v>
      </c>
      <c r="AH291">
        <v>39</v>
      </c>
      <c r="AI291">
        <v>44</v>
      </c>
      <c r="AJ291">
        <v>47</v>
      </c>
      <c r="AK291">
        <v>51</v>
      </c>
      <c r="AL291">
        <v>47</v>
      </c>
      <c r="AM291">
        <v>48</v>
      </c>
      <c r="AN291">
        <v>41</v>
      </c>
      <c r="AO291">
        <v>50</v>
      </c>
      <c r="AP291">
        <v>51</v>
      </c>
      <c r="AQ291">
        <v>60</v>
      </c>
      <c r="AR291">
        <v>50</v>
      </c>
      <c r="AS291">
        <v>59</v>
      </c>
      <c r="AT291">
        <v>59</v>
      </c>
      <c r="AU291">
        <v>58</v>
      </c>
      <c r="AV291">
        <v>60</v>
      </c>
      <c r="AW291">
        <v>58</v>
      </c>
      <c r="AX291">
        <v>55</v>
      </c>
      <c r="AY291">
        <v>51</v>
      </c>
      <c r="AZ291">
        <v>47</v>
      </c>
      <c r="BA291">
        <v>46</v>
      </c>
      <c r="BB291">
        <v>46</v>
      </c>
      <c r="BC291">
        <v>44</v>
      </c>
      <c r="BD291">
        <v>42</v>
      </c>
    </row>
    <row r="292" spans="1:56" x14ac:dyDescent="0.25">
      <c r="A292" t="s">
        <v>4454</v>
      </c>
      <c r="B292" t="s">
        <v>243</v>
      </c>
      <c r="C292" t="s">
        <v>95</v>
      </c>
      <c r="D292">
        <v>184</v>
      </c>
      <c r="E292">
        <v>36.725000000000001</v>
      </c>
      <c r="F292">
        <v>8</v>
      </c>
      <c r="G292">
        <v>18</v>
      </c>
      <c r="H292">
        <v>28</v>
      </c>
      <c r="I292">
        <v>30</v>
      </c>
      <c r="J292">
        <v>28</v>
      </c>
      <c r="K292">
        <v>32</v>
      </c>
      <c r="L292">
        <v>27</v>
      </c>
      <c r="M292">
        <v>27</v>
      </c>
      <c r="N292">
        <v>31</v>
      </c>
      <c r="O292">
        <v>30</v>
      </c>
      <c r="P292">
        <v>35</v>
      </c>
      <c r="Q292">
        <v>31</v>
      </c>
      <c r="R292">
        <v>37</v>
      </c>
      <c r="S292">
        <v>37</v>
      </c>
      <c r="T292">
        <v>30</v>
      </c>
      <c r="U292">
        <v>34</v>
      </c>
      <c r="V292">
        <v>34</v>
      </c>
      <c r="W292">
        <v>28</v>
      </c>
      <c r="X292">
        <v>34</v>
      </c>
      <c r="Y292">
        <v>34</v>
      </c>
      <c r="Z292">
        <v>31</v>
      </c>
      <c r="AA292">
        <v>36</v>
      </c>
      <c r="AB292">
        <v>40</v>
      </c>
      <c r="AC292">
        <v>37</v>
      </c>
      <c r="AD292">
        <v>36</v>
      </c>
      <c r="AE292">
        <v>42</v>
      </c>
      <c r="AF292">
        <v>38</v>
      </c>
      <c r="AG292">
        <v>38</v>
      </c>
      <c r="AH292">
        <v>42</v>
      </c>
      <c r="AI292">
        <v>37</v>
      </c>
      <c r="AJ292">
        <v>39</v>
      </c>
      <c r="AK292">
        <v>42</v>
      </c>
      <c r="AL292">
        <v>39</v>
      </c>
      <c r="AM292">
        <v>42</v>
      </c>
      <c r="AN292">
        <v>50</v>
      </c>
      <c r="AO292">
        <v>46</v>
      </c>
      <c r="AP292">
        <v>46</v>
      </c>
      <c r="AQ292">
        <v>39</v>
      </c>
      <c r="AR292">
        <v>51</v>
      </c>
      <c r="AS292">
        <v>48</v>
      </c>
      <c r="AT292">
        <v>53</v>
      </c>
      <c r="AU292">
        <v>47</v>
      </c>
      <c r="AV292">
        <v>45</v>
      </c>
      <c r="AW292">
        <v>46</v>
      </c>
      <c r="AX292">
        <v>42</v>
      </c>
      <c r="AY292">
        <v>38</v>
      </c>
      <c r="AZ292">
        <v>45</v>
      </c>
      <c r="BA292">
        <v>36</v>
      </c>
      <c r="BB292">
        <v>32</v>
      </c>
      <c r="BC292">
        <v>36</v>
      </c>
      <c r="BD292">
        <v>41</v>
      </c>
    </row>
    <row r="293" spans="1:56" x14ac:dyDescent="0.25">
      <c r="A293" t="s">
        <v>4455</v>
      </c>
      <c r="B293" t="s">
        <v>37</v>
      </c>
      <c r="C293" t="s">
        <v>95</v>
      </c>
      <c r="D293">
        <v>1152</v>
      </c>
      <c r="E293">
        <v>14.118</v>
      </c>
      <c r="F293">
        <v>2</v>
      </c>
      <c r="G293">
        <v>3</v>
      </c>
      <c r="H293">
        <v>3</v>
      </c>
      <c r="I293">
        <v>5</v>
      </c>
      <c r="J293">
        <v>7</v>
      </c>
      <c r="K293">
        <v>7</v>
      </c>
      <c r="L293">
        <v>8</v>
      </c>
      <c r="M293">
        <v>8</v>
      </c>
      <c r="N293">
        <v>10</v>
      </c>
      <c r="O293">
        <v>8</v>
      </c>
      <c r="P293">
        <v>9</v>
      </c>
      <c r="Q293">
        <v>10</v>
      </c>
      <c r="R293">
        <v>9</v>
      </c>
      <c r="S293">
        <v>10</v>
      </c>
      <c r="T293">
        <v>10</v>
      </c>
      <c r="U293">
        <v>11</v>
      </c>
      <c r="V293">
        <v>12</v>
      </c>
      <c r="W293">
        <v>12</v>
      </c>
      <c r="X293">
        <v>10</v>
      </c>
      <c r="Y293">
        <v>12</v>
      </c>
      <c r="Z293">
        <v>12</v>
      </c>
      <c r="AA293">
        <v>12</v>
      </c>
      <c r="AB293">
        <v>15</v>
      </c>
      <c r="AC293">
        <v>12</v>
      </c>
      <c r="AD293">
        <v>14</v>
      </c>
      <c r="AE293">
        <v>16</v>
      </c>
      <c r="AF293">
        <v>13</v>
      </c>
      <c r="AG293">
        <v>15</v>
      </c>
      <c r="AH293">
        <v>16</v>
      </c>
      <c r="AI293">
        <v>18</v>
      </c>
      <c r="AJ293">
        <v>19</v>
      </c>
      <c r="AK293">
        <v>20</v>
      </c>
      <c r="AL293">
        <v>16</v>
      </c>
      <c r="AM293">
        <v>20</v>
      </c>
      <c r="AN293">
        <v>20</v>
      </c>
      <c r="AO293">
        <v>23</v>
      </c>
      <c r="AP293">
        <v>23</v>
      </c>
      <c r="AQ293">
        <v>25</v>
      </c>
      <c r="AR293">
        <v>24</v>
      </c>
      <c r="AS293">
        <v>23</v>
      </c>
      <c r="AT293">
        <v>23</v>
      </c>
      <c r="AU293">
        <v>19</v>
      </c>
      <c r="AV293">
        <v>19</v>
      </c>
      <c r="AW293">
        <v>21</v>
      </c>
      <c r="AX293">
        <v>18</v>
      </c>
      <c r="AY293">
        <v>19</v>
      </c>
      <c r="AZ293">
        <v>17</v>
      </c>
      <c r="BA293">
        <v>14</v>
      </c>
      <c r="BB293">
        <v>16</v>
      </c>
      <c r="BC293">
        <v>16</v>
      </c>
      <c r="BD293">
        <v>16</v>
      </c>
    </row>
    <row r="294" spans="1:56" x14ac:dyDescent="0.25">
      <c r="A294" t="s">
        <v>4456</v>
      </c>
      <c r="B294" t="s">
        <v>134</v>
      </c>
      <c r="C294" t="s">
        <v>95</v>
      </c>
      <c r="D294">
        <v>373</v>
      </c>
      <c r="E294">
        <v>14.275</v>
      </c>
      <c r="F294">
        <v>2</v>
      </c>
      <c r="G294">
        <v>3</v>
      </c>
      <c r="H294">
        <v>3</v>
      </c>
      <c r="I294">
        <v>5</v>
      </c>
      <c r="J294">
        <v>5</v>
      </c>
      <c r="K294">
        <v>7</v>
      </c>
      <c r="L294">
        <v>9</v>
      </c>
      <c r="M294">
        <v>8</v>
      </c>
      <c r="N294">
        <v>11</v>
      </c>
      <c r="O294">
        <v>7</v>
      </c>
      <c r="P294">
        <v>7</v>
      </c>
      <c r="Q294">
        <v>9</v>
      </c>
      <c r="R294">
        <v>8</v>
      </c>
      <c r="S294">
        <v>8</v>
      </c>
      <c r="T294">
        <v>8</v>
      </c>
      <c r="U294">
        <v>11</v>
      </c>
      <c r="V294">
        <v>11</v>
      </c>
      <c r="W294">
        <v>12</v>
      </c>
      <c r="X294">
        <v>10</v>
      </c>
      <c r="Y294">
        <v>11</v>
      </c>
      <c r="Z294">
        <v>11</v>
      </c>
      <c r="AA294">
        <v>12</v>
      </c>
      <c r="AB294">
        <v>12</v>
      </c>
      <c r="AC294">
        <v>11</v>
      </c>
      <c r="AD294">
        <v>13</v>
      </c>
      <c r="AE294">
        <v>15</v>
      </c>
      <c r="AF294">
        <v>11</v>
      </c>
      <c r="AG294">
        <v>14</v>
      </c>
      <c r="AH294">
        <v>16</v>
      </c>
      <c r="AI294">
        <v>15</v>
      </c>
      <c r="AJ294">
        <v>21</v>
      </c>
      <c r="AK294">
        <v>22</v>
      </c>
      <c r="AL294">
        <v>17</v>
      </c>
      <c r="AM294">
        <v>24</v>
      </c>
      <c r="AN294">
        <v>21</v>
      </c>
      <c r="AO294">
        <v>25</v>
      </c>
      <c r="AP294">
        <v>25</v>
      </c>
      <c r="AQ294">
        <v>29</v>
      </c>
      <c r="AR294">
        <v>26</v>
      </c>
      <c r="AS294">
        <v>27</v>
      </c>
      <c r="AT294">
        <v>26</v>
      </c>
      <c r="AU294">
        <v>20</v>
      </c>
      <c r="AV294">
        <v>21</v>
      </c>
      <c r="AW294">
        <v>23</v>
      </c>
      <c r="AX294">
        <v>22</v>
      </c>
      <c r="AY294">
        <v>18</v>
      </c>
      <c r="AZ294">
        <v>17</v>
      </c>
      <c r="BA294">
        <v>13</v>
      </c>
      <c r="BB294">
        <v>13</v>
      </c>
      <c r="BC294">
        <v>16</v>
      </c>
      <c r="BD294">
        <v>17</v>
      </c>
    </row>
    <row r="295" spans="1:56" x14ac:dyDescent="0.25">
      <c r="A295" t="s">
        <v>4457</v>
      </c>
      <c r="B295" t="s">
        <v>135</v>
      </c>
      <c r="C295" t="s">
        <v>95</v>
      </c>
      <c r="D295">
        <v>159</v>
      </c>
      <c r="E295">
        <v>15.569000000000001</v>
      </c>
      <c r="F295">
        <v>5</v>
      </c>
      <c r="G295">
        <v>4</v>
      </c>
      <c r="H295">
        <v>5</v>
      </c>
      <c r="I295">
        <v>3</v>
      </c>
      <c r="J295">
        <v>12</v>
      </c>
      <c r="K295">
        <v>8</v>
      </c>
      <c r="L295">
        <v>2</v>
      </c>
      <c r="M295">
        <v>3</v>
      </c>
      <c r="N295">
        <v>13</v>
      </c>
      <c r="O295">
        <v>10</v>
      </c>
      <c r="P295">
        <v>12</v>
      </c>
      <c r="Q295">
        <v>15</v>
      </c>
      <c r="R295">
        <v>9</v>
      </c>
      <c r="S295">
        <v>12</v>
      </c>
      <c r="T295">
        <v>9</v>
      </c>
      <c r="U295">
        <v>15</v>
      </c>
      <c r="V295">
        <v>14</v>
      </c>
      <c r="W295">
        <v>9</v>
      </c>
      <c r="X295">
        <v>12</v>
      </c>
      <c r="Y295">
        <v>15</v>
      </c>
      <c r="Z295">
        <v>13</v>
      </c>
      <c r="AA295">
        <v>14</v>
      </c>
      <c r="AB295">
        <v>16</v>
      </c>
      <c r="AC295">
        <v>16</v>
      </c>
      <c r="AD295">
        <v>14</v>
      </c>
      <c r="AE295">
        <v>20</v>
      </c>
      <c r="AF295">
        <v>13</v>
      </c>
      <c r="AG295">
        <v>14</v>
      </c>
      <c r="AH295">
        <v>17</v>
      </c>
      <c r="AI295">
        <v>22</v>
      </c>
      <c r="AJ295">
        <v>21</v>
      </c>
      <c r="AK295">
        <v>20</v>
      </c>
      <c r="AL295">
        <v>18</v>
      </c>
      <c r="AM295">
        <v>20</v>
      </c>
      <c r="AN295">
        <v>20</v>
      </c>
      <c r="AO295">
        <v>23</v>
      </c>
      <c r="AP295">
        <v>29</v>
      </c>
      <c r="AQ295">
        <v>21</v>
      </c>
      <c r="AR295">
        <v>25</v>
      </c>
      <c r="AS295">
        <v>17</v>
      </c>
      <c r="AT295">
        <v>26</v>
      </c>
      <c r="AU295">
        <v>21</v>
      </c>
      <c r="AV295">
        <v>20</v>
      </c>
      <c r="AW295">
        <v>25</v>
      </c>
      <c r="AX295">
        <v>21</v>
      </c>
      <c r="AY295">
        <v>25</v>
      </c>
      <c r="AZ295">
        <v>23</v>
      </c>
      <c r="BA295">
        <v>20</v>
      </c>
      <c r="BB295">
        <v>21</v>
      </c>
      <c r="BC295">
        <v>18</v>
      </c>
      <c r="BD295">
        <v>14</v>
      </c>
    </row>
    <row r="296" spans="1:56" x14ac:dyDescent="0.25">
      <c r="A296" t="s">
        <v>4458</v>
      </c>
      <c r="B296" t="s">
        <v>136</v>
      </c>
      <c r="C296" t="s">
        <v>95</v>
      </c>
      <c r="D296">
        <v>436</v>
      </c>
      <c r="E296">
        <v>13.548999999999999</v>
      </c>
      <c r="F296">
        <v>0</v>
      </c>
      <c r="G296">
        <v>4</v>
      </c>
      <c r="H296">
        <v>3</v>
      </c>
      <c r="I296">
        <v>5</v>
      </c>
      <c r="J296">
        <v>7</v>
      </c>
      <c r="K296">
        <v>6</v>
      </c>
      <c r="L296">
        <v>8</v>
      </c>
      <c r="M296">
        <v>9</v>
      </c>
      <c r="N296">
        <v>8</v>
      </c>
      <c r="O296">
        <v>8</v>
      </c>
      <c r="P296">
        <v>10</v>
      </c>
      <c r="Q296">
        <v>8</v>
      </c>
      <c r="R296">
        <v>9</v>
      </c>
      <c r="S296">
        <v>11</v>
      </c>
      <c r="T296">
        <v>13</v>
      </c>
      <c r="U296">
        <v>10</v>
      </c>
      <c r="V296">
        <v>13</v>
      </c>
      <c r="W296">
        <v>13</v>
      </c>
      <c r="X296">
        <v>9</v>
      </c>
      <c r="Y296">
        <v>11</v>
      </c>
      <c r="Z296">
        <v>12</v>
      </c>
      <c r="AA296">
        <v>11</v>
      </c>
      <c r="AB296">
        <v>16</v>
      </c>
      <c r="AC296">
        <v>13</v>
      </c>
      <c r="AD296">
        <v>14</v>
      </c>
      <c r="AE296">
        <v>16</v>
      </c>
      <c r="AF296">
        <v>16</v>
      </c>
      <c r="AG296">
        <v>16</v>
      </c>
      <c r="AH296">
        <v>16</v>
      </c>
      <c r="AI296">
        <v>20</v>
      </c>
      <c r="AJ296">
        <v>18</v>
      </c>
      <c r="AK296">
        <v>18</v>
      </c>
      <c r="AL296">
        <v>15</v>
      </c>
      <c r="AM296">
        <v>18</v>
      </c>
      <c r="AN296">
        <v>19</v>
      </c>
      <c r="AO296">
        <v>22</v>
      </c>
      <c r="AP296">
        <v>20</v>
      </c>
      <c r="AQ296">
        <v>25</v>
      </c>
      <c r="AR296">
        <v>22</v>
      </c>
      <c r="AS296">
        <v>21</v>
      </c>
      <c r="AT296">
        <v>22</v>
      </c>
      <c r="AU296">
        <v>19</v>
      </c>
      <c r="AV296">
        <v>18</v>
      </c>
      <c r="AW296">
        <v>18</v>
      </c>
      <c r="AX296">
        <v>14</v>
      </c>
      <c r="AY296">
        <v>17</v>
      </c>
      <c r="AZ296">
        <v>15</v>
      </c>
      <c r="BA296">
        <v>11</v>
      </c>
      <c r="BB296">
        <v>15</v>
      </c>
      <c r="BC296">
        <v>14</v>
      </c>
      <c r="BD296">
        <v>15</v>
      </c>
    </row>
    <row r="297" spans="1:56" x14ac:dyDescent="0.25">
      <c r="A297" t="s">
        <v>4459</v>
      </c>
      <c r="B297" t="s">
        <v>38</v>
      </c>
      <c r="C297" t="s">
        <v>95</v>
      </c>
      <c r="D297">
        <v>3546</v>
      </c>
      <c r="E297">
        <v>13.725</v>
      </c>
      <c r="F297">
        <v>2</v>
      </c>
      <c r="G297">
        <v>3</v>
      </c>
      <c r="H297">
        <v>3</v>
      </c>
      <c r="I297">
        <v>4</v>
      </c>
      <c r="J297">
        <v>7</v>
      </c>
      <c r="K297">
        <v>7</v>
      </c>
      <c r="L297">
        <v>7</v>
      </c>
      <c r="M297">
        <v>10</v>
      </c>
      <c r="N297">
        <v>10</v>
      </c>
      <c r="O297">
        <v>10</v>
      </c>
      <c r="P297">
        <v>9</v>
      </c>
      <c r="Q297">
        <v>8</v>
      </c>
      <c r="R297">
        <v>10</v>
      </c>
      <c r="S297">
        <v>9</v>
      </c>
      <c r="T297">
        <v>9</v>
      </c>
      <c r="U297">
        <v>11</v>
      </c>
      <c r="V297">
        <v>11</v>
      </c>
      <c r="W297">
        <v>11</v>
      </c>
      <c r="X297">
        <v>13</v>
      </c>
      <c r="Y297">
        <v>13</v>
      </c>
      <c r="Z297">
        <v>12</v>
      </c>
      <c r="AA297">
        <v>11</v>
      </c>
      <c r="AB297">
        <v>13</v>
      </c>
      <c r="AC297">
        <v>12</v>
      </c>
      <c r="AD297">
        <v>14</v>
      </c>
      <c r="AE297">
        <v>13</v>
      </c>
      <c r="AF297">
        <v>14</v>
      </c>
      <c r="AG297">
        <v>14</v>
      </c>
      <c r="AH297">
        <v>15</v>
      </c>
      <c r="AI297">
        <v>15</v>
      </c>
      <c r="AJ297">
        <v>18</v>
      </c>
      <c r="AK297">
        <v>18</v>
      </c>
      <c r="AL297">
        <v>16</v>
      </c>
      <c r="AM297">
        <v>18</v>
      </c>
      <c r="AN297">
        <v>18</v>
      </c>
      <c r="AO297">
        <v>24</v>
      </c>
      <c r="AP297">
        <v>25</v>
      </c>
      <c r="AQ297">
        <v>26</v>
      </c>
      <c r="AR297">
        <v>25</v>
      </c>
      <c r="AS297">
        <v>25</v>
      </c>
      <c r="AT297">
        <v>26</v>
      </c>
      <c r="AU297">
        <v>22</v>
      </c>
      <c r="AV297">
        <v>21</v>
      </c>
      <c r="AW297">
        <v>20</v>
      </c>
      <c r="AX297">
        <v>17</v>
      </c>
      <c r="AY297">
        <v>16</v>
      </c>
      <c r="AZ297">
        <v>15</v>
      </c>
      <c r="BA297">
        <v>13</v>
      </c>
      <c r="BB297">
        <v>13</v>
      </c>
      <c r="BC297">
        <v>11</v>
      </c>
      <c r="BD297">
        <v>13</v>
      </c>
    </row>
    <row r="298" spans="1:56" x14ac:dyDescent="0.25">
      <c r="A298" t="s">
        <v>4460</v>
      </c>
      <c r="B298" t="s">
        <v>137</v>
      </c>
      <c r="C298" t="s">
        <v>95</v>
      </c>
      <c r="D298">
        <v>1740</v>
      </c>
      <c r="E298">
        <v>12.843</v>
      </c>
      <c r="F298">
        <v>3</v>
      </c>
      <c r="G298">
        <v>4</v>
      </c>
      <c r="H298">
        <v>4</v>
      </c>
      <c r="I298">
        <v>4</v>
      </c>
      <c r="J298">
        <v>8</v>
      </c>
      <c r="K298">
        <v>8</v>
      </c>
      <c r="L298">
        <v>6</v>
      </c>
      <c r="M298">
        <v>10</v>
      </c>
      <c r="N298">
        <v>9</v>
      </c>
      <c r="O298">
        <v>9</v>
      </c>
      <c r="P298">
        <v>8</v>
      </c>
      <c r="Q298">
        <v>8</v>
      </c>
      <c r="R298">
        <v>10</v>
      </c>
      <c r="S298">
        <v>8</v>
      </c>
      <c r="T298">
        <v>8</v>
      </c>
      <c r="U298">
        <v>8</v>
      </c>
      <c r="V298">
        <v>10</v>
      </c>
      <c r="W298">
        <v>9</v>
      </c>
      <c r="X298">
        <v>10</v>
      </c>
      <c r="Y298">
        <v>11</v>
      </c>
      <c r="Z298">
        <v>9</v>
      </c>
      <c r="AA298">
        <v>9</v>
      </c>
      <c r="AB298">
        <v>11</v>
      </c>
      <c r="AC298">
        <v>11</v>
      </c>
      <c r="AD298">
        <v>13</v>
      </c>
      <c r="AE298">
        <v>12</v>
      </c>
      <c r="AF298">
        <v>13</v>
      </c>
      <c r="AG298">
        <v>12</v>
      </c>
      <c r="AH298">
        <v>13</v>
      </c>
      <c r="AI298">
        <v>14</v>
      </c>
      <c r="AJ298">
        <v>15</v>
      </c>
      <c r="AK298">
        <v>15</v>
      </c>
      <c r="AL298">
        <v>13</v>
      </c>
      <c r="AM298">
        <v>16</v>
      </c>
      <c r="AN298">
        <v>17</v>
      </c>
      <c r="AO298">
        <v>23</v>
      </c>
      <c r="AP298">
        <v>24</v>
      </c>
      <c r="AQ298">
        <v>24</v>
      </c>
      <c r="AR298">
        <v>23</v>
      </c>
      <c r="AS298">
        <v>24</v>
      </c>
      <c r="AT298">
        <v>25</v>
      </c>
      <c r="AU298">
        <v>21</v>
      </c>
      <c r="AV298">
        <v>20</v>
      </c>
      <c r="AW298">
        <v>21</v>
      </c>
      <c r="AX298">
        <v>17</v>
      </c>
      <c r="AY298">
        <v>17</v>
      </c>
      <c r="AZ298">
        <v>15</v>
      </c>
      <c r="BA298">
        <v>14</v>
      </c>
      <c r="BB298">
        <v>13</v>
      </c>
      <c r="BC298">
        <v>12</v>
      </c>
      <c r="BD298">
        <v>14</v>
      </c>
    </row>
    <row r="299" spans="1:56" x14ac:dyDescent="0.25">
      <c r="A299" t="s">
        <v>4461</v>
      </c>
      <c r="B299" t="s">
        <v>138</v>
      </c>
      <c r="C299" t="s">
        <v>95</v>
      </c>
      <c r="D299">
        <v>1806</v>
      </c>
      <c r="E299">
        <v>13.843</v>
      </c>
      <c r="F299">
        <v>1</v>
      </c>
      <c r="G299">
        <v>1</v>
      </c>
      <c r="H299">
        <v>2</v>
      </c>
      <c r="I299">
        <v>2</v>
      </c>
      <c r="J299">
        <v>5</v>
      </c>
      <c r="K299">
        <v>6</v>
      </c>
      <c r="L299">
        <v>6</v>
      </c>
      <c r="M299">
        <v>10</v>
      </c>
      <c r="N299">
        <v>9</v>
      </c>
      <c r="O299">
        <v>10</v>
      </c>
      <c r="P299">
        <v>10</v>
      </c>
      <c r="Q299">
        <v>9</v>
      </c>
      <c r="R299">
        <v>9</v>
      </c>
      <c r="S299">
        <v>10</v>
      </c>
      <c r="T299">
        <v>9</v>
      </c>
      <c r="U299">
        <v>13</v>
      </c>
      <c r="V299">
        <v>11</v>
      </c>
      <c r="W299">
        <v>12</v>
      </c>
      <c r="X299">
        <v>15</v>
      </c>
      <c r="Y299">
        <v>15</v>
      </c>
      <c r="Z299">
        <v>14</v>
      </c>
      <c r="AA299">
        <v>13</v>
      </c>
      <c r="AB299">
        <v>14</v>
      </c>
      <c r="AC299">
        <v>12</v>
      </c>
      <c r="AD299">
        <v>14</v>
      </c>
      <c r="AE299">
        <v>14</v>
      </c>
      <c r="AF299">
        <v>13</v>
      </c>
      <c r="AG299">
        <v>14</v>
      </c>
      <c r="AH299">
        <v>16</v>
      </c>
      <c r="AI299">
        <v>15</v>
      </c>
      <c r="AJ299">
        <v>20</v>
      </c>
      <c r="AK299">
        <v>21</v>
      </c>
      <c r="AL299">
        <v>17</v>
      </c>
      <c r="AM299">
        <v>19</v>
      </c>
      <c r="AN299">
        <v>18</v>
      </c>
      <c r="AO299">
        <v>24</v>
      </c>
      <c r="AP299">
        <v>26</v>
      </c>
      <c r="AQ299">
        <v>26</v>
      </c>
      <c r="AR299">
        <v>26</v>
      </c>
      <c r="AS299">
        <v>25</v>
      </c>
      <c r="AT299">
        <v>25</v>
      </c>
      <c r="AU299">
        <v>23</v>
      </c>
      <c r="AV299">
        <v>20</v>
      </c>
      <c r="AW299">
        <v>19</v>
      </c>
      <c r="AX299">
        <v>16</v>
      </c>
      <c r="AY299">
        <v>14</v>
      </c>
      <c r="AZ299">
        <v>16</v>
      </c>
      <c r="BA299">
        <v>12</v>
      </c>
      <c r="BB299">
        <v>12</v>
      </c>
      <c r="BC299">
        <v>11</v>
      </c>
      <c r="BD299">
        <v>12</v>
      </c>
    </row>
    <row r="300" spans="1:56" x14ac:dyDescent="0.25">
      <c r="A300" t="s">
        <v>4462</v>
      </c>
      <c r="B300" t="s">
        <v>139</v>
      </c>
      <c r="C300" t="s">
        <v>95</v>
      </c>
      <c r="D300">
        <v>7988</v>
      </c>
      <c r="E300">
        <v>14.647</v>
      </c>
      <c r="F300">
        <v>2</v>
      </c>
      <c r="G300">
        <v>3</v>
      </c>
      <c r="H300">
        <v>3</v>
      </c>
      <c r="I300">
        <v>4</v>
      </c>
      <c r="J300">
        <v>7</v>
      </c>
      <c r="K300">
        <v>9</v>
      </c>
      <c r="L300">
        <v>9</v>
      </c>
      <c r="M300">
        <v>12</v>
      </c>
      <c r="N300">
        <v>13</v>
      </c>
      <c r="O300">
        <v>12</v>
      </c>
      <c r="P300">
        <v>13</v>
      </c>
      <c r="Q300">
        <v>12</v>
      </c>
      <c r="R300">
        <v>12</v>
      </c>
      <c r="S300">
        <v>12</v>
      </c>
      <c r="T300">
        <v>12</v>
      </c>
      <c r="U300">
        <v>12</v>
      </c>
      <c r="V300">
        <v>12</v>
      </c>
      <c r="W300">
        <v>12</v>
      </c>
      <c r="X300">
        <v>12</v>
      </c>
      <c r="Y300">
        <v>11</v>
      </c>
      <c r="Z300">
        <v>12</v>
      </c>
      <c r="AA300">
        <v>12</v>
      </c>
      <c r="AB300">
        <v>13</v>
      </c>
      <c r="AC300">
        <v>12</v>
      </c>
      <c r="AD300">
        <v>12</v>
      </c>
      <c r="AE300">
        <v>12</v>
      </c>
      <c r="AF300">
        <v>12</v>
      </c>
      <c r="AG300">
        <v>13</v>
      </c>
      <c r="AH300">
        <v>14</v>
      </c>
      <c r="AI300">
        <v>14</v>
      </c>
      <c r="AJ300">
        <v>17</v>
      </c>
      <c r="AK300">
        <v>17</v>
      </c>
      <c r="AL300">
        <v>15</v>
      </c>
      <c r="AM300">
        <v>18</v>
      </c>
      <c r="AN300">
        <v>18</v>
      </c>
      <c r="AO300">
        <v>23</v>
      </c>
      <c r="AP300">
        <v>24</v>
      </c>
      <c r="AQ300">
        <v>24</v>
      </c>
      <c r="AR300">
        <v>26</v>
      </c>
      <c r="AS300">
        <v>26</v>
      </c>
      <c r="AT300">
        <v>26</v>
      </c>
      <c r="AU300">
        <v>24</v>
      </c>
      <c r="AV300">
        <v>22</v>
      </c>
      <c r="AW300">
        <v>22</v>
      </c>
      <c r="AX300">
        <v>21</v>
      </c>
      <c r="AY300">
        <v>19</v>
      </c>
      <c r="AZ300">
        <v>20</v>
      </c>
      <c r="BA300">
        <v>17</v>
      </c>
      <c r="BB300">
        <v>16</v>
      </c>
      <c r="BC300">
        <v>15</v>
      </c>
      <c r="BD300">
        <v>17</v>
      </c>
    </row>
    <row r="301" spans="1:56" x14ac:dyDescent="0.25">
      <c r="A301" t="s">
        <v>4463</v>
      </c>
      <c r="B301" t="s">
        <v>140</v>
      </c>
      <c r="C301" t="s">
        <v>95</v>
      </c>
      <c r="D301">
        <v>1027</v>
      </c>
      <c r="E301">
        <v>20.157</v>
      </c>
      <c r="F301">
        <v>2</v>
      </c>
      <c r="G301">
        <v>5</v>
      </c>
      <c r="H301">
        <v>7</v>
      </c>
      <c r="I301">
        <v>9</v>
      </c>
      <c r="J301">
        <v>16</v>
      </c>
      <c r="K301">
        <v>19</v>
      </c>
      <c r="L301">
        <v>17</v>
      </c>
      <c r="M301">
        <v>20</v>
      </c>
      <c r="N301">
        <v>19</v>
      </c>
      <c r="O301">
        <v>16</v>
      </c>
      <c r="P301">
        <v>19</v>
      </c>
      <c r="Q301">
        <v>17</v>
      </c>
      <c r="R301">
        <v>18</v>
      </c>
      <c r="S301">
        <v>18</v>
      </c>
      <c r="T301">
        <v>17</v>
      </c>
      <c r="U301">
        <v>17</v>
      </c>
      <c r="V301">
        <v>17</v>
      </c>
      <c r="W301">
        <v>16</v>
      </c>
      <c r="X301">
        <v>17</v>
      </c>
      <c r="Y301">
        <v>16</v>
      </c>
      <c r="Z301">
        <v>18</v>
      </c>
      <c r="AA301">
        <v>17</v>
      </c>
      <c r="AB301">
        <v>22</v>
      </c>
      <c r="AC301">
        <v>19</v>
      </c>
      <c r="AD301">
        <v>21</v>
      </c>
      <c r="AE301">
        <v>20</v>
      </c>
      <c r="AF301">
        <v>19</v>
      </c>
      <c r="AG301">
        <v>20</v>
      </c>
      <c r="AH301">
        <v>23</v>
      </c>
      <c r="AI301">
        <v>22</v>
      </c>
      <c r="AJ301">
        <v>26</v>
      </c>
      <c r="AK301">
        <v>26</v>
      </c>
      <c r="AL301">
        <v>23</v>
      </c>
      <c r="AM301">
        <v>27</v>
      </c>
      <c r="AN301">
        <v>25</v>
      </c>
      <c r="AO301">
        <v>31</v>
      </c>
      <c r="AP301">
        <v>28</v>
      </c>
      <c r="AQ301">
        <v>27</v>
      </c>
      <c r="AR301">
        <v>24</v>
      </c>
      <c r="AS301">
        <v>27</v>
      </c>
      <c r="AT301">
        <v>29</v>
      </c>
      <c r="AU301">
        <v>29</v>
      </c>
      <c r="AV301">
        <v>23</v>
      </c>
      <c r="AW301">
        <v>24</v>
      </c>
      <c r="AX301">
        <v>23</v>
      </c>
      <c r="AY301">
        <v>23</v>
      </c>
      <c r="AZ301">
        <v>25</v>
      </c>
      <c r="BA301">
        <v>21</v>
      </c>
      <c r="BB301">
        <v>20</v>
      </c>
      <c r="BC301">
        <v>21</v>
      </c>
      <c r="BD301">
        <v>23</v>
      </c>
    </row>
    <row r="302" spans="1:56" x14ac:dyDescent="0.25">
      <c r="A302" t="s">
        <v>4464</v>
      </c>
      <c r="B302" t="s">
        <v>141</v>
      </c>
      <c r="C302" t="s">
        <v>95</v>
      </c>
      <c r="D302">
        <v>503</v>
      </c>
      <c r="E302">
        <v>19.097999999999999</v>
      </c>
      <c r="F302">
        <v>2</v>
      </c>
      <c r="G302">
        <v>4</v>
      </c>
      <c r="H302">
        <v>8</v>
      </c>
      <c r="I302">
        <v>7</v>
      </c>
      <c r="J302">
        <v>19</v>
      </c>
      <c r="K302">
        <v>22</v>
      </c>
      <c r="L302">
        <v>17</v>
      </c>
      <c r="M302">
        <v>17</v>
      </c>
      <c r="N302">
        <v>20</v>
      </c>
      <c r="O302">
        <v>17</v>
      </c>
      <c r="P302">
        <v>19</v>
      </c>
      <c r="Q302">
        <v>18</v>
      </c>
      <c r="R302">
        <v>17</v>
      </c>
      <c r="S302">
        <v>17</v>
      </c>
      <c r="T302">
        <v>15</v>
      </c>
      <c r="U302">
        <v>14</v>
      </c>
      <c r="V302">
        <v>16</v>
      </c>
      <c r="W302">
        <v>13</v>
      </c>
      <c r="X302">
        <v>15</v>
      </c>
      <c r="Y302">
        <v>15</v>
      </c>
      <c r="Z302">
        <v>20</v>
      </c>
      <c r="AA302">
        <v>16</v>
      </c>
      <c r="AB302">
        <v>24</v>
      </c>
      <c r="AC302">
        <v>19</v>
      </c>
      <c r="AD302">
        <v>24</v>
      </c>
      <c r="AE302">
        <v>20</v>
      </c>
      <c r="AF302">
        <v>22</v>
      </c>
      <c r="AG302">
        <v>20</v>
      </c>
      <c r="AH302">
        <v>23</v>
      </c>
      <c r="AI302">
        <v>22</v>
      </c>
      <c r="AJ302">
        <v>25</v>
      </c>
      <c r="AK302">
        <v>24</v>
      </c>
      <c r="AL302">
        <v>21</v>
      </c>
      <c r="AM302">
        <v>25</v>
      </c>
      <c r="AN302">
        <v>22</v>
      </c>
      <c r="AO302">
        <v>31</v>
      </c>
      <c r="AP302">
        <v>26</v>
      </c>
      <c r="AQ302">
        <v>25</v>
      </c>
      <c r="AR302">
        <v>20</v>
      </c>
      <c r="AS302">
        <v>24</v>
      </c>
      <c r="AT302">
        <v>25</v>
      </c>
      <c r="AU302">
        <v>26</v>
      </c>
      <c r="AV302">
        <v>19</v>
      </c>
      <c r="AW302">
        <v>20</v>
      </c>
      <c r="AX302">
        <v>18</v>
      </c>
      <c r="AY302">
        <v>18</v>
      </c>
      <c r="AZ302">
        <v>24</v>
      </c>
      <c r="BA302">
        <v>20</v>
      </c>
      <c r="BB302">
        <v>18</v>
      </c>
      <c r="BC302">
        <v>20</v>
      </c>
      <c r="BD302">
        <v>21</v>
      </c>
    </row>
    <row r="303" spans="1:56" x14ac:dyDescent="0.25">
      <c r="A303" t="s">
        <v>4465</v>
      </c>
      <c r="B303" t="s">
        <v>142</v>
      </c>
      <c r="C303" t="s">
        <v>95</v>
      </c>
      <c r="D303">
        <v>472</v>
      </c>
      <c r="E303">
        <v>20.175999999999998</v>
      </c>
      <c r="F303">
        <v>2</v>
      </c>
      <c r="G303">
        <v>5</v>
      </c>
      <c r="H303">
        <v>5</v>
      </c>
      <c r="I303">
        <v>8</v>
      </c>
      <c r="J303">
        <v>15</v>
      </c>
      <c r="K303">
        <v>15</v>
      </c>
      <c r="L303">
        <v>15</v>
      </c>
      <c r="M303">
        <v>20</v>
      </c>
      <c r="N303">
        <v>16</v>
      </c>
      <c r="O303">
        <v>15</v>
      </c>
      <c r="P303">
        <v>19</v>
      </c>
      <c r="Q303">
        <v>14</v>
      </c>
      <c r="R303">
        <v>17</v>
      </c>
      <c r="S303">
        <v>19</v>
      </c>
      <c r="T303">
        <v>18</v>
      </c>
      <c r="U303">
        <v>20</v>
      </c>
      <c r="V303">
        <v>16</v>
      </c>
      <c r="W303">
        <v>17</v>
      </c>
      <c r="X303">
        <v>19</v>
      </c>
      <c r="Y303">
        <v>17</v>
      </c>
      <c r="Z303">
        <v>15</v>
      </c>
      <c r="AA303">
        <v>17</v>
      </c>
      <c r="AB303">
        <v>19</v>
      </c>
      <c r="AC303">
        <v>18</v>
      </c>
      <c r="AD303">
        <v>19</v>
      </c>
      <c r="AE303">
        <v>19</v>
      </c>
      <c r="AF303">
        <v>15</v>
      </c>
      <c r="AG303">
        <v>19</v>
      </c>
      <c r="AH303">
        <v>21</v>
      </c>
      <c r="AI303">
        <v>21</v>
      </c>
      <c r="AJ303">
        <v>26</v>
      </c>
      <c r="AK303">
        <v>26</v>
      </c>
      <c r="AL303">
        <v>24</v>
      </c>
      <c r="AM303">
        <v>28</v>
      </c>
      <c r="AN303">
        <v>27</v>
      </c>
      <c r="AO303">
        <v>29</v>
      </c>
      <c r="AP303">
        <v>29</v>
      </c>
      <c r="AQ303">
        <v>28</v>
      </c>
      <c r="AR303">
        <v>26</v>
      </c>
      <c r="AS303">
        <v>30</v>
      </c>
      <c r="AT303">
        <v>34</v>
      </c>
      <c r="AU303">
        <v>30</v>
      </c>
      <c r="AV303">
        <v>26</v>
      </c>
      <c r="AW303">
        <v>27</v>
      </c>
      <c r="AX303">
        <v>27</v>
      </c>
      <c r="AY303">
        <v>26</v>
      </c>
      <c r="AZ303">
        <v>24</v>
      </c>
      <c r="BA303">
        <v>21</v>
      </c>
      <c r="BB303">
        <v>21</v>
      </c>
      <c r="BC303">
        <v>21</v>
      </c>
      <c r="BD303">
        <v>24</v>
      </c>
    </row>
    <row r="304" spans="1:56" x14ac:dyDescent="0.25">
      <c r="A304" t="s">
        <v>4466</v>
      </c>
      <c r="B304" t="s">
        <v>143</v>
      </c>
      <c r="C304" t="s">
        <v>95</v>
      </c>
      <c r="D304">
        <v>1553</v>
      </c>
      <c r="E304">
        <v>23.568999999999999</v>
      </c>
      <c r="F304">
        <v>2</v>
      </c>
      <c r="G304">
        <v>5</v>
      </c>
      <c r="H304">
        <v>2</v>
      </c>
      <c r="I304">
        <v>6</v>
      </c>
      <c r="J304">
        <v>12</v>
      </c>
      <c r="K304">
        <v>14</v>
      </c>
      <c r="L304">
        <v>14</v>
      </c>
      <c r="M304">
        <v>27</v>
      </c>
      <c r="N304">
        <v>29</v>
      </c>
      <c r="O304">
        <v>31</v>
      </c>
      <c r="P304">
        <v>30</v>
      </c>
      <c r="Q304">
        <v>30</v>
      </c>
      <c r="R304">
        <v>28</v>
      </c>
      <c r="S304">
        <v>25</v>
      </c>
      <c r="T304">
        <v>26</v>
      </c>
      <c r="U304">
        <v>27</v>
      </c>
      <c r="V304">
        <v>28</v>
      </c>
      <c r="W304">
        <v>24</v>
      </c>
      <c r="X304">
        <v>26</v>
      </c>
      <c r="Y304">
        <v>22</v>
      </c>
      <c r="Z304">
        <v>23</v>
      </c>
      <c r="AA304">
        <v>23</v>
      </c>
      <c r="AB304">
        <v>20</v>
      </c>
      <c r="AC304">
        <v>20</v>
      </c>
      <c r="AD304">
        <v>21</v>
      </c>
      <c r="AE304">
        <v>19</v>
      </c>
      <c r="AF304">
        <v>21</v>
      </c>
      <c r="AG304">
        <v>24</v>
      </c>
      <c r="AH304">
        <v>23</v>
      </c>
      <c r="AI304">
        <v>25</v>
      </c>
      <c r="AJ304">
        <v>28</v>
      </c>
      <c r="AK304">
        <v>30</v>
      </c>
      <c r="AL304">
        <v>22</v>
      </c>
      <c r="AM304">
        <v>25</v>
      </c>
      <c r="AN304">
        <v>26</v>
      </c>
      <c r="AO304">
        <v>34</v>
      </c>
      <c r="AP304">
        <v>33</v>
      </c>
      <c r="AQ304">
        <v>35</v>
      </c>
      <c r="AR304">
        <v>38</v>
      </c>
      <c r="AS304">
        <v>36</v>
      </c>
      <c r="AT304">
        <v>37</v>
      </c>
      <c r="AU304">
        <v>30</v>
      </c>
      <c r="AV304">
        <v>26</v>
      </c>
      <c r="AW304">
        <v>26</v>
      </c>
      <c r="AX304">
        <v>26</v>
      </c>
      <c r="AY304">
        <v>21</v>
      </c>
      <c r="AZ304">
        <v>22</v>
      </c>
      <c r="BA304">
        <v>21</v>
      </c>
      <c r="BB304">
        <v>20</v>
      </c>
      <c r="BC304">
        <v>17</v>
      </c>
      <c r="BD304">
        <v>22</v>
      </c>
    </row>
    <row r="305" spans="1:56" x14ac:dyDescent="0.25">
      <c r="A305" t="s">
        <v>4467</v>
      </c>
      <c r="B305" t="s">
        <v>144</v>
      </c>
      <c r="C305" t="s">
        <v>95</v>
      </c>
      <c r="D305">
        <v>1012</v>
      </c>
      <c r="E305">
        <v>25.686</v>
      </c>
      <c r="F305">
        <v>2</v>
      </c>
      <c r="G305">
        <v>6</v>
      </c>
      <c r="H305">
        <v>3</v>
      </c>
      <c r="I305">
        <v>5</v>
      </c>
      <c r="J305">
        <v>14</v>
      </c>
      <c r="K305">
        <v>15</v>
      </c>
      <c r="L305">
        <v>15</v>
      </c>
      <c r="M305">
        <v>28</v>
      </c>
      <c r="N305">
        <v>32</v>
      </c>
      <c r="O305">
        <v>33</v>
      </c>
      <c r="P305">
        <v>32</v>
      </c>
      <c r="Q305">
        <v>33</v>
      </c>
      <c r="R305">
        <v>31</v>
      </c>
      <c r="S305">
        <v>29</v>
      </c>
      <c r="T305">
        <v>30</v>
      </c>
      <c r="U305">
        <v>30</v>
      </c>
      <c r="V305">
        <v>31</v>
      </c>
      <c r="W305">
        <v>28</v>
      </c>
      <c r="X305">
        <v>27</v>
      </c>
      <c r="Y305">
        <v>25</v>
      </c>
      <c r="Z305">
        <v>27</v>
      </c>
      <c r="AA305">
        <v>25</v>
      </c>
      <c r="AB305">
        <v>22</v>
      </c>
      <c r="AC305">
        <v>22</v>
      </c>
      <c r="AD305">
        <v>24</v>
      </c>
      <c r="AE305">
        <v>21</v>
      </c>
      <c r="AF305">
        <v>22</v>
      </c>
      <c r="AG305">
        <v>26</v>
      </c>
      <c r="AH305">
        <v>25</v>
      </c>
      <c r="AI305">
        <v>25</v>
      </c>
      <c r="AJ305">
        <v>28</v>
      </c>
      <c r="AK305">
        <v>33</v>
      </c>
      <c r="AL305">
        <v>23</v>
      </c>
      <c r="AM305">
        <v>26</v>
      </c>
      <c r="AN305">
        <v>27</v>
      </c>
      <c r="AO305">
        <v>36</v>
      </c>
      <c r="AP305">
        <v>35</v>
      </c>
      <c r="AQ305">
        <v>37</v>
      </c>
      <c r="AR305">
        <v>40</v>
      </c>
      <c r="AS305">
        <v>39</v>
      </c>
      <c r="AT305">
        <v>40</v>
      </c>
      <c r="AU305">
        <v>33</v>
      </c>
      <c r="AV305">
        <v>29</v>
      </c>
      <c r="AW305">
        <v>30</v>
      </c>
      <c r="AX305">
        <v>30</v>
      </c>
      <c r="AY305">
        <v>24</v>
      </c>
      <c r="AZ305">
        <v>24</v>
      </c>
      <c r="BA305">
        <v>22</v>
      </c>
      <c r="BB305">
        <v>23</v>
      </c>
      <c r="BC305">
        <v>19</v>
      </c>
      <c r="BD305">
        <v>24</v>
      </c>
    </row>
    <row r="306" spans="1:56" x14ac:dyDescent="0.25">
      <c r="A306" t="s">
        <v>4468</v>
      </c>
      <c r="B306" t="s">
        <v>145</v>
      </c>
      <c r="C306" t="s">
        <v>95</v>
      </c>
      <c r="D306">
        <v>541</v>
      </c>
      <c r="E306">
        <v>19.471</v>
      </c>
      <c r="F306">
        <v>3</v>
      </c>
      <c r="G306">
        <v>3</v>
      </c>
      <c r="H306">
        <v>1</v>
      </c>
      <c r="I306">
        <v>7</v>
      </c>
      <c r="J306">
        <v>9</v>
      </c>
      <c r="K306">
        <v>12</v>
      </c>
      <c r="L306">
        <v>12</v>
      </c>
      <c r="M306">
        <v>24</v>
      </c>
      <c r="N306">
        <v>25</v>
      </c>
      <c r="O306">
        <v>27</v>
      </c>
      <c r="P306">
        <v>26</v>
      </c>
      <c r="Q306">
        <v>23</v>
      </c>
      <c r="R306">
        <v>22</v>
      </c>
      <c r="S306">
        <v>16</v>
      </c>
      <c r="T306">
        <v>20</v>
      </c>
      <c r="U306">
        <v>22</v>
      </c>
      <c r="V306">
        <v>21</v>
      </c>
      <c r="W306">
        <v>17</v>
      </c>
      <c r="X306">
        <v>24</v>
      </c>
      <c r="Y306">
        <v>15</v>
      </c>
      <c r="Z306">
        <v>15</v>
      </c>
      <c r="AA306">
        <v>18</v>
      </c>
      <c r="AB306">
        <v>16</v>
      </c>
      <c r="AC306">
        <v>15</v>
      </c>
      <c r="AD306">
        <v>15</v>
      </c>
      <c r="AE306">
        <v>16</v>
      </c>
      <c r="AF306">
        <v>18</v>
      </c>
      <c r="AG306">
        <v>19</v>
      </c>
      <c r="AH306">
        <v>18</v>
      </c>
      <c r="AI306">
        <v>25</v>
      </c>
      <c r="AJ306">
        <v>27</v>
      </c>
      <c r="AK306">
        <v>26</v>
      </c>
      <c r="AL306">
        <v>19</v>
      </c>
      <c r="AM306">
        <v>22</v>
      </c>
      <c r="AN306">
        <v>22</v>
      </c>
      <c r="AO306">
        <v>30</v>
      </c>
      <c r="AP306">
        <v>30</v>
      </c>
      <c r="AQ306">
        <v>31</v>
      </c>
      <c r="AR306">
        <v>32</v>
      </c>
      <c r="AS306">
        <v>31</v>
      </c>
      <c r="AT306">
        <v>32</v>
      </c>
      <c r="AU306">
        <v>25</v>
      </c>
      <c r="AV306">
        <v>20</v>
      </c>
      <c r="AW306">
        <v>19</v>
      </c>
      <c r="AX306">
        <v>19</v>
      </c>
      <c r="AY306">
        <v>16</v>
      </c>
      <c r="AZ306">
        <v>19</v>
      </c>
      <c r="BA306">
        <v>20</v>
      </c>
      <c r="BB306">
        <v>15</v>
      </c>
      <c r="BC306">
        <v>15</v>
      </c>
      <c r="BD306">
        <v>19</v>
      </c>
    </row>
    <row r="307" spans="1:56" x14ac:dyDescent="0.25">
      <c r="A307" t="s">
        <v>4469</v>
      </c>
      <c r="B307" t="s">
        <v>146</v>
      </c>
      <c r="C307" t="s">
        <v>95</v>
      </c>
      <c r="D307">
        <v>62</v>
      </c>
      <c r="E307">
        <v>7.98</v>
      </c>
      <c r="F307">
        <v>0</v>
      </c>
      <c r="G307">
        <v>0</v>
      </c>
      <c r="H307">
        <v>4</v>
      </c>
      <c r="I307">
        <v>3</v>
      </c>
      <c r="J307">
        <v>0</v>
      </c>
      <c r="K307">
        <v>8</v>
      </c>
      <c r="L307">
        <v>2</v>
      </c>
      <c r="M307">
        <v>5</v>
      </c>
      <c r="N307">
        <v>3</v>
      </c>
      <c r="O307">
        <v>2</v>
      </c>
      <c r="P307">
        <v>0</v>
      </c>
      <c r="Q307">
        <v>3</v>
      </c>
      <c r="R307">
        <v>1</v>
      </c>
      <c r="S307">
        <v>2</v>
      </c>
      <c r="T307">
        <v>6</v>
      </c>
      <c r="U307">
        <v>2</v>
      </c>
      <c r="V307">
        <v>3</v>
      </c>
      <c r="W307">
        <v>5</v>
      </c>
      <c r="X307">
        <v>6</v>
      </c>
      <c r="Y307">
        <v>6</v>
      </c>
      <c r="Z307">
        <v>4</v>
      </c>
      <c r="AA307">
        <v>4</v>
      </c>
      <c r="AB307">
        <v>6</v>
      </c>
      <c r="AC307">
        <v>7</v>
      </c>
      <c r="AD307">
        <v>4</v>
      </c>
      <c r="AE307">
        <v>7</v>
      </c>
      <c r="AF307">
        <v>6</v>
      </c>
      <c r="AG307">
        <v>4</v>
      </c>
      <c r="AH307">
        <v>8</v>
      </c>
      <c r="AI307">
        <v>8</v>
      </c>
      <c r="AJ307">
        <v>12</v>
      </c>
      <c r="AK307">
        <v>12</v>
      </c>
      <c r="AL307">
        <v>8</v>
      </c>
      <c r="AM307">
        <v>12</v>
      </c>
      <c r="AN307">
        <v>8</v>
      </c>
      <c r="AO307">
        <v>16</v>
      </c>
      <c r="AP307">
        <v>19</v>
      </c>
      <c r="AQ307">
        <v>20</v>
      </c>
      <c r="AR307">
        <v>19</v>
      </c>
      <c r="AS307">
        <v>24</v>
      </c>
      <c r="AT307">
        <v>19</v>
      </c>
      <c r="AU307">
        <v>21</v>
      </c>
      <c r="AV307">
        <v>12</v>
      </c>
      <c r="AW307">
        <v>14</v>
      </c>
      <c r="AX307">
        <v>16</v>
      </c>
      <c r="AY307">
        <v>15</v>
      </c>
      <c r="AZ307">
        <v>9</v>
      </c>
      <c r="BA307">
        <v>12</v>
      </c>
      <c r="BB307">
        <v>6</v>
      </c>
      <c r="BC307">
        <v>7</v>
      </c>
      <c r="BD307">
        <v>7</v>
      </c>
    </row>
    <row r="308" spans="1:56" x14ac:dyDescent="0.25">
      <c r="A308" t="s">
        <v>4470</v>
      </c>
      <c r="B308" t="s">
        <v>147</v>
      </c>
      <c r="C308" t="s">
        <v>95</v>
      </c>
      <c r="D308">
        <v>81</v>
      </c>
      <c r="E308">
        <v>8.3330000000000002</v>
      </c>
      <c r="F308">
        <v>0</v>
      </c>
      <c r="G308">
        <v>0</v>
      </c>
      <c r="H308">
        <v>0</v>
      </c>
      <c r="I308">
        <v>0</v>
      </c>
      <c r="J308">
        <v>0</v>
      </c>
      <c r="K308">
        <v>0</v>
      </c>
      <c r="L308">
        <v>1</v>
      </c>
      <c r="M308">
        <v>2</v>
      </c>
      <c r="N308">
        <v>3</v>
      </c>
      <c r="O308">
        <v>4</v>
      </c>
      <c r="P308">
        <v>3</v>
      </c>
      <c r="Q308">
        <v>1</v>
      </c>
      <c r="R308">
        <v>5</v>
      </c>
      <c r="S308">
        <v>1</v>
      </c>
      <c r="T308">
        <v>3</v>
      </c>
      <c r="U308">
        <v>3</v>
      </c>
      <c r="V308">
        <v>0</v>
      </c>
      <c r="W308">
        <v>2</v>
      </c>
      <c r="X308">
        <v>4</v>
      </c>
      <c r="Y308">
        <v>3</v>
      </c>
      <c r="Z308">
        <v>5</v>
      </c>
      <c r="AA308">
        <v>5</v>
      </c>
      <c r="AB308">
        <v>13</v>
      </c>
      <c r="AC308">
        <v>10</v>
      </c>
      <c r="AD308">
        <v>1</v>
      </c>
      <c r="AE308">
        <v>3</v>
      </c>
      <c r="AF308">
        <v>2</v>
      </c>
      <c r="AG308">
        <v>6</v>
      </c>
      <c r="AH308">
        <v>6</v>
      </c>
      <c r="AI308">
        <v>6</v>
      </c>
      <c r="AJ308">
        <v>13</v>
      </c>
      <c r="AK308">
        <v>1</v>
      </c>
      <c r="AL308">
        <v>19</v>
      </c>
      <c r="AM308">
        <v>23</v>
      </c>
      <c r="AN308">
        <v>17</v>
      </c>
      <c r="AO308">
        <v>25</v>
      </c>
      <c r="AP308">
        <v>23</v>
      </c>
      <c r="AQ308">
        <v>27</v>
      </c>
      <c r="AR308">
        <v>15</v>
      </c>
      <c r="AS308">
        <v>20</v>
      </c>
      <c r="AT308">
        <v>21</v>
      </c>
      <c r="AU308">
        <v>19</v>
      </c>
      <c r="AV308">
        <v>13</v>
      </c>
      <c r="AW308">
        <v>19</v>
      </c>
      <c r="AX308">
        <v>17</v>
      </c>
      <c r="AY308">
        <v>2</v>
      </c>
      <c r="AZ308">
        <v>12</v>
      </c>
      <c r="BA308">
        <v>6</v>
      </c>
      <c r="BB308">
        <v>14</v>
      </c>
      <c r="BC308">
        <v>13</v>
      </c>
      <c r="BD308">
        <v>14</v>
      </c>
    </row>
    <row r="309" spans="1:56" x14ac:dyDescent="0.25">
      <c r="A309" t="s">
        <v>4471</v>
      </c>
      <c r="B309" t="s">
        <v>148</v>
      </c>
      <c r="C309" t="s">
        <v>95</v>
      </c>
      <c r="D309">
        <v>564</v>
      </c>
      <c r="E309">
        <v>5.5289999999999999</v>
      </c>
      <c r="F309">
        <v>0</v>
      </c>
      <c r="G309">
        <v>1</v>
      </c>
      <c r="H309">
        <v>0</v>
      </c>
      <c r="I309">
        <v>1</v>
      </c>
      <c r="J309">
        <v>1</v>
      </c>
      <c r="K309">
        <v>2</v>
      </c>
      <c r="L309">
        <v>3</v>
      </c>
      <c r="M309">
        <v>5</v>
      </c>
      <c r="N309">
        <v>1</v>
      </c>
      <c r="O309">
        <v>4</v>
      </c>
      <c r="P309">
        <v>3</v>
      </c>
      <c r="Q309">
        <v>2</v>
      </c>
      <c r="R309">
        <v>2</v>
      </c>
      <c r="S309">
        <v>2</v>
      </c>
      <c r="T309">
        <v>3</v>
      </c>
      <c r="U309">
        <v>5</v>
      </c>
      <c r="V309">
        <v>3</v>
      </c>
      <c r="W309">
        <v>3</v>
      </c>
      <c r="X309">
        <v>4</v>
      </c>
      <c r="Y309">
        <v>3</v>
      </c>
      <c r="Z309">
        <v>4</v>
      </c>
      <c r="AA309">
        <v>4</v>
      </c>
      <c r="AB309">
        <v>5</v>
      </c>
      <c r="AC309">
        <v>4</v>
      </c>
      <c r="AD309">
        <v>4</v>
      </c>
      <c r="AE309">
        <v>3</v>
      </c>
      <c r="AF309">
        <v>3</v>
      </c>
      <c r="AG309">
        <v>3</v>
      </c>
      <c r="AH309">
        <v>4</v>
      </c>
      <c r="AI309">
        <v>3</v>
      </c>
      <c r="AJ309">
        <v>7</v>
      </c>
      <c r="AK309">
        <v>8</v>
      </c>
      <c r="AL309">
        <v>5</v>
      </c>
      <c r="AM309">
        <v>8</v>
      </c>
      <c r="AN309">
        <v>8</v>
      </c>
      <c r="AO309">
        <v>13</v>
      </c>
      <c r="AP309">
        <v>15</v>
      </c>
      <c r="AQ309">
        <v>13</v>
      </c>
      <c r="AR309">
        <v>13</v>
      </c>
      <c r="AS309">
        <v>12</v>
      </c>
      <c r="AT309">
        <v>13</v>
      </c>
      <c r="AU309">
        <v>12</v>
      </c>
      <c r="AV309">
        <v>12</v>
      </c>
      <c r="AW309">
        <v>8</v>
      </c>
      <c r="AX309">
        <v>7</v>
      </c>
      <c r="AY309">
        <v>8</v>
      </c>
      <c r="AZ309">
        <v>8</v>
      </c>
      <c r="BA309">
        <v>7</v>
      </c>
      <c r="BB309">
        <v>7</v>
      </c>
      <c r="BC309">
        <v>6</v>
      </c>
      <c r="BD309">
        <v>7</v>
      </c>
    </row>
    <row r="310" spans="1:56" x14ac:dyDescent="0.25">
      <c r="A310" t="s">
        <v>4472</v>
      </c>
      <c r="B310" t="s">
        <v>149</v>
      </c>
      <c r="C310" t="s">
        <v>95</v>
      </c>
      <c r="D310">
        <v>48</v>
      </c>
      <c r="E310">
        <v>6.3920000000000003</v>
      </c>
      <c r="F310">
        <v>0</v>
      </c>
      <c r="G310">
        <v>0</v>
      </c>
      <c r="H310">
        <v>0</v>
      </c>
      <c r="I310">
        <v>0</v>
      </c>
      <c r="J310">
        <v>2</v>
      </c>
      <c r="K310">
        <v>2</v>
      </c>
      <c r="L310">
        <v>2</v>
      </c>
      <c r="M310">
        <v>2</v>
      </c>
      <c r="N310">
        <v>6</v>
      </c>
      <c r="O310">
        <v>4</v>
      </c>
      <c r="P310">
        <v>1</v>
      </c>
      <c r="Q310">
        <v>9</v>
      </c>
      <c r="R310">
        <v>0</v>
      </c>
      <c r="S310">
        <v>3</v>
      </c>
      <c r="T310">
        <v>6</v>
      </c>
      <c r="U310">
        <v>1</v>
      </c>
      <c r="V310">
        <v>1</v>
      </c>
      <c r="W310">
        <v>8</v>
      </c>
      <c r="X310">
        <v>1</v>
      </c>
      <c r="Y310">
        <v>4</v>
      </c>
      <c r="Z310">
        <v>5</v>
      </c>
      <c r="AA310">
        <v>2</v>
      </c>
      <c r="AB310">
        <v>2</v>
      </c>
      <c r="AC310">
        <v>4</v>
      </c>
      <c r="AD310">
        <v>0</v>
      </c>
      <c r="AE310">
        <v>0</v>
      </c>
      <c r="AF310">
        <v>0</v>
      </c>
      <c r="AG310">
        <v>3</v>
      </c>
      <c r="AH310">
        <v>2</v>
      </c>
      <c r="AI310">
        <v>4</v>
      </c>
      <c r="AJ310">
        <v>20</v>
      </c>
      <c r="AK310">
        <v>9</v>
      </c>
      <c r="AL310">
        <v>9</v>
      </c>
      <c r="AM310">
        <v>13</v>
      </c>
      <c r="AN310">
        <v>9</v>
      </c>
      <c r="AO310">
        <v>15</v>
      </c>
      <c r="AP310">
        <v>12</v>
      </c>
      <c r="AQ310">
        <v>10</v>
      </c>
      <c r="AR310">
        <v>26</v>
      </c>
      <c r="AS310">
        <v>22</v>
      </c>
      <c r="AT310">
        <v>18</v>
      </c>
      <c r="AU310">
        <v>9</v>
      </c>
      <c r="AV310">
        <v>14</v>
      </c>
      <c r="AW310">
        <v>10</v>
      </c>
      <c r="AX310">
        <v>7</v>
      </c>
      <c r="AY310">
        <v>22</v>
      </c>
      <c r="AZ310">
        <v>8</v>
      </c>
      <c r="BA310">
        <v>4</v>
      </c>
      <c r="BB310">
        <v>11</v>
      </c>
      <c r="BC310">
        <v>0</v>
      </c>
      <c r="BD310">
        <v>4</v>
      </c>
    </row>
    <row r="311" spans="1:56" x14ac:dyDescent="0.25">
      <c r="A311" t="s">
        <v>4473</v>
      </c>
      <c r="B311" t="s">
        <v>150</v>
      </c>
      <c r="C311" t="s">
        <v>95</v>
      </c>
      <c r="D311">
        <v>769</v>
      </c>
      <c r="E311">
        <v>14.196</v>
      </c>
      <c r="F311">
        <v>1</v>
      </c>
      <c r="G311">
        <v>1</v>
      </c>
      <c r="H311">
        <v>1</v>
      </c>
      <c r="I311">
        <v>1</v>
      </c>
      <c r="J311">
        <v>2</v>
      </c>
      <c r="K311">
        <v>3</v>
      </c>
      <c r="L311">
        <v>7</v>
      </c>
      <c r="M311">
        <v>7</v>
      </c>
      <c r="N311">
        <v>8</v>
      </c>
      <c r="O311">
        <v>7</v>
      </c>
      <c r="P311">
        <v>9</v>
      </c>
      <c r="Q311">
        <v>9</v>
      </c>
      <c r="R311">
        <v>9</v>
      </c>
      <c r="S311">
        <v>8</v>
      </c>
      <c r="T311">
        <v>8</v>
      </c>
      <c r="U311">
        <v>7</v>
      </c>
      <c r="V311">
        <v>8</v>
      </c>
      <c r="W311">
        <v>7</v>
      </c>
      <c r="X311">
        <v>7</v>
      </c>
      <c r="Y311">
        <v>9</v>
      </c>
      <c r="Z311">
        <v>8</v>
      </c>
      <c r="AA311">
        <v>7</v>
      </c>
      <c r="AB311">
        <v>7</v>
      </c>
      <c r="AC311">
        <v>7</v>
      </c>
      <c r="AD311">
        <v>6</v>
      </c>
      <c r="AE311">
        <v>6</v>
      </c>
      <c r="AF311">
        <v>5</v>
      </c>
      <c r="AG311">
        <v>7</v>
      </c>
      <c r="AH311">
        <v>5</v>
      </c>
      <c r="AI311">
        <v>7</v>
      </c>
      <c r="AJ311">
        <v>11</v>
      </c>
      <c r="AK311">
        <v>12</v>
      </c>
      <c r="AL311">
        <v>14</v>
      </c>
      <c r="AM311">
        <v>17</v>
      </c>
      <c r="AN311">
        <v>20</v>
      </c>
      <c r="AO311">
        <v>26</v>
      </c>
      <c r="AP311">
        <v>27</v>
      </c>
      <c r="AQ311">
        <v>32</v>
      </c>
      <c r="AR311">
        <v>32</v>
      </c>
      <c r="AS311">
        <v>35</v>
      </c>
      <c r="AT311">
        <v>34</v>
      </c>
      <c r="AU311">
        <v>35</v>
      </c>
      <c r="AV311">
        <v>35</v>
      </c>
      <c r="AW311">
        <v>35</v>
      </c>
      <c r="AX311">
        <v>31</v>
      </c>
      <c r="AY311">
        <v>30</v>
      </c>
      <c r="AZ311">
        <v>32</v>
      </c>
      <c r="BA311">
        <v>22</v>
      </c>
      <c r="BB311">
        <v>21</v>
      </c>
      <c r="BC311">
        <v>19</v>
      </c>
      <c r="BD311">
        <v>20</v>
      </c>
    </row>
    <row r="312" spans="1:56" x14ac:dyDescent="0.25">
      <c r="A312" t="s">
        <v>4474</v>
      </c>
      <c r="B312" t="s">
        <v>151</v>
      </c>
      <c r="C312" t="s">
        <v>95</v>
      </c>
      <c r="D312">
        <v>366</v>
      </c>
      <c r="E312">
        <v>19.510000000000002</v>
      </c>
      <c r="F312">
        <v>2</v>
      </c>
      <c r="G312">
        <v>1</v>
      </c>
      <c r="H312">
        <v>1</v>
      </c>
      <c r="I312">
        <v>1</v>
      </c>
      <c r="J312">
        <v>3</v>
      </c>
      <c r="K312">
        <v>5</v>
      </c>
      <c r="L312">
        <v>7</v>
      </c>
      <c r="M312">
        <v>9</v>
      </c>
      <c r="N312">
        <v>10</v>
      </c>
      <c r="O312">
        <v>10</v>
      </c>
      <c r="P312">
        <v>11</v>
      </c>
      <c r="Q312">
        <v>10</v>
      </c>
      <c r="R312">
        <v>10</v>
      </c>
      <c r="S312">
        <v>10</v>
      </c>
      <c r="T312">
        <v>11</v>
      </c>
      <c r="U312">
        <v>10</v>
      </c>
      <c r="V312">
        <v>11</v>
      </c>
      <c r="W312">
        <v>9</v>
      </c>
      <c r="X312">
        <v>10</v>
      </c>
      <c r="Y312">
        <v>10</v>
      </c>
      <c r="Z312">
        <v>9</v>
      </c>
      <c r="AA312">
        <v>10</v>
      </c>
      <c r="AB312">
        <v>8</v>
      </c>
      <c r="AC312">
        <v>8</v>
      </c>
      <c r="AD312">
        <v>7</v>
      </c>
      <c r="AE312">
        <v>8</v>
      </c>
      <c r="AF312">
        <v>6</v>
      </c>
      <c r="AG312">
        <v>9</v>
      </c>
      <c r="AH312">
        <v>6</v>
      </c>
      <c r="AI312">
        <v>8</v>
      </c>
      <c r="AJ312">
        <v>11</v>
      </c>
      <c r="AK312">
        <v>14</v>
      </c>
      <c r="AL312">
        <v>18</v>
      </c>
      <c r="AM312">
        <v>24</v>
      </c>
      <c r="AN312">
        <v>27</v>
      </c>
      <c r="AO312">
        <v>34</v>
      </c>
      <c r="AP312">
        <v>37</v>
      </c>
      <c r="AQ312">
        <v>38</v>
      </c>
      <c r="AR312">
        <v>45</v>
      </c>
      <c r="AS312">
        <v>49</v>
      </c>
      <c r="AT312">
        <v>45</v>
      </c>
      <c r="AU312">
        <v>49</v>
      </c>
      <c r="AV312">
        <v>50</v>
      </c>
      <c r="AW312">
        <v>51</v>
      </c>
      <c r="AX312">
        <v>46</v>
      </c>
      <c r="AY312">
        <v>47</v>
      </c>
      <c r="AZ312">
        <v>48</v>
      </c>
      <c r="BA312">
        <v>39</v>
      </c>
      <c r="BB312">
        <v>33</v>
      </c>
      <c r="BC312">
        <v>31</v>
      </c>
      <c r="BD312">
        <v>29</v>
      </c>
    </row>
    <row r="313" spans="1:56" x14ac:dyDescent="0.25">
      <c r="A313" t="s">
        <v>4475</v>
      </c>
      <c r="B313" t="s">
        <v>152</v>
      </c>
      <c r="C313" t="s">
        <v>95</v>
      </c>
      <c r="D313">
        <v>46</v>
      </c>
      <c r="E313">
        <v>9.9019999999999992</v>
      </c>
      <c r="F313">
        <v>0</v>
      </c>
      <c r="G313">
        <v>0</v>
      </c>
      <c r="H313">
        <v>0</v>
      </c>
      <c r="I313">
        <v>0</v>
      </c>
      <c r="J313">
        <v>1</v>
      </c>
      <c r="K313">
        <v>2</v>
      </c>
      <c r="L313">
        <v>11</v>
      </c>
      <c r="M313">
        <v>2</v>
      </c>
      <c r="N313">
        <v>4</v>
      </c>
      <c r="O313">
        <v>3</v>
      </c>
      <c r="P313">
        <v>3</v>
      </c>
      <c r="Q313">
        <v>5</v>
      </c>
      <c r="R313">
        <v>10</v>
      </c>
      <c r="S313">
        <v>4</v>
      </c>
      <c r="T313">
        <v>3</v>
      </c>
      <c r="U313">
        <v>3</v>
      </c>
      <c r="V313">
        <v>3</v>
      </c>
      <c r="W313">
        <v>3</v>
      </c>
      <c r="X313">
        <v>2</v>
      </c>
      <c r="Y313">
        <v>9</v>
      </c>
      <c r="Z313">
        <v>6</v>
      </c>
      <c r="AA313">
        <v>1</v>
      </c>
      <c r="AB313">
        <v>4</v>
      </c>
      <c r="AC313">
        <v>3</v>
      </c>
      <c r="AD313">
        <v>9</v>
      </c>
      <c r="AE313">
        <v>5</v>
      </c>
      <c r="AF313">
        <v>8</v>
      </c>
      <c r="AG313">
        <v>3</v>
      </c>
      <c r="AH313">
        <v>4</v>
      </c>
      <c r="AI313">
        <v>11</v>
      </c>
      <c r="AJ313">
        <v>17</v>
      </c>
      <c r="AK313">
        <v>13</v>
      </c>
      <c r="AL313">
        <v>12</v>
      </c>
      <c r="AM313">
        <v>11</v>
      </c>
      <c r="AN313">
        <v>17</v>
      </c>
      <c r="AO313">
        <v>18</v>
      </c>
      <c r="AP313">
        <v>20</v>
      </c>
      <c r="AQ313">
        <v>38</v>
      </c>
      <c r="AR313">
        <v>26</v>
      </c>
      <c r="AS313">
        <v>25</v>
      </c>
      <c r="AT313">
        <v>31</v>
      </c>
      <c r="AU313">
        <v>24</v>
      </c>
      <c r="AV313">
        <v>22</v>
      </c>
      <c r="AW313">
        <v>22</v>
      </c>
      <c r="AX313">
        <v>18</v>
      </c>
      <c r="AY313">
        <v>12</v>
      </c>
      <c r="AZ313">
        <v>15</v>
      </c>
      <c r="BA313">
        <v>8</v>
      </c>
      <c r="BB313">
        <v>18</v>
      </c>
      <c r="BC313">
        <v>4</v>
      </c>
      <c r="BD313">
        <v>12</v>
      </c>
    </row>
    <row r="314" spans="1:56" x14ac:dyDescent="0.25">
      <c r="A314" t="s">
        <v>4476</v>
      </c>
      <c r="B314" t="s">
        <v>153</v>
      </c>
      <c r="C314" t="s">
        <v>95</v>
      </c>
      <c r="D314">
        <v>679</v>
      </c>
      <c r="E314">
        <v>20.548999999999999</v>
      </c>
      <c r="F314">
        <v>7</v>
      </c>
      <c r="G314">
        <v>5</v>
      </c>
      <c r="H314">
        <v>6</v>
      </c>
      <c r="I314">
        <v>8</v>
      </c>
      <c r="J314">
        <v>19</v>
      </c>
      <c r="K314">
        <v>18</v>
      </c>
      <c r="L314">
        <v>22</v>
      </c>
      <c r="M314">
        <v>21</v>
      </c>
      <c r="N314">
        <v>22</v>
      </c>
      <c r="O314">
        <v>18</v>
      </c>
      <c r="P314">
        <v>20</v>
      </c>
      <c r="Q314">
        <v>18</v>
      </c>
      <c r="R314">
        <v>16</v>
      </c>
      <c r="S314">
        <v>16</v>
      </c>
      <c r="T314">
        <v>19</v>
      </c>
      <c r="U314">
        <v>15</v>
      </c>
      <c r="V314">
        <v>20</v>
      </c>
      <c r="W314">
        <v>18</v>
      </c>
      <c r="X314">
        <v>19</v>
      </c>
      <c r="Y314">
        <v>17</v>
      </c>
      <c r="Z314">
        <v>20</v>
      </c>
      <c r="AA314">
        <v>19</v>
      </c>
      <c r="AB314">
        <v>20</v>
      </c>
      <c r="AC314">
        <v>14</v>
      </c>
      <c r="AD314">
        <v>18</v>
      </c>
      <c r="AE314">
        <v>16</v>
      </c>
      <c r="AF314">
        <v>15</v>
      </c>
      <c r="AG314">
        <v>16</v>
      </c>
      <c r="AH314">
        <v>18</v>
      </c>
      <c r="AI314">
        <v>16</v>
      </c>
      <c r="AJ314">
        <v>19</v>
      </c>
      <c r="AK314">
        <v>19</v>
      </c>
      <c r="AL314">
        <v>19</v>
      </c>
      <c r="AM314">
        <v>19</v>
      </c>
      <c r="AN314">
        <v>22</v>
      </c>
      <c r="AO314">
        <v>26</v>
      </c>
      <c r="AP314">
        <v>29</v>
      </c>
      <c r="AQ314">
        <v>29</v>
      </c>
      <c r="AR314">
        <v>36</v>
      </c>
      <c r="AS314">
        <v>33</v>
      </c>
      <c r="AT314">
        <v>35</v>
      </c>
      <c r="AU314">
        <v>31</v>
      </c>
      <c r="AV314">
        <v>30</v>
      </c>
      <c r="AW314">
        <v>30</v>
      </c>
      <c r="AX314">
        <v>29</v>
      </c>
      <c r="AY314">
        <v>27</v>
      </c>
      <c r="AZ314">
        <v>25</v>
      </c>
      <c r="BA314">
        <v>25</v>
      </c>
      <c r="BB314">
        <v>24</v>
      </c>
      <c r="BC314">
        <v>23</v>
      </c>
      <c r="BD314">
        <v>22</v>
      </c>
    </row>
    <row r="315" spans="1:56" x14ac:dyDescent="0.25">
      <c r="A315" t="s">
        <v>4477</v>
      </c>
      <c r="B315" t="s">
        <v>154</v>
      </c>
      <c r="C315" t="s">
        <v>95</v>
      </c>
      <c r="D315">
        <v>90</v>
      </c>
      <c r="E315">
        <v>9.3140000000000001</v>
      </c>
      <c r="F315">
        <v>2</v>
      </c>
      <c r="G315">
        <v>3</v>
      </c>
      <c r="H315">
        <v>2</v>
      </c>
      <c r="I315">
        <v>0</v>
      </c>
      <c r="J315">
        <v>2</v>
      </c>
      <c r="K315">
        <v>10</v>
      </c>
      <c r="L315">
        <v>3</v>
      </c>
      <c r="M315">
        <v>8</v>
      </c>
      <c r="N315">
        <v>6</v>
      </c>
      <c r="O315">
        <v>8</v>
      </c>
      <c r="P315">
        <v>7</v>
      </c>
      <c r="Q315">
        <v>8</v>
      </c>
      <c r="R315">
        <v>5</v>
      </c>
      <c r="S315">
        <v>11</v>
      </c>
      <c r="T315">
        <v>4</v>
      </c>
      <c r="U315">
        <v>10</v>
      </c>
      <c r="V315">
        <v>4</v>
      </c>
      <c r="W315">
        <v>6</v>
      </c>
      <c r="X315">
        <v>4</v>
      </c>
      <c r="Y315">
        <v>9</v>
      </c>
      <c r="Z315">
        <v>4</v>
      </c>
      <c r="AA315">
        <v>4</v>
      </c>
      <c r="AB315">
        <v>9</v>
      </c>
      <c r="AC315">
        <v>11</v>
      </c>
      <c r="AD315">
        <v>9</v>
      </c>
      <c r="AE315">
        <v>6</v>
      </c>
      <c r="AF315">
        <v>5</v>
      </c>
      <c r="AG315">
        <v>10</v>
      </c>
      <c r="AH315">
        <v>7</v>
      </c>
      <c r="AI315">
        <v>10</v>
      </c>
      <c r="AJ315">
        <v>7</v>
      </c>
      <c r="AK315">
        <v>8</v>
      </c>
      <c r="AL315">
        <v>10</v>
      </c>
      <c r="AM315">
        <v>12</v>
      </c>
      <c r="AN315">
        <v>12</v>
      </c>
      <c r="AO315">
        <v>24</v>
      </c>
      <c r="AP315">
        <v>14</v>
      </c>
      <c r="AQ315">
        <v>17</v>
      </c>
      <c r="AR315">
        <v>19</v>
      </c>
      <c r="AS315">
        <v>19</v>
      </c>
      <c r="AT315">
        <v>21</v>
      </c>
      <c r="AU315">
        <v>6</v>
      </c>
      <c r="AV315">
        <v>13</v>
      </c>
      <c r="AW315">
        <v>10</v>
      </c>
      <c r="AX315">
        <v>11</v>
      </c>
      <c r="AY315">
        <v>14</v>
      </c>
      <c r="AZ315">
        <v>15</v>
      </c>
      <c r="BA315">
        <v>15</v>
      </c>
      <c r="BB315">
        <v>13</v>
      </c>
      <c r="BC315">
        <v>11</v>
      </c>
      <c r="BD315">
        <v>17</v>
      </c>
    </row>
    <row r="316" spans="1:56" x14ac:dyDescent="0.25">
      <c r="A316" t="s">
        <v>4478</v>
      </c>
      <c r="B316" t="s">
        <v>155</v>
      </c>
      <c r="C316" t="s">
        <v>95</v>
      </c>
      <c r="D316">
        <v>162</v>
      </c>
      <c r="E316">
        <v>7.3529999999999998</v>
      </c>
      <c r="F316">
        <v>1</v>
      </c>
      <c r="G316">
        <v>0</v>
      </c>
      <c r="H316">
        <v>3</v>
      </c>
      <c r="I316">
        <v>1</v>
      </c>
      <c r="J316">
        <v>2</v>
      </c>
      <c r="K316">
        <v>1</v>
      </c>
      <c r="L316">
        <v>5</v>
      </c>
      <c r="M316">
        <v>4</v>
      </c>
      <c r="N316">
        <v>4</v>
      </c>
      <c r="O316">
        <v>3</v>
      </c>
      <c r="P316">
        <v>3</v>
      </c>
      <c r="Q316">
        <v>6</v>
      </c>
      <c r="R316">
        <v>3</v>
      </c>
      <c r="S316">
        <v>5</v>
      </c>
      <c r="T316">
        <v>4</v>
      </c>
      <c r="U316">
        <v>4</v>
      </c>
      <c r="V316">
        <v>4</v>
      </c>
      <c r="W316">
        <v>4</v>
      </c>
      <c r="X316">
        <v>7</v>
      </c>
      <c r="Y316">
        <v>5</v>
      </c>
      <c r="Z316">
        <v>4</v>
      </c>
      <c r="AA316">
        <v>5</v>
      </c>
      <c r="AB316">
        <v>6</v>
      </c>
      <c r="AC316">
        <v>5</v>
      </c>
      <c r="AD316">
        <v>4</v>
      </c>
      <c r="AE316">
        <v>7</v>
      </c>
      <c r="AF316">
        <v>6</v>
      </c>
      <c r="AG316">
        <v>6</v>
      </c>
      <c r="AH316">
        <v>10</v>
      </c>
      <c r="AI316">
        <v>6</v>
      </c>
      <c r="AJ316">
        <v>12</v>
      </c>
      <c r="AK316">
        <v>10</v>
      </c>
      <c r="AL316">
        <v>10</v>
      </c>
      <c r="AM316">
        <v>12</v>
      </c>
      <c r="AN316">
        <v>15</v>
      </c>
      <c r="AO316">
        <v>14</v>
      </c>
      <c r="AP316">
        <v>15</v>
      </c>
      <c r="AQ316">
        <v>18</v>
      </c>
      <c r="AR316">
        <v>19</v>
      </c>
      <c r="AS316">
        <v>17</v>
      </c>
      <c r="AT316">
        <v>15</v>
      </c>
      <c r="AU316">
        <v>15</v>
      </c>
      <c r="AV316">
        <v>13</v>
      </c>
      <c r="AW316">
        <v>11</v>
      </c>
      <c r="AX316">
        <v>9</v>
      </c>
      <c r="AY316">
        <v>7</v>
      </c>
      <c r="AZ316">
        <v>11</v>
      </c>
      <c r="BA316">
        <v>8</v>
      </c>
      <c r="BB316">
        <v>7</v>
      </c>
      <c r="BC316">
        <v>4</v>
      </c>
      <c r="BD316">
        <v>5</v>
      </c>
    </row>
    <row r="317" spans="1:56" x14ac:dyDescent="0.25">
      <c r="A317" t="s">
        <v>4479</v>
      </c>
      <c r="B317" t="s">
        <v>156</v>
      </c>
      <c r="C317" t="s">
        <v>95</v>
      </c>
      <c r="D317">
        <v>94</v>
      </c>
      <c r="E317">
        <v>12.941000000000001</v>
      </c>
      <c r="F317">
        <v>4</v>
      </c>
      <c r="G317">
        <v>9</v>
      </c>
      <c r="H317">
        <v>2</v>
      </c>
      <c r="I317">
        <v>5</v>
      </c>
      <c r="J317">
        <v>3</v>
      </c>
      <c r="K317">
        <v>8</v>
      </c>
      <c r="L317">
        <v>6</v>
      </c>
      <c r="M317">
        <v>17</v>
      </c>
      <c r="N317">
        <v>7</v>
      </c>
      <c r="O317">
        <v>13</v>
      </c>
      <c r="P317">
        <v>7</v>
      </c>
      <c r="Q317">
        <v>13</v>
      </c>
      <c r="R317">
        <v>6</v>
      </c>
      <c r="S317">
        <v>10</v>
      </c>
      <c r="T317">
        <v>9</v>
      </c>
      <c r="U317">
        <v>7</v>
      </c>
      <c r="V317">
        <v>10</v>
      </c>
      <c r="W317">
        <v>9</v>
      </c>
      <c r="X317">
        <v>11</v>
      </c>
      <c r="Y317">
        <v>11</v>
      </c>
      <c r="Z317">
        <v>10</v>
      </c>
      <c r="AA317">
        <v>10</v>
      </c>
      <c r="AB317">
        <v>14</v>
      </c>
      <c r="AC317">
        <v>22</v>
      </c>
      <c r="AD317">
        <v>10</v>
      </c>
      <c r="AE317">
        <v>14</v>
      </c>
      <c r="AF317">
        <v>15</v>
      </c>
      <c r="AG317">
        <v>13</v>
      </c>
      <c r="AH317">
        <v>15</v>
      </c>
      <c r="AI317">
        <v>18</v>
      </c>
      <c r="AJ317">
        <v>13</v>
      </c>
      <c r="AK317">
        <v>20</v>
      </c>
      <c r="AL317">
        <v>14</v>
      </c>
      <c r="AM317">
        <v>10</v>
      </c>
      <c r="AN317">
        <v>21</v>
      </c>
      <c r="AO317">
        <v>21</v>
      </c>
      <c r="AP317">
        <v>19</v>
      </c>
      <c r="AQ317">
        <v>26</v>
      </c>
      <c r="AR317">
        <v>22</v>
      </c>
      <c r="AS317">
        <v>19</v>
      </c>
      <c r="AT317">
        <v>22</v>
      </c>
      <c r="AU317">
        <v>18</v>
      </c>
      <c r="AV317">
        <v>21</v>
      </c>
      <c r="AW317">
        <v>15</v>
      </c>
      <c r="AX317">
        <v>12</v>
      </c>
      <c r="AY317">
        <v>14</v>
      </c>
      <c r="AZ317">
        <v>21</v>
      </c>
      <c r="BA317">
        <v>11</v>
      </c>
      <c r="BB317">
        <v>12</v>
      </c>
      <c r="BC317">
        <v>9</v>
      </c>
      <c r="BD317">
        <v>12</v>
      </c>
    </row>
    <row r="318" spans="1:56" x14ac:dyDescent="0.25">
      <c r="A318" t="s">
        <v>4480</v>
      </c>
      <c r="B318" t="s">
        <v>157</v>
      </c>
      <c r="C318" t="s">
        <v>95</v>
      </c>
      <c r="D318">
        <v>62</v>
      </c>
      <c r="E318">
        <v>3.8239999999999998</v>
      </c>
      <c r="F318">
        <v>3</v>
      </c>
      <c r="G318">
        <v>0</v>
      </c>
      <c r="H318">
        <v>1</v>
      </c>
      <c r="I318">
        <v>1</v>
      </c>
      <c r="J318">
        <v>3</v>
      </c>
      <c r="K318">
        <v>2</v>
      </c>
      <c r="L318">
        <v>1</v>
      </c>
      <c r="M318">
        <v>2</v>
      </c>
      <c r="N318">
        <v>2</v>
      </c>
      <c r="O318">
        <v>2</v>
      </c>
      <c r="P318">
        <v>1</v>
      </c>
      <c r="Q318">
        <v>1</v>
      </c>
      <c r="R318">
        <v>1</v>
      </c>
      <c r="S318">
        <v>2</v>
      </c>
      <c r="T318">
        <v>0</v>
      </c>
      <c r="U318">
        <v>2</v>
      </c>
      <c r="V318">
        <v>0</v>
      </c>
      <c r="W318">
        <v>1</v>
      </c>
      <c r="X318">
        <v>4</v>
      </c>
      <c r="Y318">
        <v>4</v>
      </c>
      <c r="Z318">
        <v>5</v>
      </c>
      <c r="AA318">
        <v>2</v>
      </c>
      <c r="AB318">
        <v>2</v>
      </c>
      <c r="AC318">
        <v>3</v>
      </c>
      <c r="AD318">
        <v>3</v>
      </c>
      <c r="AE318">
        <v>6</v>
      </c>
      <c r="AF318">
        <v>5</v>
      </c>
      <c r="AG318">
        <v>0</v>
      </c>
      <c r="AH318">
        <v>7</v>
      </c>
      <c r="AI318">
        <v>2</v>
      </c>
      <c r="AJ318">
        <v>7</v>
      </c>
      <c r="AK318">
        <v>9</v>
      </c>
      <c r="AL318">
        <v>6</v>
      </c>
      <c r="AM318">
        <v>5</v>
      </c>
      <c r="AN318">
        <v>6</v>
      </c>
      <c r="AO318">
        <v>7</v>
      </c>
      <c r="AP318">
        <v>12</v>
      </c>
      <c r="AQ318">
        <v>6</v>
      </c>
      <c r="AR318">
        <v>5</v>
      </c>
      <c r="AS318">
        <v>7</v>
      </c>
      <c r="AT318">
        <v>4</v>
      </c>
      <c r="AU318">
        <v>6</v>
      </c>
      <c r="AV318">
        <v>7</v>
      </c>
      <c r="AW318">
        <v>11</v>
      </c>
      <c r="AX318">
        <v>3</v>
      </c>
      <c r="AY318">
        <v>6</v>
      </c>
      <c r="AZ318">
        <v>7</v>
      </c>
      <c r="BA318">
        <v>4</v>
      </c>
      <c r="BB318">
        <v>5</v>
      </c>
      <c r="BC318">
        <v>2</v>
      </c>
      <c r="BD318">
        <v>2</v>
      </c>
    </row>
    <row r="319" spans="1:56" x14ac:dyDescent="0.25">
      <c r="A319" t="s">
        <v>4481</v>
      </c>
      <c r="B319" t="s">
        <v>158</v>
      </c>
      <c r="C319" t="s">
        <v>95</v>
      </c>
      <c r="D319">
        <v>169</v>
      </c>
      <c r="E319">
        <v>10.725</v>
      </c>
      <c r="F319">
        <v>2</v>
      </c>
      <c r="G319">
        <v>1</v>
      </c>
      <c r="H319">
        <v>0</v>
      </c>
      <c r="I319">
        <v>3</v>
      </c>
      <c r="J319">
        <v>6</v>
      </c>
      <c r="K319">
        <v>9</v>
      </c>
      <c r="L319">
        <v>7</v>
      </c>
      <c r="M319">
        <v>5</v>
      </c>
      <c r="N319">
        <v>7</v>
      </c>
      <c r="O319">
        <v>12</v>
      </c>
      <c r="P319">
        <v>8</v>
      </c>
      <c r="Q319">
        <v>12</v>
      </c>
      <c r="R319">
        <v>8</v>
      </c>
      <c r="S319">
        <v>10</v>
      </c>
      <c r="T319">
        <v>5</v>
      </c>
      <c r="U319">
        <v>7</v>
      </c>
      <c r="V319">
        <v>6</v>
      </c>
      <c r="W319">
        <v>6</v>
      </c>
      <c r="X319">
        <v>10</v>
      </c>
      <c r="Y319">
        <v>7</v>
      </c>
      <c r="Z319">
        <v>14</v>
      </c>
      <c r="AA319">
        <v>10</v>
      </c>
      <c r="AB319">
        <v>8</v>
      </c>
      <c r="AC319">
        <v>12</v>
      </c>
      <c r="AD319">
        <v>12</v>
      </c>
      <c r="AE319">
        <v>12</v>
      </c>
      <c r="AF319">
        <v>9</v>
      </c>
      <c r="AG319">
        <v>11</v>
      </c>
      <c r="AH319">
        <v>15</v>
      </c>
      <c r="AI319">
        <v>10</v>
      </c>
      <c r="AJ319">
        <v>18</v>
      </c>
      <c r="AK319">
        <v>18</v>
      </c>
      <c r="AL319">
        <v>8</v>
      </c>
      <c r="AM319">
        <v>10</v>
      </c>
      <c r="AN319">
        <v>10</v>
      </c>
      <c r="AO319">
        <v>14</v>
      </c>
      <c r="AP319">
        <v>14</v>
      </c>
      <c r="AQ319">
        <v>12</v>
      </c>
      <c r="AR319">
        <v>21</v>
      </c>
      <c r="AS319">
        <v>18</v>
      </c>
      <c r="AT319">
        <v>19</v>
      </c>
      <c r="AU319">
        <v>18</v>
      </c>
      <c r="AV319">
        <v>17</v>
      </c>
      <c r="AW319">
        <v>16</v>
      </c>
      <c r="AX319">
        <v>18</v>
      </c>
      <c r="AY319">
        <v>10</v>
      </c>
      <c r="AZ319">
        <v>15</v>
      </c>
      <c r="BA319">
        <v>17</v>
      </c>
      <c r="BB319">
        <v>11</v>
      </c>
      <c r="BC319">
        <v>9</v>
      </c>
      <c r="BD319">
        <v>10</v>
      </c>
    </row>
    <row r="320" spans="1:56" x14ac:dyDescent="0.25">
      <c r="A320" t="s">
        <v>4482</v>
      </c>
      <c r="B320" t="s">
        <v>159</v>
      </c>
      <c r="C320" t="s">
        <v>95</v>
      </c>
      <c r="D320">
        <v>178</v>
      </c>
      <c r="E320">
        <v>3.3330000000000002</v>
      </c>
      <c r="F320">
        <v>7</v>
      </c>
      <c r="G320">
        <v>1</v>
      </c>
      <c r="H320">
        <v>1</v>
      </c>
      <c r="I320">
        <v>1</v>
      </c>
      <c r="J320">
        <v>1</v>
      </c>
      <c r="K320">
        <v>2</v>
      </c>
      <c r="L320">
        <v>1</v>
      </c>
      <c r="M320">
        <v>0</v>
      </c>
      <c r="N320">
        <v>1</v>
      </c>
      <c r="O320">
        <v>1</v>
      </c>
      <c r="P320">
        <v>3</v>
      </c>
      <c r="Q320">
        <v>0</v>
      </c>
      <c r="R320">
        <v>1</v>
      </c>
      <c r="S320">
        <v>1</v>
      </c>
      <c r="T320">
        <v>3</v>
      </c>
      <c r="U320">
        <v>1</v>
      </c>
      <c r="V320">
        <v>1</v>
      </c>
      <c r="W320">
        <v>3</v>
      </c>
      <c r="X320">
        <v>1</v>
      </c>
      <c r="Y320">
        <v>1</v>
      </c>
      <c r="Z320">
        <v>0</v>
      </c>
      <c r="AA320">
        <v>2</v>
      </c>
      <c r="AB320">
        <v>4</v>
      </c>
      <c r="AC320">
        <v>2</v>
      </c>
      <c r="AD320">
        <v>2</v>
      </c>
      <c r="AE320">
        <v>2</v>
      </c>
      <c r="AF320">
        <v>3</v>
      </c>
      <c r="AG320">
        <v>2</v>
      </c>
      <c r="AH320">
        <v>2</v>
      </c>
      <c r="AI320">
        <v>2</v>
      </c>
      <c r="AJ320">
        <v>3</v>
      </c>
      <c r="AK320">
        <v>2</v>
      </c>
      <c r="AL320">
        <v>5</v>
      </c>
      <c r="AM320">
        <v>5</v>
      </c>
      <c r="AN320">
        <v>5</v>
      </c>
      <c r="AO320">
        <v>7</v>
      </c>
      <c r="AP320">
        <v>10</v>
      </c>
      <c r="AQ320">
        <v>9</v>
      </c>
      <c r="AR320">
        <v>13</v>
      </c>
      <c r="AS320">
        <v>8</v>
      </c>
      <c r="AT320">
        <v>5</v>
      </c>
      <c r="AU320">
        <v>6</v>
      </c>
      <c r="AV320">
        <v>4</v>
      </c>
      <c r="AW320">
        <v>7</v>
      </c>
      <c r="AX320">
        <v>3</v>
      </c>
      <c r="AY320">
        <v>5</v>
      </c>
      <c r="AZ320">
        <v>5</v>
      </c>
      <c r="BA320">
        <v>6</v>
      </c>
      <c r="BB320">
        <v>4</v>
      </c>
      <c r="BC320">
        <v>2</v>
      </c>
      <c r="BD320">
        <v>4</v>
      </c>
    </row>
    <row r="321" spans="1:56" x14ac:dyDescent="0.25">
      <c r="A321" t="s">
        <v>4483</v>
      </c>
      <c r="B321" t="s">
        <v>160</v>
      </c>
      <c r="C321" t="s">
        <v>95</v>
      </c>
      <c r="D321">
        <v>512</v>
      </c>
      <c r="E321">
        <v>9.2349999999999994</v>
      </c>
      <c r="F321">
        <v>2</v>
      </c>
      <c r="G321">
        <v>3</v>
      </c>
      <c r="H321">
        <v>2</v>
      </c>
      <c r="I321">
        <v>3</v>
      </c>
      <c r="J321">
        <v>3</v>
      </c>
      <c r="K321">
        <v>5</v>
      </c>
      <c r="L321">
        <v>6</v>
      </c>
      <c r="M321">
        <v>7</v>
      </c>
      <c r="N321">
        <v>8</v>
      </c>
      <c r="O321">
        <v>8</v>
      </c>
      <c r="P321">
        <v>5</v>
      </c>
      <c r="Q321">
        <v>7</v>
      </c>
      <c r="R321">
        <v>7</v>
      </c>
      <c r="S321">
        <v>5</v>
      </c>
      <c r="T321">
        <v>6</v>
      </c>
      <c r="U321">
        <v>5</v>
      </c>
      <c r="V321">
        <v>5</v>
      </c>
      <c r="W321">
        <v>6</v>
      </c>
      <c r="X321">
        <v>7</v>
      </c>
      <c r="Y321">
        <v>6</v>
      </c>
      <c r="Z321">
        <v>7</v>
      </c>
      <c r="AA321">
        <v>7</v>
      </c>
      <c r="AB321">
        <v>10</v>
      </c>
      <c r="AC321">
        <v>8</v>
      </c>
      <c r="AD321">
        <v>7</v>
      </c>
      <c r="AE321">
        <v>10</v>
      </c>
      <c r="AF321">
        <v>7</v>
      </c>
      <c r="AG321">
        <v>11</v>
      </c>
      <c r="AH321">
        <v>12</v>
      </c>
      <c r="AI321">
        <v>10</v>
      </c>
      <c r="AJ321">
        <v>12</v>
      </c>
      <c r="AK321">
        <v>12</v>
      </c>
      <c r="AL321">
        <v>12</v>
      </c>
      <c r="AM321">
        <v>13</v>
      </c>
      <c r="AN321">
        <v>10</v>
      </c>
      <c r="AO321">
        <v>14</v>
      </c>
      <c r="AP321">
        <v>16</v>
      </c>
      <c r="AQ321">
        <v>17</v>
      </c>
      <c r="AR321">
        <v>20</v>
      </c>
      <c r="AS321">
        <v>16</v>
      </c>
      <c r="AT321">
        <v>15</v>
      </c>
      <c r="AU321">
        <v>17</v>
      </c>
      <c r="AV321">
        <v>12</v>
      </c>
      <c r="AW321">
        <v>14</v>
      </c>
      <c r="AX321">
        <v>14</v>
      </c>
      <c r="AY321">
        <v>14</v>
      </c>
      <c r="AZ321">
        <v>11</v>
      </c>
      <c r="BA321">
        <v>10</v>
      </c>
      <c r="BB321">
        <v>11</v>
      </c>
      <c r="BC321">
        <v>9</v>
      </c>
      <c r="BD321">
        <v>7</v>
      </c>
    </row>
    <row r="322" spans="1:56" x14ac:dyDescent="0.25">
      <c r="A322" t="s">
        <v>4484</v>
      </c>
      <c r="B322" t="s">
        <v>244</v>
      </c>
      <c r="C322" t="s">
        <v>95</v>
      </c>
      <c r="D322">
        <v>653</v>
      </c>
      <c r="E322">
        <v>8.7650000000000006</v>
      </c>
      <c r="F322">
        <v>4</v>
      </c>
      <c r="G322">
        <v>2</v>
      </c>
      <c r="H322">
        <v>1</v>
      </c>
      <c r="I322">
        <v>2</v>
      </c>
      <c r="J322">
        <v>3</v>
      </c>
      <c r="K322">
        <v>4</v>
      </c>
      <c r="L322">
        <v>3</v>
      </c>
      <c r="M322">
        <v>5</v>
      </c>
      <c r="N322">
        <v>6</v>
      </c>
      <c r="O322">
        <v>4</v>
      </c>
      <c r="P322">
        <v>5</v>
      </c>
      <c r="Q322">
        <v>6</v>
      </c>
      <c r="R322">
        <v>4</v>
      </c>
      <c r="S322">
        <v>6</v>
      </c>
      <c r="T322">
        <v>4</v>
      </c>
      <c r="U322">
        <v>5</v>
      </c>
      <c r="V322">
        <v>6</v>
      </c>
      <c r="W322">
        <v>6</v>
      </c>
      <c r="X322">
        <v>8</v>
      </c>
      <c r="Y322">
        <v>7</v>
      </c>
      <c r="Z322">
        <v>6</v>
      </c>
      <c r="AA322">
        <v>6</v>
      </c>
      <c r="AB322">
        <v>9</v>
      </c>
      <c r="AC322">
        <v>6</v>
      </c>
      <c r="AD322">
        <v>6</v>
      </c>
      <c r="AE322">
        <v>7</v>
      </c>
      <c r="AF322">
        <v>8</v>
      </c>
      <c r="AG322">
        <v>8</v>
      </c>
      <c r="AH322">
        <v>9</v>
      </c>
      <c r="AI322">
        <v>6</v>
      </c>
      <c r="AJ322">
        <v>9</v>
      </c>
      <c r="AK322">
        <v>10</v>
      </c>
      <c r="AL322">
        <v>10</v>
      </c>
      <c r="AM322">
        <v>12</v>
      </c>
      <c r="AN322">
        <v>15</v>
      </c>
      <c r="AO322">
        <v>16</v>
      </c>
      <c r="AP322">
        <v>20</v>
      </c>
      <c r="AQ322">
        <v>18</v>
      </c>
      <c r="AR322">
        <v>18</v>
      </c>
      <c r="AS322">
        <v>17</v>
      </c>
      <c r="AT322">
        <v>17</v>
      </c>
      <c r="AU322">
        <v>14</v>
      </c>
      <c r="AV322">
        <v>15</v>
      </c>
      <c r="AW322">
        <v>16</v>
      </c>
      <c r="AX322">
        <v>16</v>
      </c>
      <c r="AY322">
        <v>12</v>
      </c>
      <c r="AZ322">
        <v>12</v>
      </c>
      <c r="BA322">
        <v>9</v>
      </c>
      <c r="BB322">
        <v>10</v>
      </c>
      <c r="BC322">
        <v>10</v>
      </c>
      <c r="BD322">
        <v>9</v>
      </c>
    </row>
    <row r="323" spans="1:56" x14ac:dyDescent="0.25">
      <c r="A323" t="s">
        <v>4485</v>
      </c>
      <c r="B323" t="s">
        <v>245</v>
      </c>
      <c r="C323" t="s">
        <v>95</v>
      </c>
      <c r="D323">
        <v>132</v>
      </c>
      <c r="E323">
        <v>12.372999999999999</v>
      </c>
      <c r="F323">
        <v>16</v>
      </c>
      <c r="G323">
        <v>1</v>
      </c>
      <c r="H323">
        <v>1</v>
      </c>
      <c r="I323">
        <v>5</v>
      </c>
      <c r="J323">
        <v>4</v>
      </c>
      <c r="K323">
        <v>12</v>
      </c>
      <c r="L323">
        <v>7</v>
      </c>
      <c r="M323">
        <v>11</v>
      </c>
      <c r="N323">
        <v>7</v>
      </c>
      <c r="O323">
        <v>12</v>
      </c>
      <c r="P323">
        <v>9</v>
      </c>
      <c r="Q323">
        <v>9</v>
      </c>
      <c r="R323">
        <v>7</v>
      </c>
      <c r="S323">
        <v>5</v>
      </c>
      <c r="T323">
        <v>8</v>
      </c>
      <c r="U323">
        <v>9</v>
      </c>
      <c r="V323">
        <v>7</v>
      </c>
      <c r="W323">
        <v>8</v>
      </c>
      <c r="X323">
        <v>10</v>
      </c>
      <c r="Y323">
        <v>8</v>
      </c>
      <c r="Z323">
        <v>10</v>
      </c>
      <c r="AA323">
        <v>8</v>
      </c>
      <c r="AB323">
        <v>13</v>
      </c>
      <c r="AC323">
        <v>9</v>
      </c>
      <c r="AD323">
        <v>11</v>
      </c>
      <c r="AE323">
        <v>8</v>
      </c>
      <c r="AF323">
        <v>8</v>
      </c>
      <c r="AG323">
        <v>4</v>
      </c>
      <c r="AH323">
        <v>15</v>
      </c>
      <c r="AI323">
        <v>11</v>
      </c>
      <c r="AJ323">
        <v>11</v>
      </c>
      <c r="AK323">
        <v>13</v>
      </c>
      <c r="AL323">
        <v>15</v>
      </c>
      <c r="AM323">
        <v>17</v>
      </c>
      <c r="AN323">
        <v>17</v>
      </c>
      <c r="AO323">
        <v>20</v>
      </c>
      <c r="AP323">
        <v>21</v>
      </c>
      <c r="AQ323">
        <v>23</v>
      </c>
      <c r="AR323">
        <v>22</v>
      </c>
      <c r="AS323">
        <v>22</v>
      </c>
      <c r="AT323">
        <v>26</v>
      </c>
      <c r="AU323">
        <v>21</v>
      </c>
      <c r="AV323">
        <v>20</v>
      </c>
      <c r="AW323">
        <v>23</v>
      </c>
      <c r="AX323">
        <v>18</v>
      </c>
      <c r="AY323">
        <v>11</v>
      </c>
      <c r="AZ323">
        <v>16</v>
      </c>
      <c r="BA323">
        <v>13</v>
      </c>
      <c r="BB323">
        <v>15</v>
      </c>
      <c r="BC323">
        <v>17</v>
      </c>
      <c r="BD323">
        <v>17</v>
      </c>
    </row>
    <row r="324" spans="1:56" x14ac:dyDescent="0.25">
      <c r="A324" t="s">
        <v>4486</v>
      </c>
      <c r="B324" t="s">
        <v>246</v>
      </c>
      <c r="C324" t="s">
        <v>95</v>
      </c>
      <c r="D324">
        <v>237</v>
      </c>
      <c r="E324">
        <v>11.391999999999999</v>
      </c>
      <c r="F324">
        <v>0</v>
      </c>
      <c r="G324">
        <v>1</v>
      </c>
      <c r="H324">
        <v>2</v>
      </c>
      <c r="I324">
        <v>2</v>
      </c>
      <c r="J324">
        <v>4</v>
      </c>
      <c r="K324">
        <v>6</v>
      </c>
      <c r="L324">
        <v>7</v>
      </c>
      <c r="M324">
        <v>7</v>
      </c>
      <c r="N324">
        <v>7</v>
      </c>
      <c r="O324">
        <v>5</v>
      </c>
      <c r="P324">
        <v>6</v>
      </c>
      <c r="Q324">
        <v>7</v>
      </c>
      <c r="R324">
        <v>9</v>
      </c>
      <c r="S324">
        <v>7</v>
      </c>
      <c r="T324">
        <v>5</v>
      </c>
      <c r="U324">
        <v>6</v>
      </c>
      <c r="V324">
        <v>7</v>
      </c>
      <c r="W324">
        <v>8</v>
      </c>
      <c r="X324">
        <v>9</v>
      </c>
      <c r="Y324">
        <v>8</v>
      </c>
      <c r="Z324">
        <v>9</v>
      </c>
      <c r="AA324">
        <v>11</v>
      </c>
      <c r="AB324">
        <v>8</v>
      </c>
      <c r="AC324">
        <v>10</v>
      </c>
      <c r="AD324">
        <v>9</v>
      </c>
      <c r="AE324">
        <v>9</v>
      </c>
      <c r="AF324">
        <v>14</v>
      </c>
      <c r="AG324">
        <v>11</v>
      </c>
      <c r="AH324">
        <v>12</v>
      </c>
      <c r="AI324">
        <v>14</v>
      </c>
      <c r="AJ324">
        <v>12</v>
      </c>
      <c r="AK324">
        <v>18</v>
      </c>
      <c r="AL324">
        <v>12</v>
      </c>
      <c r="AM324">
        <v>18</v>
      </c>
      <c r="AN324">
        <v>14</v>
      </c>
      <c r="AO324">
        <v>20</v>
      </c>
      <c r="AP324">
        <v>16</v>
      </c>
      <c r="AQ324">
        <v>23</v>
      </c>
      <c r="AR324">
        <v>24</v>
      </c>
      <c r="AS324">
        <v>22</v>
      </c>
      <c r="AT324">
        <v>30</v>
      </c>
      <c r="AU324">
        <v>24</v>
      </c>
      <c r="AV324">
        <v>15</v>
      </c>
      <c r="AW324">
        <v>20</v>
      </c>
      <c r="AX324">
        <v>19</v>
      </c>
      <c r="AY324">
        <v>19</v>
      </c>
      <c r="AZ324">
        <v>17</v>
      </c>
      <c r="BA324">
        <v>9</v>
      </c>
      <c r="BB324">
        <v>12</v>
      </c>
      <c r="BC324">
        <v>8</v>
      </c>
      <c r="BD324">
        <v>9</v>
      </c>
    </row>
    <row r="325" spans="1:56" x14ac:dyDescent="0.25">
      <c r="A325" t="s">
        <v>4487</v>
      </c>
      <c r="B325" t="s">
        <v>164</v>
      </c>
      <c r="C325" t="s">
        <v>95</v>
      </c>
      <c r="D325">
        <v>46</v>
      </c>
      <c r="E325">
        <v>7.431</v>
      </c>
      <c r="F325">
        <v>4</v>
      </c>
      <c r="G325">
        <v>0</v>
      </c>
      <c r="H325">
        <v>2</v>
      </c>
      <c r="I325">
        <v>1</v>
      </c>
      <c r="J325">
        <v>1</v>
      </c>
      <c r="K325">
        <v>5</v>
      </c>
      <c r="L325">
        <v>2</v>
      </c>
      <c r="M325">
        <v>1</v>
      </c>
      <c r="N325">
        <v>6</v>
      </c>
      <c r="O325">
        <v>6</v>
      </c>
      <c r="P325">
        <v>4</v>
      </c>
      <c r="Q325">
        <v>3</v>
      </c>
      <c r="R325">
        <v>3</v>
      </c>
      <c r="S325">
        <v>1</v>
      </c>
      <c r="T325">
        <v>1</v>
      </c>
      <c r="U325">
        <v>3</v>
      </c>
      <c r="V325">
        <v>4</v>
      </c>
      <c r="W325">
        <v>6</v>
      </c>
      <c r="X325">
        <v>11</v>
      </c>
      <c r="Y325">
        <v>1</v>
      </c>
      <c r="Z325">
        <v>5</v>
      </c>
      <c r="AA325">
        <v>5</v>
      </c>
      <c r="AB325">
        <v>4</v>
      </c>
      <c r="AC325">
        <v>2</v>
      </c>
      <c r="AD325">
        <v>7</v>
      </c>
      <c r="AE325">
        <v>5</v>
      </c>
      <c r="AF325">
        <v>21</v>
      </c>
      <c r="AG325">
        <v>5</v>
      </c>
      <c r="AH325">
        <v>7</v>
      </c>
      <c r="AI325">
        <v>7</v>
      </c>
      <c r="AJ325">
        <v>7</v>
      </c>
      <c r="AK325">
        <v>8</v>
      </c>
      <c r="AL325">
        <v>10</v>
      </c>
      <c r="AM325">
        <v>6</v>
      </c>
      <c r="AN325">
        <v>7</v>
      </c>
      <c r="AO325">
        <v>10</v>
      </c>
      <c r="AP325">
        <v>20</v>
      </c>
      <c r="AQ325">
        <v>13</v>
      </c>
      <c r="AR325">
        <v>12</v>
      </c>
      <c r="AS325">
        <v>14</v>
      </c>
      <c r="AT325">
        <v>14</v>
      </c>
      <c r="AU325">
        <v>9</v>
      </c>
      <c r="AV325">
        <v>13</v>
      </c>
      <c r="AW325">
        <v>10</v>
      </c>
      <c r="AX325">
        <v>13</v>
      </c>
      <c r="AY325">
        <v>7</v>
      </c>
      <c r="AZ325">
        <v>13</v>
      </c>
      <c r="BA325">
        <v>18</v>
      </c>
      <c r="BB325">
        <v>12</v>
      </c>
      <c r="BC325">
        <v>10</v>
      </c>
      <c r="BD325">
        <v>20</v>
      </c>
    </row>
    <row r="326" spans="1:56" x14ac:dyDescent="0.25">
      <c r="A326" t="s">
        <v>4488</v>
      </c>
      <c r="B326" t="s">
        <v>165</v>
      </c>
      <c r="C326" t="s">
        <v>95</v>
      </c>
      <c r="D326">
        <v>201</v>
      </c>
      <c r="E326">
        <v>21.077999999999999</v>
      </c>
      <c r="F326">
        <v>4</v>
      </c>
      <c r="G326">
        <v>4</v>
      </c>
      <c r="H326">
        <v>3</v>
      </c>
      <c r="I326">
        <v>12</v>
      </c>
      <c r="J326">
        <v>18</v>
      </c>
      <c r="K326">
        <v>11</v>
      </c>
      <c r="L326">
        <v>9</v>
      </c>
      <c r="M326">
        <v>17</v>
      </c>
      <c r="N326">
        <v>13</v>
      </c>
      <c r="O326">
        <v>20</v>
      </c>
      <c r="P326">
        <v>19</v>
      </c>
      <c r="Q326">
        <v>10</v>
      </c>
      <c r="R326">
        <v>19</v>
      </c>
      <c r="S326">
        <v>18</v>
      </c>
      <c r="T326">
        <v>15</v>
      </c>
      <c r="U326">
        <v>17</v>
      </c>
      <c r="V326">
        <v>16</v>
      </c>
      <c r="W326">
        <v>16</v>
      </c>
      <c r="X326">
        <v>18</v>
      </c>
      <c r="Y326">
        <v>19</v>
      </c>
      <c r="Z326">
        <v>23</v>
      </c>
      <c r="AA326">
        <v>16</v>
      </c>
      <c r="AB326">
        <v>17</v>
      </c>
      <c r="AC326">
        <v>21</v>
      </c>
      <c r="AD326">
        <v>19</v>
      </c>
      <c r="AE326">
        <v>25</v>
      </c>
      <c r="AF326">
        <v>21</v>
      </c>
      <c r="AG326">
        <v>26</v>
      </c>
      <c r="AH326">
        <v>24</v>
      </c>
      <c r="AI326">
        <v>23</v>
      </c>
      <c r="AJ326">
        <v>31</v>
      </c>
      <c r="AK326">
        <v>27</v>
      </c>
      <c r="AL326">
        <v>29</v>
      </c>
      <c r="AM326">
        <v>31</v>
      </c>
      <c r="AN326">
        <v>30</v>
      </c>
      <c r="AO326">
        <v>29</v>
      </c>
      <c r="AP326">
        <v>35</v>
      </c>
      <c r="AQ326">
        <v>27</v>
      </c>
      <c r="AR326">
        <v>34</v>
      </c>
      <c r="AS326">
        <v>32</v>
      </c>
      <c r="AT326">
        <v>30</v>
      </c>
      <c r="AU326">
        <v>34</v>
      </c>
      <c r="AV326">
        <v>28</v>
      </c>
      <c r="AW326">
        <v>23</v>
      </c>
      <c r="AX326">
        <v>24</v>
      </c>
      <c r="AY326">
        <v>21</v>
      </c>
      <c r="AZ326">
        <v>28</v>
      </c>
      <c r="BA326">
        <v>24</v>
      </c>
      <c r="BB326">
        <v>21</v>
      </c>
      <c r="BC326">
        <v>18</v>
      </c>
      <c r="BD326">
        <v>26</v>
      </c>
    </row>
    <row r="327" spans="1:56" x14ac:dyDescent="0.25">
      <c r="A327" t="s">
        <v>4489</v>
      </c>
      <c r="B327" t="s">
        <v>166</v>
      </c>
      <c r="C327" t="s">
        <v>95</v>
      </c>
      <c r="D327">
        <v>90</v>
      </c>
      <c r="E327">
        <v>8.3140000000000001</v>
      </c>
      <c r="F327">
        <v>2</v>
      </c>
      <c r="G327">
        <v>2</v>
      </c>
      <c r="H327">
        <v>2</v>
      </c>
      <c r="I327">
        <v>0</v>
      </c>
      <c r="J327">
        <v>2</v>
      </c>
      <c r="K327">
        <v>11</v>
      </c>
      <c r="L327">
        <v>5</v>
      </c>
      <c r="M327">
        <v>5</v>
      </c>
      <c r="N327">
        <v>2</v>
      </c>
      <c r="O327">
        <v>2</v>
      </c>
      <c r="P327">
        <v>5</v>
      </c>
      <c r="Q327">
        <v>3</v>
      </c>
      <c r="R327">
        <v>3</v>
      </c>
      <c r="S327">
        <v>5</v>
      </c>
      <c r="T327">
        <v>4</v>
      </c>
      <c r="U327">
        <v>7</v>
      </c>
      <c r="V327">
        <v>7</v>
      </c>
      <c r="W327">
        <v>4</v>
      </c>
      <c r="X327">
        <v>4</v>
      </c>
      <c r="Y327">
        <v>4</v>
      </c>
      <c r="Z327">
        <v>5</v>
      </c>
      <c r="AA327">
        <v>3</v>
      </c>
      <c r="AB327">
        <v>7</v>
      </c>
      <c r="AC327">
        <v>7</v>
      </c>
      <c r="AD327">
        <v>8</v>
      </c>
      <c r="AE327">
        <v>10</v>
      </c>
      <c r="AF327">
        <v>17</v>
      </c>
      <c r="AG327">
        <v>7</v>
      </c>
      <c r="AH327">
        <v>10</v>
      </c>
      <c r="AI327">
        <v>10</v>
      </c>
      <c r="AJ327">
        <v>14</v>
      </c>
      <c r="AK327">
        <v>10</v>
      </c>
      <c r="AL327">
        <v>9</v>
      </c>
      <c r="AM327">
        <v>9</v>
      </c>
      <c r="AN327">
        <v>14</v>
      </c>
      <c r="AO327">
        <v>12</v>
      </c>
      <c r="AP327">
        <v>17</v>
      </c>
      <c r="AQ327">
        <v>17</v>
      </c>
      <c r="AR327">
        <v>15</v>
      </c>
      <c r="AS327">
        <v>16</v>
      </c>
      <c r="AT327">
        <v>17</v>
      </c>
      <c r="AU327">
        <v>15</v>
      </c>
      <c r="AV327">
        <v>13</v>
      </c>
      <c r="AW327">
        <v>16</v>
      </c>
      <c r="AX327">
        <v>11</v>
      </c>
      <c r="AY327">
        <v>9</v>
      </c>
      <c r="AZ327">
        <v>10</v>
      </c>
      <c r="BA327">
        <v>10</v>
      </c>
      <c r="BB327">
        <v>6</v>
      </c>
      <c r="BC327">
        <v>8</v>
      </c>
      <c r="BD327">
        <v>13</v>
      </c>
    </row>
    <row r="328" spans="1:56" x14ac:dyDescent="0.25">
      <c r="A328" t="s">
        <v>4490</v>
      </c>
      <c r="B328" t="s">
        <v>167</v>
      </c>
      <c r="C328" t="s">
        <v>95</v>
      </c>
      <c r="D328">
        <v>204</v>
      </c>
      <c r="E328">
        <v>12.430999999999999</v>
      </c>
      <c r="F328">
        <v>1</v>
      </c>
      <c r="G328">
        <v>3</v>
      </c>
      <c r="H328">
        <v>7</v>
      </c>
      <c r="I328">
        <v>3</v>
      </c>
      <c r="J328">
        <v>8</v>
      </c>
      <c r="K328">
        <v>4</v>
      </c>
      <c r="L328">
        <v>11</v>
      </c>
      <c r="M328">
        <v>9</v>
      </c>
      <c r="N328">
        <v>7</v>
      </c>
      <c r="O328">
        <v>10</v>
      </c>
      <c r="P328">
        <v>12</v>
      </c>
      <c r="Q328">
        <v>7</v>
      </c>
      <c r="R328">
        <v>12</v>
      </c>
      <c r="S328">
        <v>9</v>
      </c>
      <c r="T328">
        <v>12</v>
      </c>
      <c r="U328">
        <v>8</v>
      </c>
      <c r="V328">
        <v>9</v>
      </c>
      <c r="W328">
        <v>11</v>
      </c>
      <c r="X328">
        <v>6</v>
      </c>
      <c r="Y328">
        <v>7</v>
      </c>
      <c r="Z328">
        <v>3</v>
      </c>
      <c r="AA328">
        <v>11</v>
      </c>
      <c r="AB328">
        <v>13</v>
      </c>
      <c r="AC328">
        <v>8</v>
      </c>
      <c r="AD328">
        <v>5</v>
      </c>
      <c r="AE328">
        <v>7</v>
      </c>
      <c r="AF328">
        <v>8</v>
      </c>
      <c r="AG328">
        <v>10</v>
      </c>
      <c r="AH328">
        <v>7</v>
      </c>
      <c r="AI328">
        <v>7</v>
      </c>
      <c r="AJ328">
        <v>13</v>
      </c>
      <c r="AK328">
        <v>14</v>
      </c>
      <c r="AL328">
        <v>10</v>
      </c>
      <c r="AM328">
        <v>17</v>
      </c>
      <c r="AN328">
        <v>14</v>
      </c>
      <c r="AO328">
        <v>13</v>
      </c>
      <c r="AP328">
        <v>20</v>
      </c>
      <c r="AQ328">
        <v>19</v>
      </c>
      <c r="AR328">
        <v>23</v>
      </c>
      <c r="AS328">
        <v>22</v>
      </c>
      <c r="AT328">
        <v>25</v>
      </c>
      <c r="AU328">
        <v>22</v>
      </c>
      <c r="AV328">
        <v>20</v>
      </c>
      <c r="AW328">
        <v>21</v>
      </c>
      <c r="AX328">
        <v>25</v>
      </c>
      <c r="AY328">
        <v>27</v>
      </c>
      <c r="AZ328">
        <v>23</v>
      </c>
      <c r="BA328">
        <v>17</v>
      </c>
      <c r="BB328">
        <v>15</v>
      </c>
      <c r="BC328">
        <v>21</v>
      </c>
      <c r="BD328">
        <v>18</v>
      </c>
    </row>
    <row r="329" spans="1:56" x14ac:dyDescent="0.25">
      <c r="A329" t="s">
        <v>4491</v>
      </c>
      <c r="B329" t="s">
        <v>247</v>
      </c>
      <c r="C329" t="s">
        <v>95</v>
      </c>
      <c r="D329">
        <v>170</v>
      </c>
      <c r="E329">
        <v>13.077999999999999</v>
      </c>
      <c r="F329">
        <v>2</v>
      </c>
      <c r="G329">
        <v>2</v>
      </c>
      <c r="H329">
        <v>1</v>
      </c>
      <c r="I329">
        <v>6</v>
      </c>
      <c r="J329">
        <v>10</v>
      </c>
      <c r="K329">
        <v>7</v>
      </c>
      <c r="L329">
        <v>7</v>
      </c>
      <c r="M329">
        <v>11</v>
      </c>
      <c r="N329">
        <v>12</v>
      </c>
      <c r="O329">
        <v>9</v>
      </c>
      <c r="P329">
        <v>8</v>
      </c>
      <c r="Q329">
        <v>10</v>
      </c>
      <c r="R329">
        <v>4</v>
      </c>
      <c r="S329">
        <v>8</v>
      </c>
      <c r="T329">
        <v>7</v>
      </c>
      <c r="U329">
        <v>15</v>
      </c>
      <c r="V329">
        <v>10</v>
      </c>
      <c r="W329">
        <v>11</v>
      </c>
      <c r="X329">
        <v>13</v>
      </c>
      <c r="Y329">
        <v>9</v>
      </c>
      <c r="Z329">
        <v>9</v>
      </c>
      <c r="AA329">
        <v>9</v>
      </c>
      <c r="AB329">
        <v>11</v>
      </c>
      <c r="AC329">
        <v>8</v>
      </c>
      <c r="AD329">
        <v>9</v>
      </c>
      <c r="AE329">
        <v>7</v>
      </c>
      <c r="AF329">
        <v>13</v>
      </c>
      <c r="AG329">
        <v>8</v>
      </c>
      <c r="AH329">
        <v>14</v>
      </c>
      <c r="AI329">
        <v>16</v>
      </c>
      <c r="AJ329">
        <v>11</v>
      </c>
      <c r="AK329">
        <v>18</v>
      </c>
      <c r="AL329">
        <v>11</v>
      </c>
      <c r="AM329">
        <v>8</v>
      </c>
      <c r="AN329">
        <v>12</v>
      </c>
      <c r="AO329">
        <v>17</v>
      </c>
      <c r="AP329">
        <v>16</v>
      </c>
      <c r="AQ329">
        <v>21</v>
      </c>
      <c r="AR329">
        <v>28</v>
      </c>
      <c r="AS329">
        <v>26</v>
      </c>
      <c r="AT329">
        <v>21</v>
      </c>
      <c r="AU329">
        <v>27</v>
      </c>
      <c r="AV329">
        <v>22</v>
      </c>
      <c r="AW329">
        <v>22</v>
      </c>
      <c r="AX329">
        <v>30</v>
      </c>
      <c r="AY329">
        <v>29</v>
      </c>
      <c r="AZ329">
        <v>24</v>
      </c>
      <c r="BA329">
        <v>15</v>
      </c>
      <c r="BB329">
        <v>13</v>
      </c>
      <c r="BC329">
        <v>14</v>
      </c>
      <c r="BD329">
        <v>16</v>
      </c>
    </row>
    <row r="330" spans="1:56" x14ac:dyDescent="0.25">
      <c r="A330" t="s">
        <v>4492</v>
      </c>
      <c r="B330" t="s">
        <v>169</v>
      </c>
      <c r="C330" t="s">
        <v>95</v>
      </c>
      <c r="D330">
        <v>114</v>
      </c>
      <c r="E330">
        <v>18.157</v>
      </c>
      <c r="F330">
        <v>1</v>
      </c>
      <c r="G330">
        <v>8</v>
      </c>
      <c r="H330">
        <v>7</v>
      </c>
      <c r="I330">
        <v>9</v>
      </c>
      <c r="J330">
        <v>12</v>
      </c>
      <c r="K330">
        <v>13</v>
      </c>
      <c r="L330">
        <v>18</v>
      </c>
      <c r="M330">
        <v>14</v>
      </c>
      <c r="N330">
        <v>13</v>
      </c>
      <c r="O330">
        <v>14</v>
      </c>
      <c r="P330">
        <v>21</v>
      </c>
      <c r="Q330">
        <v>18</v>
      </c>
      <c r="R330">
        <v>12</v>
      </c>
      <c r="S330">
        <v>17</v>
      </c>
      <c r="T330">
        <v>18</v>
      </c>
      <c r="U330">
        <v>15</v>
      </c>
      <c r="V330">
        <v>17</v>
      </c>
      <c r="W330">
        <v>11</v>
      </c>
      <c r="X330">
        <v>19</v>
      </c>
      <c r="Y330">
        <v>19</v>
      </c>
      <c r="Z330">
        <v>17</v>
      </c>
      <c r="AA330">
        <v>16</v>
      </c>
      <c r="AB330">
        <v>20</v>
      </c>
      <c r="AC330">
        <v>13</v>
      </c>
      <c r="AD330">
        <v>20</v>
      </c>
      <c r="AE330">
        <v>10</v>
      </c>
      <c r="AF330">
        <v>16</v>
      </c>
      <c r="AG330">
        <v>13</v>
      </c>
      <c r="AH330">
        <v>17</v>
      </c>
      <c r="AI330">
        <v>20</v>
      </c>
      <c r="AJ330">
        <v>22</v>
      </c>
      <c r="AK330">
        <v>24</v>
      </c>
      <c r="AL330">
        <v>16</v>
      </c>
      <c r="AM330">
        <v>20</v>
      </c>
      <c r="AN330">
        <v>19</v>
      </c>
      <c r="AO330">
        <v>27</v>
      </c>
      <c r="AP330">
        <v>24</v>
      </c>
      <c r="AQ330">
        <v>26</v>
      </c>
      <c r="AR330">
        <v>31</v>
      </c>
      <c r="AS330">
        <v>30</v>
      </c>
      <c r="AT330">
        <v>23</v>
      </c>
      <c r="AU330">
        <v>26</v>
      </c>
      <c r="AV330">
        <v>24</v>
      </c>
      <c r="AW330">
        <v>30</v>
      </c>
      <c r="AX330">
        <v>23</v>
      </c>
      <c r="AY330">
        <v>23</v>
      </c>
      <c r="AZ330">
        <v>24</v>
      </c>
      <c r="BA330">
        <v>16</v>
      </c>
      <c r="BB330">
        <v>18</v>
      </c>
      <c r="BC330">
        <v>20</v>
      </c>
      <c r="BD330">
        <v>22</v>
      </c>
    </row>
    <row r="331" spans="1:56" x14ac:dyDescent="0.25">
      <c r="A331" t="s">
        <v>4493</v>
      </c>
      <c r="B331" t="s">
        <v>170</v>
      </c>
      <c r="C331" t="s">
        <v>95</v>
      </c>
      <c r="D331">
        <v>775</v>
      </c>
      <c r="E331">
        <v>6.2350000000000003</v>
      </c>
      <c r="F331">
        <v>0</v>
      </c>
      <c r="G331">
        <v>1</v>
      </c>
      <c r="H331">
        <v>1</v>
      </c>
      <c r="I331">
        <v>1</v>
      </c>
      <c r="J331">
        <v>1</v>
      </c>
      <c r="K331">
        <v>3</v>
      </c>
      <c r="L331">
        <v>2</v>
      </c>
      <c r="M331">
        <v>4</v>
      </c>
      <c r="N331">
        <v>2</v>
      </c>
      <c r="O331">
        <v>4</v>
      </c>
      <c r="P331">
        <v>2</v>
      </c>
      <c r="Q331">
        <v>3</v>
      </c>
      <c r="R331">
        <v>2</v>
      </c>
      <c r="S331">
        <v>2</v>
      </c>
      <c r="T331">
        <v>3</v>
      </c>
      <c r="U331">
        <v>4</v>
      </c>
      <c r="V331">
        <v>3</v>
      </c>
      <c r="W331">
        <v>4</v>
      </c>
      <c r="X331">
        <v>4</v>
      </c>
      <c r="Y331">
        <v>4</v>
      </c>
      <c r="Z331">
        <v>4</v>
      </c>
      <c r="AA331">
        <v>4</v>
      </c>
      <c r="AB331">
        <v>6</v>
      </c>
      <c r="AC331">
        <v>5</v>
      </c>
      <c r="AD331">
        <v>4</v>
      </c>
      <c r="AE331">
        <v>3</v>
      </c>
      <c r="AF331">
        <v>3</v>
      </c>
      <c r="AG331">
        <v>4</v>
      </c>
      <c r="AH331">
        <v>5</v>
      </c>
      <c r="AI331">
        <v>4</v>
      </c>
      <c r="AJ331">
        <v>9</v>
      </c>
      <c r="AK331">
        <v>8</v>
      </c>
      <c r="AL331">
        <v>7</v>
      </c>
      <c r="AM331">
        <v>11</v>
      </c>
      <c r="AN331">
        <v>9</v>
      </c>
      <c r="AO331">
        <v>14</v>
      </c>
      <c r="AP331">
        <v>16</v>
      </c>
      <c r="AQ331">
        <v>15</v>
      </c>
      <c r="AR331">
        <v>15</v>
      </c>
      <c r="AS331">
        <v>15</v>
      </c>
      <c r="AT331">
        <v>15</v>
      </c>
      <c r="AU331">
        <v>13</v>
      </c>
      <c r="AV331">
        <v>13</v>
      </c>
      <c r="AW331">
        <v>10</v>
      </c>
      <c r="AX331">
        <v>9</v>
      </c>
      <c r="AY331">
        <v>9</v>
      </c>
      <c r="AZ331">
        <v>9</v>
      </c>
      <c r="BA331">
        <v>7</v>
      </c>
      <c r="BB331">
        <v>8</v>
      </c>
      <c r="BC331">
        <v>6</v>
      </c>
      <c r="BD331">
        <v>8</v>
      </c>
    </row>
  </sheetData>
  <autoFilter ref="A1:BD331" xr:uid="{00000000-0009-0000-0000-000012000000}"/>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1B3B4"/>
  </sheetPr>
  <dimension ref="A1:BC67"/>
  <sheetViews>
    <sheetView workbookViewId="0">
      <pane xSplit="3" ySplit="1" topLeftCell="D2" activePane="bottomRight" state="frozen"/>
      <selection pane="topRight"/>
      <selection pane="bottomLeft"/>
      <selection pane="bottomRight" activeCell="B2" sqref="B2"/>
    </sheetView>
  </sheetViews>
  <sheetFormatPr baseColWidth="10" defaultColWidth="9.140625" defaultRowHeight="15" x14ac:dyDescent="0.25"/>
  <cols>
    <col min="1" max="1" width="46" customWidth="1"/>
    <col min="2" max="3" width="11" customWidth="1"/>
    <col min="4" max="53" width="9" customWidth="1"/>
  </cols>
  <sheetData>
    <row r="1" spans="1:55" ht="30" customHeight="1" x14ac:dyDescent="0.25">
      <c r="A1" s="53" t="s">
        <v>69</v>
      </c>
      <c r="B1" s="53" t="s">
        <v>253</v>
      </c>
      <c r="C1" s="53" t="s">
        <v>258</v>
      </c>
      <c r="D1" s="53" t="s">
        <v>191</v>
      </c>
      <c r="E1" s="53" t="s">
        <v>193</v>
      </c>
      <c r="F1" s="53" t="s">
        <v>194</v>
      </c>
      <c r="G1" s="53" t="s">
        <v>195</v>
      </c>
      <c r="H1" s="53" t="s">
        <v>196</v>
      </c>
      <c r="I1" s="53" t="s">
        <v>197</v>
      </c>
      <c r="J1" s="53" t="s">
        <v>198</v>
      </c>
      <c r="K1" s="53" t="s">
        <v>199</v>
      </c>
      <c r="L1" s="53" t="s">
        <v>200</v>
      </c>
      <c r="M1" s="53" t="s">
        <v>201</v>
      </c>
      <c r="N1" s="53" t="s">
        <v>202</v>
      </c>
      <c r="O1" s="53" t="s">
        <v>203</v>
      </c>
      <c r="P1" s="53" t="s">
        <v>204</v>
      </c>
      <c r="Q1" s="53" t="s">
        <v>205</v>
      </c>
      <c r="R1" s="53" t="s">
        <v>206</v>
      </c>
      <c r="S1" s="53" t="s">
        <v>207</v>
      </c>
      <c r="T1" s="53" t="s">
        <v>208</v>
      </c>
      <c r="U1" s="53" t="s">
        <v>209</v>
      </c>
      <c r="V1" s="53" t="s">
        <v>210</v>
      </c>
      <c r="W1" s="53" t="s">
        <v>211</v>
      </c>
      <c r="X1" s="53" t="s">
        <v>212</v>
      </c>
      <c r="Y1" s="53" t="s">
        <v>213</v>
      </c>
      <c r="Z1" s="53" t="s">
        <v>214</v>
      </c>
      <c r="AA1" s="53" t="s">
        <v>215</v>
      </c>
      <c r="AB1" s="53" t="s">
        <v>216</v>
      </c>
      <c r="AC1" s="53" t="s">
        <v>217</v>
      </c>
      <c r="AD1" s="53" t="s">
        <v>218</v>
      </c>
      <c r="AE1" s="53" t="s">
        <v>219</v>
      </c>
      <c r="AF1" s="53" t="s">
        <v>220</v>
      </c>
      <c r="AG1" s="53" t="s">
        <v>221</v>
      </c>
      <c r="AH1" s="53" t="s">
        <v>104</v>
      </c>
      <c r="AI1" s="53" t="s">
        <v>222</v>
      </c>
      <c r="AJ1" s="53" t="s">
        <v>223</v>
      </c>
      <c r="AK1" s="53" t="s">
        <v>224</v>
      </c>
      <c r="AL1" s="53" t="s">
        <v>225</v>
      </c>
      <c r="AM1" s="53" t="s">
        <v>226</v>
      </c>
      <c r="AN1" s="53" t="s">
        <v>227</v>
      </c>
      <c r="AO1" s="53" t="s">
        <v>228</v>
      </c>
      <c r="AP1" s="53" t="s">
        <v>229</v>
      </c>
      <c r="AQ1" s="53" t="s">
        <v>230</v>
      </c>
      <c r="AR1" s="53" t="s">
        <v>231</v>
      </c>
      <c r="AS1" s="53" t="s">
        <v>232</v>
      </c>
      <c r="AT1" s="53" t="s">
        <v>233</v>
      </c>
      <c r="AU1" s="53" t="s">
        <v>234</v>
      </c>
      <c r="AV1" s="53" t="s">
        <v>235</v>
      </c>
      <c r="AW1" s="53" t="s">
        <v>236</v>
      </c>
      <c r="AX1" s="53" t="s">
        <v>237</v>
      </c>
      <c r="AY1" s="53" t="s">
        <v>238</v>
      </c>
      <c r="AZ1" s="53" t="s">
        <v>239</v>
      </c>
      <c r="BA1" s="53" t="s">
        <v>47</v>
      </c>
      <c r="BC1" s="2" t="s">
        <v>4574</v>
      </c>
    </row>
    <row r="2" spans="1:55" x14ac:dyDescent="0.25">
      <c r="A2" t="s">
        <v>45</v>
      </c>
      <c r="B2">
        <v>22933</v>
      </c>
      <c r="C2" s="54">
        <v>2.5817999999999999</v>
      </c>
      <c r="D2" s="54">
        <v>2.08</v>
      </c>
      <c r="E2" s="54">
        <v>2.35</v>
      </c>
      <c r="F2" s="54">
        <v>2.2799999999999998</v>
      </c>
      <c r="G2" s="54">
        <v>2.2400000000000002</v>
      </c>
      <c r="H2" s="54">
        <v>2.44</v>
      </c>
      <c r="I2" s="54">
        <v>2.4500000000000002</v>
      </c>
      <c r="J2" s="54">
        <v>2.39</v>
      </c>
      <c r="K2" s="54">
        <v>2.5</v>
      </c>
      <c r="L2" s="54">
        <v>2.4700000000000002</v>
      </c>
      <c r="M2" s="54">
        <v>2.4700000000000002</v>
      </c>
      <c r="N2" s="54">
        <v>2.4700000000000002</v>
      </c>
      <c r="O2" s="54">
        <v>2.4300000000000002</v>
      </c>
      <c r="P2" s="54">
        <v>2.41</v>
      </c>
      <c r="Q2" s="54">
        <v>2.41</v>
      </c>
      <c r="R2" s="54">
        <v>2.36</v>
      </c>
      <c r="S2" s="54">
        <v>2.37</v>
      </c>
      <c r="T2" s="54">
        <v>2.3199999999999998</v>
      </c>
      <c r="U2" s="54">
        <v>2.33</v>
      </c>
      <c r="V2" s="54">
        <v>2.31</v>
      </c>
      <c r="W2" s="54">
        <v>2.2799999999999998</v>
      </c>
      <c r="X2" s="54">
        <v>2.38</v>
      </c>
      <c r="Y2" s="54">
        <v>2.33</v>
      </c>
      <c r="Z2" s="54">
        <v>2.31</v>
      </c>
      <c r="AA2" s="54">
        <v>2.31</v>
      </c>
      <c r="AB2" s="54">
        <v>2.3199999999999998</v>
      </c>
      <c r="AC2" s="54">
        <v>2.38</v>
      </c>
      <c r="AD2" s="54">
        <v>2.48</v>
      </c>
      <c r="AE2" s="54">
        <v>2.4500000000000002</v>
      </c>
      <c r="AF2" s="54">
        <v>2.5099999999999998</v>
      </c>
      <c r="AG2" s="54">
        <v>2.52</v>
      </c>
      <c r="AH2" s="54">
        <v>2.46</v>
      </c>
      <c r="AI2" s="54">
        <v>2.35</v>
      </c>
      <c r="AJ2" s="54">
        <v>2.42</v>
      </c>
      <c r="AK2" s="54">
        <v>2.48</v>
      </c>
      <c r="AL2" s="54">
        <v>2.59</v>
      </c>
      <c r="AM2" s="54">
        <v>2.68</v>
      </c>
      <c r="AN2" s="54">
        <v>2.95</v>
      </c>
      <c r="AO2" s="54">
        <v>3.22</v>
      </c>
      <c r="AP2" s="54">
        <v>3</v>
      </c>
      <c r="AQ2" s="54">
        <v>3</v>
      </c>
      <c r="AR2" s="54">
        <v>3.11</v>
      </c>
      <c r="AS2" s="54">
        <v>3.14</v>
      </c>
      <c r="AT2" s="54">
        <v>3.02</v>
      </c>
      <c r="AU2" s="54">
        <v>3.04</v>
      </c>
      <c r="AV2" s="54">
        <v>3.09</v>
      </c>
      <c r="AW2" s="54">
        <v>3.03</v>
      </c>
      <c r="AX2" s="54">
        <v>2.99</v>
      </c>
      <c r="AY2" s="54">
        <v>2.99</v>
      </c>
      <c r="AZ2" s="54">
        <v>3.13</v>
      </c>
      <c r="BA2" s="54">
        <v>3.05</v>
      </c>
    </row>
    <row r="3" spans="1:55" x14ac:dyDescent="0.25">
      <c r="A3" t="s">
        <v>110</v>
      </c>
      <c r="B3">
        <v>5680</v>
      </c>
      <c r="C3" s="54">
        <v>2.8712</v>
      </c>
      <c r="D3" s="54">
        <v>2.37</v>
      </c>
      <c r="E3" s="54">
        <v>2.56</v>
      </c>
      <c r="F3" s="54">
        <v>2.52</v>
      </c>
      <c r="G3" s="54">
        <v>2.4</v>
      </c>
      <c r="H3" s="54">
        <v>2.68</v>
      </c>
      <c r="I3" s="54">
        <v>2.72</v>
      </c>
      <c r="J3" s="54">
        <v>2.65</v>
      </c>
      <c r="K3" s="54">
        <v>2.76</v>
      </c>
      <c r="L3" s="54">
        <v>2.68</v>
      </c>
      <c r="M3" s="54">
        <v>2.69</v>
      </c>
      <c r="N3" s="54">
        <v>2.67</v>
      </c>
      <c r="O3" s="54">
        <v>2.68</v>
      </c>
      <c r="P3" s="54">
        <v>2.63</v>
      </c>
      <c r="Q3" s="54">
        <v>2.67</v>
      </c>
      <c r="R3" s="54">
        <v>2.64</v>
      </c>
      <c r="S3" s="54">
        <v>2.62</v>
      </c>
      <c r="T3" s="54">
        <v>2.61</v>
      </c>
      <c r="U3" s="54">
        <v>2.58</v>
      </c>
      <c r="V3" s="54">
        <v>2.58</v>
      </c>
      <c r="W3" s="54">
        <v>2.57</v>
      </c>
      <c r="X3" s="54">
        <v>2.67</v>
      </c>
      <c r="Y3" s="54">
        <v>2.65</v>
      </c>
      <c r="Z3" s="54">
        <v>2.63</v>
      </c>
      <c r="AA3" s="54">
        <v>2.63</v>
      </c>
      <c r="AB3" s="54">
        <v>2.64</v>
      </c>
      <c r="AC3" s="54">
        <v>2.74</v>
      </c>
      <c r="AD3" s="54">
        <v>2.86</v>
      </c>
      <c r="AE3" s="54">
        <v>2.82</v>
      </c>
      <c r="AF3" s="54">
        <v>2.88</v>
      </c>
      <c r="AG3" s="54">
        <v>2.89</v>
      </c>
      <c r="AH3" s="54">
        <v>2.68</v>
      </c>
      <c r="AI3" s="54">
        <v>2.65</v>
      </c>
      <c r="AJ3" s="54">
        <v>2.7</v>
      </c>
      <c r="AK3" s="54">
        <v>2.75</v>
      </c>
      <c r="AL3" s="54">
        <v>2.85</v>
      </c>
      <c r="AM3" s="54">
        <v>2.87</v>
      </c>
      <c r="AN3" s="54">
        <v>3.1</v>
      </c>
      <c r="AO3" s="54">
        <v>3.46</v>
      </c>
      <c r="AP3" s="54">
        <v>3.3</v>
      </c>
      <c r="AQ3" s="54">
        <v>3.29</v>
      </c>
      <c r="AR3" s="54">
        <v>3.49</v>
      </c>
      <c r="AS3" s="54">
        <v>3.49</v>
      </c>
      <c r="AT3" s="54">
        <v>3.3719999999999999</v>
      </c>
      <c r="AU3" s="54">
        <v>3.44</v>
      </c>
      <c r="AV3" s="54">
        <v>3.48</v>
      </c>
      <c r="AW3" s="54">
        <v>3.37</v>
      </c>
      <c r="AX3" s="54">
        <v>3.36</v>
      </c>
      <c r="AY3" s="54">
        <v>3.37</v>
      </c>
      <c r="AZ3" s="54">
        <v>3.46</v>
      </c>
      <c r="BA3" s="54">
        <v>3.39</v>
      </c>
    </row>
    <row r="4" spans="1:55" x14ac:dyDescent="0.25">
      <c r="A4" t="s">
        <v>111</v>
      </c>
      <c r="B4">
        <v>64</v>
      </c>
      <c r="C4" s="54">
        <v>2.7780999999999998</v>
      </c>
      <c r="D4" s="54">
        <v>2.12</v>
      </c>
      <c r="E4" s="54">
        <v>2.54</v>
      </c>
      <c r="F4" s="54">
        <v>2.5299999999999998</v>
      </c>
      <c r="G4" s="54">
        <v>2.2599999999999998</v>
      </c>
      <c r="H4" s="54">
        <v>2.63</v>
      </c>
      <c r="I4" s="54">
        <v>2.6</v>
      </c>
      <c r="J4" s="54">
        <v>2.4</v>
      </c>
      <c r="K4" s="54">
        <v>2.76</v>
      </c>
      <c r="L4" s="54">
        <v>2.73</v>
      </c>
      <c r="M4" s="54">
        <v>2.62</v>
      </c>
      <c r="N4" s="54">
        <v>2.41</v>
      </c>
      <c r="O4" s="54">
        <v>2.61</v>
      </c>
      <c r="P4" s="54">
        <v>2.6</v>
      </c>
      <c r="Q4" s="54">
        <v>2.5299999999999998</v>
      </c>
      <c r="R4" s="54">
        <v>2.65</v>
      </c>
      <c r="S4" s="54">
        <v>2.6</v>
      </c>
      <c r="T4" s="54">
        <v>2.4700000000000002</v>
      </c>
      <c r="U4" s="54">
        <v>2.4900000000000002</v>
      </c>
      <c r="V4" s="54">
        <v>2.52</v>
      </c>
      <c r="W4" s="54">
        <v>2.56</v>
      </c>
      <c r="X4" s="54">
        <v>2.62</v>
      </c>
      <c r="Y4" s="54">
        <v>2.44</v>
      </c>
      <c r="Z4" s="54">
        <v>2.3199999999999998</v>
      </c>
      <c r="AA4" s="54">
        <v>2.54</v>
      </c>
      <c r="AB4" s="54">
        <v>2.5499999999999998</v>
      </c>
      <c r="AC4" s="54">
        <v>2.41</v>
      </c>
      <c r="AD4" s="54">
        <v>2.72</v>
      </c>
      <c r="AE4" s="54">
        <v>2.67</v>
      </c>
      <c r="AF4" s="54">
        <v>2.94</v>
      </c>
      <c r="AG4" s="54">
        <v>2.61</v>
      </c>
      <c r="AH4" s="54">
        <v>2.35</v>
      </c>
      <c r="AI4" s="54">
        <v>2.5299999999999998</v>
      </c>
      <c r="AJ4" s="54">
        <v>2.72</v>
      </c>
      <c r="AK4" s="54">
        <v>2.63</v>
      </c>
      <c r="AL4" s="54">
        <v>2.95</v>
      </c>
      <c r="AM4" s="54">
        <v>2.8</v>
      </c>
      <c r="AN4" s="54">
        <v>2.99</v>
      </c>
      <c r="AO4" s="54">
        <v>3.29</v>
      </c>
      <c r="AP4" s="54">
        <v>3.28</v>
      </c>
      <c r="AQ4" s="54">
        <v>3.5</v>
      </c>
      <c r="AR4" s="54">
        <v>3.52</v>
      </c>
      <c r="AS4" s="54">
        <v>3.67</v>
      </c>
      <c r="AT4" s="54">
        <v>3.4239999999999999</v>
      </c>
      <c r="AU4" s="54">
        <v>3.35</v>
      </c>
      <c r="AV4" s="54">
        <v>3.21</v>
      </c>
      <c r="AW4" s="54">
        <v>3.1</v>
      </c>
      <c r="AX4" s="54">
        <v>3.31</v>
      </c>
      <c r="AY4" s="54">
        <v>3.36</v>
      </c>
      <c r="AZ4" s="54">
        <v>3.12</v>
      </c>
      <c r="BA4" s="54">
        <v>3.35</v>
      </c>
    </row>
    <row r="5" spans="1:55" x14ac:dyDescent="0.25">
      <c r="A5" t="s">
        <v>112</v>
      </c>
      <c r="B5">
        <v>221</v>
      </c>
      <c r="C5" s="54">
        <v>2.7778</v>
      </c>
      <c r="D5" s="54">
        <v>2.15</v>
      </c>
      <c r="E5" s="54">
        <v>2.34</v>
      </c>
      <c r="F5" s="54">
        <v>2.33</v>
      </c>
      <c r="G5" s="54">
        <v>2.12</v>
      </c>
      <c r="H5" s="54">
        <v>2.38</v>
      </c>
      <c r="I5" s="54">
        <v>2.52</v>
      </c>
      <c r="J5" s="54">
        <v>2.46</v>
      </c>
      <c r="K5" s="54">
        <v>2.4900000000000002</v>
      </c>
      <c r="L5" s="54">
        <v>2.41</v>
      </c>
      <c r="M5" s="54">
        <v>2.5299999999999998</v>
      </c>
      <c r="N5" s="54">
        <v>2.58</v>
      </c>
      <c r="O5" s="54">
        <v>2.61</v>
      </c>
      <c r="P5" s="54">
        <v>2.48</v>
      </c>
      <c r="Q5" s="54">
        <v>2.52</v>
      </c>
      <c r="R5" s="54">
        <v>2.54</v>
      </c>
      <c r="S5" s="54">
        <v>2.58</v>
      </c>
      <c r="T5" s="54">
        <v>2.5499999999999998</v>
      </c>
      <c r="U5" s="54">
        <v>2.46</v>
      </c>
      <c r="V5" s="54">
        <v>2.46</v>
      </c>
      <c r="W5" s="54">
        <v>2.52</v>
      </c>
      <c r="X5" s="54">
        <v>2.64</v>
      </c>
      <c r="Y5" s="54">
        <v>2.75</v>
      </c>
      <c r="Z5" s="54">
        <v>2.63</v>
      </c>
      <c r="AA5" s="54">
        <v>2.57</v>
      </c>
      <c r="AB5" s="54">
        <v>2.56</v>
      </c>
      <c r="AC5" s="54">
        <v>2.84</v>
      </c>
      <c r="AD5" s="54">
        <v>2.78</v>
      </c>
      <c r="AE5" s="54">
        <v>2.76</v>
      </c>
      <c r="AF5" s="54">
        <v>2.77</v>
      </c>
      <c r="AG5" s="54">
        <v>2.71</v>
      </c>
      <c r="AH5" s="54">
        <v>2.65</v>
      </c>
      <c r="AI5" s="54">
        <v>2.6</v>
      </c>
      <c r="AJ5" s="54">
        <v>2.69</v>
      </c>
      <c r="AK5" s="54">
        <v>2.84</v>
      </c>
      <c r="AL5" s="54">
        <v>2.95</v>
      </c>
      <c r="AM5" s="54">
        <v>2.92</v>
      </c>
      <c r="AN5" s="54">
        <v>3.06</v>
      </c>
      <c r="AO5" s="54">
        <v>3.47</v>
      </c>
      <c r="AP5" s="54">
        <v>3.37</v>
      </c>
      <c r="AQ5" s="54">
        <v>3.32</v>
      </c>
      <c r="AR5" s="54">
        <v>3.35</v>
      </c>
      <c r="AS5" s="54">
        <v>3.35</v>
      </c>
      <c r="AT5" s="54">
        <v>3.1709999999999998</v>
      </c>
      <c r="AU5" s="54">
        <v>3.24</v>
      </c>
      <c r="AV5" s="54">
        <v>3.44</v>
      </c>
      <c r="AW5" s="54">
        <v>3.28</v>
      </c>
      <c r="AX5" s="54">
        <v>3.31</v>
      </c>
      <c r="AY5" s="54">
        <v>3.18</v>
      </c>
      <c r="AZ5" s="54">
        <v>3.23</v>
      </c>
      <c r="BA5" s="54">
        <v>3.43</v>
      </c>
    </row>
    <row r="6" spans="1:55" x14ac:dyDescent="0.25">
      <c r="A6" t="s">
        <v>113</v>
      </c>
      <c r="B6">
        <v>106</v>
      </c>
      <c r="C6" s="54">
        <v>2.8226</v>
      </c>
      <c r="D6" s="54">
        <v>2.0299999999999998</v>
      </c>
      <c r="E6" s="54">
        <v>2.38</v>
      </c>
      <c r="F6" s="54">
        <v>2.48</v>
      </c>
      <c r="G6" s="54">
        <v>2.41</v>
      </c>
      <c r="H6" s="54">
        <v>2.57</v>
      </c>
      <c r="I6" s="54">
        <v>2.61</v>
      </c>
      <c r="J6" s="54">
        <v>2.54</v>
      </c>
      <c r="K6" s="54">
        <v>2.66</v>
      </c>
      <c r="L6" s="54">
        <v>2.5499999999999998</v>
      </c>
      <c r="M6" s="54">
        <v>2.4900000000000002</v>
      </c>
      <c r="N6" s="54">
        <v>2.67</v>
      </c>
      <c r="O6" s="54">
        <v>2.6</v>
      </c>
      <c r="P6" s="54">
        <v>2.58</v>
      </c>
      <c r="Q6" s="54">
        <v>2.75</v>
      </c>
      <c r="R6" s="54">
        <v>2.44</v>
      </c>
      <c r="S6" s="54">
        <v>2.61</v>
      </c>
      <c r="T6" s="54">
        <v>2.67</v>
      </c>
      <c r="U6" s="54">
        <v>2.46</v>
      </c>
      <c r="V6" s="54">
        <v>2.6</v>
      </c>
      <c r="W6" s="54">
        <v>2.46</v>
      </c>
      <c r="X6" s="54">
        <v>2.5499999999999998</v>
      </c>
      <c r="Y6" s="54">
        <v>2.58</v>
      </c>
      <c r="Z6" s="54">
        <v>2.52</v>
      </c>
      <c r="AA6" s="54">
        <v>2.77</v>
      </c>
      <c r="AB6" s="54">
        <v>2.63</v>
      </c>
      <c r="AC6" s="54">
        <v>2.71</v>
      </c>
      <c r="AD6" s="54">
        <v>2.81</v>
      </c>
      <c r="AE6" s="54">
        <v>2.83</v>
      </c>
      <c r="AF6" s="54">
        <v>2.73</v>
      </c>
      <c r="AG6" s="54">
        <v>2.96</v>
      </c>
      <c r="AH6" s="54">
        <v>2.37</v>
      </c>
      <c r="AI6" s="54">
        <v>2.72</v>
      </c>
      <c r="AJ6" s="54">
        <v>2.73</v>
      </c>
      <c r="AK6" s="54">
        <v>2.67</v>
      </c>
      <c r="AL6" s="54">
        <v>2.86</v>
      </c>
      <c r="AM6" s="54">
        <v>3</v>
      </c>
      <c r="AN6" s="54">
        <v>3.17</v>
      </c>
      <c r="AO6" s="54">
        <v>3.41</v>
      </c>
      <c r="AP6" s="54">
        <v>3.27</v>
      </c>
      <c r="AQ6" s="54">
        <v>3.32</v>
      </c>
      <c r="AR6" s="54">
        <v>3.51</v>
      </c>
      <c r="AS6" s="54">
        <v>3.52</v>
      </c>
      <c r="AT6" s="54">
        <v>3.4390000000000001</v>
      </c>
      <c r="AU6" s="54">
        <v>3.51</v>
      </c>
      <c r="AV6" s="54">
        <v>3.38</v>
      </c>
      <c r="AW6" s="54">
        <v>3.35</v>
      </c>
      <c r="AX6" s="54">
        <v>3.23</v>
      </c>
      <c r="AY6" s="54">
        <v>3.19</v>
      </c>
      <c r="AZ6" s="54">
        <v>3.36</v>
      </c>
      <c r="BA6" s="54">
        <v>3.47</v>
      </c>
    </row>
    <row r="7" spans="1:55" x14ac:dyDescent="0.25">
      <c r="A7" t="s">
        <v>114</v>
      </c>
      <c r="B7">
        <v>222</v>
      </c>
      <c r="C7" s="54">
        <v>2.9306999999999999</v>
      </c>
      <c r="D7" s="54">
        <v>2.4500000000000002</v>
      </c>
      <c r="E7" s="54">
        <v>2.59</v>
      </c>
      <c r="F7" s="54">
        <v>2.54</v>
      </c>
      <c r="G7" s="54">
        <v>2.4</v>
      </c>
      <c r="H7" s="54">
        <v>2.77</v>
      </c>
      <c r="I7" s="54">
        <v>2.87</v>
      </c>
      <c r="J7" s="54">
        <v>2.74</v>
      </c>
      <c r="K7" s="54">
        <v>2.75</v>
      </c>
      <c r="L7" s="54">
        <v>2.73</v>
      </c>
      <c r="M7" s="54">
        <v>2.77</v>
      </c>
      <c r="N7" s="54">
        <v>2.64</v>
      </c>
      <c r="O7" s="54">
        <v>2.63</v>
      </c>
      <c r="P7" s="54">
        <v>2.65</v>
      </c>
      <c r="Q7" s="54">
        <v>2.75</v>
      </c>
      <c r="R7" s="54">
        <v>2.71</v>
      </c>
      <c r="S7" s="54">
        <v>2.7</v>
      </c>
      <c r="T7" s="54">
        <v>2.73</v>
      </c>
      <c r="U7" s="54">
        <v>2.65</v>
      </c>
      <c r="V7" s="54">
        <v>2.61</v>
      </c>
      <c r="W7" s="54">
        <v>2.65</v>
      </c>
      <c r="X7" s="54">
        <v>2.78</v>
      </c>
      <c r="Y7" s="54">
        <v>2.77</v>
      </c>
      <c r="Z7" s="54">
        <v>2.66</v>
      </c>
      <c r="AA7" s="54">
        <v>2.6</v>
      </c>
      <c r="AB7" s="54">
        <v>2.57</v>
      </c>
      <c r="AC7" s="54">
        <v>2.75</v>
      </c>
      <c r="AD7" s="54">
        <v>2.92</v>
      </c>
      <c r="AE7" s="54">
        <v>2.95</v>
      </c>
      <c r="AF7" s="54">
        <v>2.94</v>
      </c>
      <c r="AG7" s="54">
        <v>2.87</v>
      </c>
      <c r="AH7" s="54">
        <v>2.82</v>
      </c>
      <c r="AI7" s="54">
        <v>2.77</v>
      </c>
      <c r="AJ7" s="54">
        <v>2.84</v>
      </c>
      <c r="AK7" s="54">
        <v>2.85</v>
      </c>
      <c r="AL7" s="54">
        <v>2.93</v>
      </c>
      <c r="AM7" s="54">
        <v>3.02</v>
      </c>
      <c r="AN7" s="54">
        <v>3.38</v>
      </c>
      <c r="AO7" s="54">
        <v>3.67</v>
      </c>
      <c r="AP7" s="54">
        <v>3.4</v>
      </c>
      <c r="AQ7" s="54">
        <v>3.4</v>
      </c>
      <c r="AR7" s="54">
        <v>3.56</v>
      </c>
      <c r="AS7" s="54">
        <v>3.5</v>
      </c>
      <c r="AT7" s="54">
        <v>3.327</v>
      </c>
      <c r="AU7" s="54">
        <v>3.45</v>
      </c>
      <c r="AV7" s="54">
        <v>3.4</v>
      </c>
      <c r="AW7" s="54">
        <v>3.48</v>
      </c>
      <c r="AX7" s="54">
        <v>3.38</v>
      </c>
      <c r="AY7" s="54">
        <v>3.37</v>
      </c>
      <c r="AZ7" s="54">
        <v>3.53</v>
      </c>
      <c r="BA7" s="54">
        <v>3.32</v>
      </c>
    </row>
    <row r="8" spans="1:55" x14ac:dyDescent="0.25">
      <c r="A8" t="s">
        <v>115</v>
      </c>
      <c r="B8">
        <v>139</v>
      </c>
      <c r="C8" s="54">
        <v>2.948</v>
      </c>
      <c r="D8" s="54">
        <v>2.52</v>
      </c>
      <c r="E8" s="54">
        <v>2.58</v>
      </c>
      <c r="F8" s="54">
        <v>2.62</v>
      </c>
      <c r="G8" s="54">
        <v>2.4500000000000002</v>
      </c>
      <c r="H8" s="54">
        <v>2.7</v>
      </c>
      <c r="I8" s="54">
        <v>2.85</v>
      </c>
      <c r="J8" s="54">
        <v>2.74</v>
      </c>
      <c r="K8" s="54">
        <v>2.8</v>
      </c>
      <c r="L8" s="54">
        <v>2.78</v>
      </c>
      <c r="M8" s="54">
        <v>2.71</v>
      </c>
      <c r="N8" s="54">
        <v>2.63</v>
      </c>
      <c r="O8" s="54">
        <v>2.75</v>
      </c>
      <c r="P8" s="54">
        <v>2.72</v>
      </c>
      <c r="Q8" s="54">
        <v>2.78</v>
      </c>
      <c r="R8" s="54">
        <v>2.7</v>
      </c>
      <c r="S8" s="54">
        <v>2.69</v>
      </c>
      <c r="T8" s="54">
        <v>2.66</v>
      </c>
      <c r="U8" s="54">
        <v>2.71</v>
      </c>
      <c r="V8" s="54">
        <v>2.58</v>
      </c>
      <c r="W8" s="54">
        <v>2.73</v>
      </c>
      <c r="X8" s="54">
        <v>2.8</v>
      </c>
      <c r="Y8" s="54">
        <v>2.82</v>
      </c>
      <c r="Z8" s="54">
        <v>2.67</v>
      </c>
      <c r="AA8" s="54">
        <v>2.59</v>
      </c>
      <c r="AB8" s="54">
        <v>2.54</v>
      </c>
      <c r="AC8" s="54">
        <v>2.79</v>
      </c>
      <c r="AD8" s="54">
        <v>2.98</v>
      </c>
      <c r="AE8" s="54">
        <v>2.97</v>
      </c>
      <c r="AF8" s="54">
        <v>2.92</v>
      </c>
      <c r="AG8" s="54">
        <v>2.89</v>
      </c>
      <c r="AH8" s="54">
        <v>2.8</v>
      </c>
      <c r="AI8" s="54">
        <v>2.79</v>
      </c>
      <c r="AJ8" s="54">
        <v>2.85</v>
      </c>
      <c r="AK8" s="54">
        <v>2.92</v>
      </c>
      <c r="AL8" s="54">
        <v>2.92</v>
      </c>
      <c r="AM8" s="54">
        <v>3.06</v>
      </c>
      <c r="AN8" s="54">
        <v>3.3</v>
      </c>
      <c r="AO8" s="54">
        <v>3.62</v>
      </c>
      <c r="AP8" s="54">
        <v>3.35</v>
      </c>
      <c r="AQ8" s="54">
        <v>3.39</v>
      </c>
      <c r="AR8" s="54">
        <v>3.59</v>
      </c>
      <c r="AS8" s="54">
        <v>3.43</v>
      </c>
      <c r="AT8" s="54">
        <v>3.3820000000000001</v>
      </c>
      <c r="AU8" s="54">
        <v>3.41</v>
      </c>
      <c r="AV8" s="54">
        <v>3.37</v>
      </c>
      <c r="AW8" s="54">
        <v>3.6</v>
      </c>
      <c r="AX8" s="54">
        <v>3.55</v>
      </c>
      <c r="AY8" s="54">
        <v>3.43</v>
      </c>
      <c r="AZ8" s="54">
        <v>3.64</v>
      </c>
      <c r="BA8" s="54">
        <v>3.33</v>
      </c>
    </row>
    <row r="9" spans="1:55" x14ac:dyDescent="0.25">
      <c r="A9" t="s">
        <v>116</v>
      </c>
      <c r="B9">
        <v>151</v>
      </c>
      <c r="C9" s="54">
        <v>2.7656000000000001</v>
      </c>
      <c r="D9" s="54">
        <v>2.37</v>
      </c>
      <c r="E9" s="54">
        <v>2.5299999999999998</v>
      </c>
      <c r="F9" s="54">
        <v>2.5</v>
      </c>
      <c r="G9" s="54">
        <v>2.39</v>
      </c>
      <c r="H9" s="54">
        <v>2.61</v>
      </c>
      <c r="I9" s="54">
        <v>2.59</v>
      </c>
      <c r="J9" s="54">
        <v>2.69</v>
      </c>
      <c r="K9" s="54">
        <v>2.85</v>
      </c>
      <c r="L9" s="54">
        <v>2.72</v>
      </c>
      <c r="M9" s="54">
        <v>2.6</v>
      </c>
      <c r="N9" s="54">
        <v>2.69</v>
      </c>
      <c r="O9" s="54">
        <v>2.63</v>
      </c>
      <c r="P9" s="54">
        <v>2.4900000000000002</v>
      </c>
      <c r="Q9" s="54">
        <v>2.74</v>
      </c>
      <c r="R9" s="54">
        <v>2.67</v>
      </c>
      <c r="S9" s="54">
        <v>2.61</v>
      </c>
      <c r="T9" s="54">
        <v>2.39</v>
      </c>
      <c r="U9" s="54">
        <v>2.4500000000000002</v>
      </c>
      <c r="V9" s="54">
        <v>2.42</v>
      </c>
      <c r="W9" s="54">
        <v>2.4</v>
      </c>
      <c r="X9" s="54">
        <v>2.5</v>
      </c>
      <c r="Y9" s="54">
        <v>2.44</v>
      </c>
      <c r="Z9" s="54">
        <v>2.5299999999999998</v>
      </c>
      <c r="AA9" s="54">
        <v>2.52</v>
      </c>
      <c r="AB9" s="54">
        <v>2.39</v>
      </c>
      <c r="AC9" s="54">
        <v>2.52</v>
      </c>
      <c r="AD9" s="54">
        <v>2.77</v>
      </c>
      <c r="AE9" s="54">
        <v>2.64</v>
      </c>
      <c r="AF9" s="54">
        <v>2.56</v>
      </c>
      <c r="AG9" s="54">
        <v>2.76</v>
      </c>
      <c r="AH9" s="54">
        <v>2.48</v>
      </c>
      <c r="AI9" s="54">
        <v>2.2999999999999998</v>
      </c>
      <c r="AJ9" s="54">
        <v>2.52</v>
      </c>
      <c r="AK9" s="54">
        <v>2.37</v>
      </c>
      <c r="AL9" s="54">
        <v>2.79</v>
      </c>
      <c r="AM9" s="54">
        <v>2.63</v>
      </c>
      <c r="AN9" s="54">
        <v>2.96</v>
      </c>
      <c r="AO9" s="54">
        <v>3.47</v>
      </c>
      <c r="AP9" s="54">
        <v>3.11</v>
      </c>
      <c r="AQ9" s="54">
        <v>3.33</v>
      </c>
      <c r="AR9" s="54">
        <v>3.45</v>
      </c>
      <c r="AS9" s="54">
        <v>3.33</v>
      </c>
      <c r="AT9" s="54">
        <v>3.2879999999999998</v>
      </c>
      <c r="AU9" s="54">
        <v>3.39</v>
      </c>
      <c r="AV9" s="54">
        <v>3.4</v>
      </c>
      <c r="AW9" s="54">
        <v>3.32</v>
      </c>
      <c r="AX9" s="54">
        <v>3.32</v>
      </c>
      <c r="AY9" s="54">
        <v>3.23</v>
      </c>
      <c r="AZ9" s="54">
        <v>3.3</v>
      </c>
      <c r="BA9" s="54">
        <v>3.32</v>
      </c>
    </row>
    <row r="10" spans="1:55" x14ac:dyDescent="0.25">
      <c r="A10" t="s">
        <v>117</v>
      </c>
      <c r="B10">
        <v>135</v>
      </c>
      <c r="C10" s="54">
        <v>2.9175</v>
      </c>
      <c r="D10" s="54">
        <v>2.38</v>
      </c>
      <c r="E10" s="54">
        <v>2.54</v>
      </c>
      <c r="F10" s="54">
        <v>2.38</v>
      </c>
      <c r="G10" s="54">
        <v>2.29</v>
      </c>
      <c r="H10" s="54">
        <v>2.62</v>
      </c>
      <c r="I10" s="54">
        <v>2.68</v>
      </c>
      <c r="J10" s="54">
        <v>2.61</v>
      </c>
      <c r="K10" s="54">
        <v>2.77</v>
      </c>
      <c r="L10" s="54">
        <v>2.66</v>
      </c>
      <c r="M10" s="54">
        <v>2.76</v>
      </c>
      <c r="N10" s="54">
        <v>2.66</v>
      </c>
      <c r="O10" s="54">
        <v>2.65</v>
      </c>
      <c r="P10" s="54">
        <v>2.67</v>
      </c>
      <c r="Q10" s="54">
        <v>2.78</v>
      </c>
      <c r="R10" s="54">
        <v>2.64</v>
      </c>
      <c r="S10" s="54">
        <v>2.52</v>
      </c>
      <c r="T10" s="54">
        <v>2.65</v>
      </c>
      <c r="U10" s="54">
        <v>2.5099999999999998</v>
      </c>
      <c r="V10" s="54">
        <v>2.7</v>
      </c>
      <c r="W10" s="54">
        <v>2.7</v>
      </c>
      <c r="X10" s="54">
        <v>2.63</v>
      </c>
      <c r="Y10" s="54">
        <v>2.66</v>
      </c>
      <c r="Z10" s="54">
        <v>2.8</v>
      </c>
      <c r="AA10" s="54">
        <v>2.65</v>
      </c>
      <c r="AB10" s="54">
        <v>2.68</v>
      </c>
      <c r="AC10" s="54">
        <v>2.81</v>
      </c>
      <c r="AD10" s="54">
        <v>3.03</v>
      </c>
      <c r="AE10" s="54">
        <v>2.9</v>
      </c>
      <c r="AF10" s="54">
        <v>2.93</v>
      </c>
      <c r="AG10" s="54">
        <v>2.96</v>
      </c>
      <c r="AH10" s="54">
        <v>2.64</v>
      </c>
      <c r="AI10" s="54">
        <v>2.66</v>
      </c>
      <c r="AJ10" s="54">
        <v>2.7</v>
      </c>
      <c r="AK10" s="54">
        <v>2.74</v>
      </c>
      <c r="AL10" s="54">
        <v>2.76</v>
      </c>
      <c r="AM10" s="54">
        <v>2.68</v>
      </c>
      <c r="AN10" s="54">
        <v>3.13</v>
      </c>
      <c r="AO10" s="54">
        <v>3.55</v>
      </c>
      <c r="AP10" s="54">
        <v>3.37</v>
      </c>
      <c r="AQ10" s="54">
        <v>3.37</v>
      </c>
      <c r="AR10" s="54">
        <v>3.51</v>
      </c>
      <c r="AS10" s="54">
        <v>3.64</v>
      </c>
      <c r="AT10" s="54">
        <v>3.4550000000000001</v>
      </c>
      <c r="AU10" s="54">
        <v>3.56</v>
      </c>
      <c r="AV10" s="54">
        <v>3.69</v>
      </c>
      <c r="AW10" s="54">
        <v>3.64</v>
      </c>
      <c r="AX10" s="54">
        <v>3.53</v>
      </c>
      <c r="AY10" s="54">
        <v>3.61</v>
      </c>
      <c r="AZ10" s="54">
        <v>3.74</v>
      </c>
      <c r="BA10" s="54">
        <v>3.68</v>
      </c>
    </row>
    <row r="11" spans="1:55" x14ac:dyDescent="0.25">
      <c r="A11" t="s">
        <v>118</v>
      </c>
      <c r="B11">
        <v>141</v>
      </c>
      <c r="C11" s="54">
        <v>2.6503999999999999</v>
      </c>
      <c r="D11" s="54">
        <v>2.1</v>
      </c>
      <c r="E11" s="54">
        <v>2.4500000000000002</v>
      </c>
      <c r="F11" s="54">
        <v>2.2799999999999998</v>
      </c>
      <c r="G11" s="54">
        <v>2.19</v>
      </c>
      <c r="H11" s="54">
        <v>2.37</v>
      </c>
      <c r="I11" s="54">
        <v>2.5099999999999998</v>
      </c>
      <c r="J11" s="54">
        <v>2.42</v>
      </c>
      <c r="K11" s="54">
        <v>2.5499999999999998</v>
      </c>
      <c r="L11" s="54">
        <v>2.4300000000000002</v>
      </c>
      <c r="M11" s="54">
        <v>2.42</v>
      </c>
      <c r="N11" s="54">
        <v>2.44</v>
      </c>
      <c r="O11" s="54">
        <v>2.42</v>
      </c>
      <c r="P11" s="54">
        <v>2.54</v>
      </c>
      <c r="Q11" s="54">
        <v>2.4900000000000002</v>
      </c>
      <c r="R11" s="54">
        <v>2.5</v>
      </c>
      <c r="S11" s="54">
        <v>2.4500000000000002</v>
      </c>
      <c r="T11" s="54">
        <v>2.35</v>
      </c>
      <c r="U11" s="54">
        <v>2.3199999999999998</v>
      </c>
      <c r="V11" s="54">
        <v>2.2400000000000002</v>
      </c>
      <c r="W11" s="54">
        <v>2.37</v>
      </c>
      <c r="X11" s="54">
        <v>2.5</v>
      </c>
      <c r="Y11" s="54">
        <v>2.4</v>
      </c>
      <c r="Z11" s="54">
        <v>2.36</v>
      </c>
      <c r="AA11" s="54">
        <v>2.52</v>
      </c>
      <c r="AB11" s="54">
        <v>2.58</v>
      </c>
      <c r="AC11" s="54">
        <v>2.4900000000000002</v>
      </c>
      <c r="AD11" s="54">
        <v>2.72</v>
      </c>
      <c r="AE11" s="54">
        <v>2.54</v>
      </c>
      <c r="AF11" s="54">
        <v>2.57</v>
      </c>
      <c r="AG11" s="54">
        <v>2.5299999999999998</v>
      </c>
      <c r="AH11" s="54">
        <v>2.54</v>
      </c>
      <c r="AI11" s="54">
        <v>2.4300000000000002</v>
      </c>
      <c r="AJ11" s="54">
        <v>2.42</v>
      </c>
      <c r="AK11" s="54">
        <v>2.59</v>
      </c>
      <c r="AL11" s="54">
        <v>2.72</v>
      </c>
      <c r="AM11" s="54">
        <v>2.71</v>
      </c>
      <c r="AN11" s="54">
        <v>2.79</v>
      </c>
      <c r="AO11" s="54">
        <v>3.21</v>
      </c>
      <c r="AP11" s="54">
        <v>3.11</v>
      </c>
      <c r="AQ11" s="54">
        <v>3.17</v>
      </c>
      <c r="AR11" s="54">
        <v>3.18</v>
      </c>
      <c r="AS11" s="54">
        <v>3.27</v>
      </c>
      <c r="AT11" s="54">
        <v>3.23</v>
      </c>
      <c r="AU11" s="54">
        <v>3.03</v>
      </c>
      <c r="AV11" s="54">
        <v>3.17</v>
      </c>
      <c r="AW11" s="54">
        <v>3.1</v>
      </c>
      <c r="AX11" s="54">
        <v>3.09</v>
      </c>
      <c r="AY11" s="54">
        <v>3.18</v>
      </c>
      <c r="AZ11" s="54">
        <v>3.3</v>
      </c>
      <c r="BA11" s="54">
        <v>3.23</v>
      </c>
    </row>
    <row r="12" spans="1:55" x14ac:dyDescent="0.25">
      <c r="A12" t="s">
        <v>119</v>
      </c>
      <c r="B12">
        <v>231</v>
      </c>
      <c r="C12" s="54">
        <v>2.8464</v>
      </c>
      <c r="D12" s="54">
        <v>2.46</v>
      </c>
      <c r="E12" s="54">
        <v>2.54</v>
      </c>
      <c r="F12" s="54">
        <v>2.37</v>
      </c>
      <c r="G12" s="54">
        <v>2.2799999999999998</v>
      </c>
      <c r="H12" s="54">
        <v>2.58</v>
      </c>
      <c r="I12" s="54">
        <v>2.69</v>
      </c>
      <c r="J12" s="54">
        <v>2.57</v>
      </c>
      <c r="K12" s="54">
        <v>2.76</v>
      </c>
      <c r="L12" s="54">
        <v>2.6</v>
      </c>
      <c r="M12" s="54">
        <v>2.63</v>
      </c>
      <c r="N12" s="54">
        <v>2.75</v>
      </c>
      <c r="O12" s="54">
        <v>2.65</v>
      </c>
      <c r="P12" s="54">
        <v>2.72</v>
      </c>
      <c r="Q12" s="54">
        <v>2.7</v>
      </c>
      <c r="R12" s="54">
        <v>2.58</v>
      </c>
      <c r="S12" s="54">
        <v>2.63</v>
      </c>
      <c r="T12" s="54">
        <v>2.62</v>
      </c>
      <c r="U12" s="54">
        <v>2.61</v>
      </c>
      <c r="V12" s="54">
        <v>2.4900000000000002</v>
      </c>
      <c r="W12" s="54">
        <v>2.58</v>
      </c>
      <c r="X12" s="54">
        <v>2.68</v>
      </c>
      <c r="Y12" s="54">
        <v>2.6</v>
      </c>
      <c r="Z12" s="54">
        <v>2.71</v>
      </c>
      <c r="AA12" s="54">
        <v>2.6</v>
      </c>
      <c r="AB12" s="54">
        <v>2.61</v>
      </c>
      <c r="AC12" s="54">
        <v>2.86</v>
      </c>
      <c r="AD12" s="54">
        <v>2.79</v>
      </c>
      <c r="AE12" s="54">
        <v>2.84</v>
      </c>
      <c r="AF12" s="54">
        <v>2.95</v>
      </c>
      <c r="AG12" s="54">
        <v>2.83</v>
      </c>
      <c r="AH12" s="54">
        <v>2.7</v>
      </c>
      <c r="AI12" s="54">
        <v>2.69</v>
      </c>
      <c r="AJ12" s="54">
        <v>2.71</v>
      </c>
      <c r="AK12" s="54">
        <v>2.67</v>
      </c>
      <c r="AL12" s="54">
        <v>2.69</v>
      </c>
      <c r="AM12" s="54">
        <v>2.7</v>
      </c>
      <c r="AN12" s="54">
        <v>3.04</v>
      </c>
      <c r="AO12" s="54">
        <v>3.46</v>
      </c>
      <c r="AP12" s="54">
        <v>3.45</v>
      </c>
      <c r="AQ12" s="54">
        <v>3.29</v>
      </c>
      <c r="AR12" s="54">
        <v>3.48</v>
      </c>
      <c r="AS12" s="54">
        <v>3.34</v>
      </c>
      <c r="AT12" s="54">
        <v>3.3279999999999998</v>
      </c>
      <c r="AU12" s="54">
        <v>3.37</v>
      </c>
      <c r="AV12" s="54">
        <v>3.37</v>
      </c>
      <c r="AW12" s="54">
        <v>3.47</v>
      </c>
      <c r="AX12" s="54">
        <v>3.27</v>
      </c>
      <c r="AY12" s="54">
        <v>3.39</v>
      </c>
      <c r="AZ12" s="54">
        <v>3.34</v>
      </c>
      <c r="BA12" s="54">
        <v>3.28</v>
      </c>
    </row>
    <row r="13" spans="1:55" x14ac:dyDescent="0.25">
      <c r="A13" t="s">
        <v>120</v>
      </c>
      <c r="B13">
        <v>61</v>
      </c>
      <c r="C13" s="54">
        <v>2.7147999999999999</v>
      </c>
      <c r="D13" s="54">
        <v>2.08</v>
      </c>
      <c r="E13" s="54">
        <v>2.48</v>
      </c>
      <c r="F13" s="54">
        <v>2.42</v>
      </c>
      <c r="G13" s="54">
        <v>2.29</v>
      </c>
      <c r="H13" s="54">
        <v>2.74</v>
      </c>
      <c r="I13" s="54">
        <v>2.57</v>
      </c>
      <c r="J13" s="54">
        <v>2.41</v>
      </c>
      <c r="K13" s="54">
        <v>2.61</v>
      </c>
      <c r="L13" s="54">
        <v>2.44</v>
      </c>
      <c r="M13" s="54">
        <v>2.68</v>
      </c>
      <c r="N13" s="54">
        <v>2.5099999999999998</v>
      </c>
      <c r="O13" s="54">
        <v>2.78</v>
      </c>
      <c r="P13" s="54">
        <v>2.4900000000000002</v>
      </c>
      <c r="Q13" s="54">
        <v>2.63</v>
      </c>
      <c r="R13" s="54">
        <v>2.41</v>
      </c>
      <c r="S13" s="54">
        <v>2.35</v>
      </c>
      <c r="T13" s="54">
        <v>2.48</v>
      </c>
      <c r="U13" s="54">
        <v>2.41</v>
      </c>
      <c r="V13" s="54">
        <v>2.34</v>
      </c>
      <c r="W13" s="54">
        <v>2.36</v>
      </c>
      <c r="X13" s="54">
        <v>2.4300000000000002</v>
      </c>
      <c r="Y13" s="54">
        <v>2.27</v>
      </c>
      <c r="Z13" s="54">
        <v>2.5499999999999998</v>
      </c>
      <c r="AA13" s="54">
        <v>2.52</v>
      </c>
      <c r="AB13" s="54">
        <v>2.52</v>
      </c>
      <c r="AC13" s="54">
        <v>2.66</v>
      </c>
      <c r="AD13" s="54">
        <v>2.57</v>
      </c>
      <c r="AE13" s="54">
        <v>2.59</v>
      </c>
      <c r="AF13" s="54">
        <v>2.93</v>
      </c>
      <c r="AG13" s="54">
        <v>2.99</v>
      </c>
      <c r="AH13" s="54">
        <v>2.97</v>
      </c>
      <c r="AI13" s="54">
        <v>2.62</v>
      </c>
      <c r="AJ13" s="54">
        <v>2.46</v>
      </c>
      <c r="AK13" s="54">
        <v>2.59</v>
      </c>
      <c r="AL13" s="54">
        <v>2.94</v>
      </c>
      <c r="AM13" s="54">
        <v>2.92</v>
      </c>
      <c r="AN13" s="54">
        <v>3.28</v>
      </c>
      <c r="AO13" s="54">
        <v>3.2</v>
      </c>
      <c r="AP13" s="54">
        <v>3.13</v>
      </c>
      <c r="AQ13" s="54">
        <v>3.23</v>
      </c>
      <c r="AR13" s="54">
        <v>3.36</v>
      </c>
      <c r="AS13" s="54">
        <v>3.36</v>
      </c>
      <c r="AT13" s="54">
        <v>3.202</v>
      </c>
      <c r="AU13" s="54">
        <v>2.86</v>
      </c>
      <c r="AV13" s="54">
        <v>2.78</v>
      </c>
      <c r="AW13" s="54">
        <v>2.99</v>
      </c>
      <c r="AX13" s="54">
        <v>3.27</v>
      </c>
      <c r="AY13" s="54">
        <v>2.96</v>
      </c>
      <c r="AZ13" s="54">
        <v>3.08</v>
      </c>
      <c r="BA13" s="54">
        <v>3.03</v>
      </c>
    </row>
    <row r="14" spans="1:55" x14ac:dyDescent="0.25">
      <c r="A14" t="s">
        <v>121</v>
      </c>
      <c r="B14">
        <v>429</v>
      </c>
      <c r="C14" s="54">
        <v>2.9630999999999998</v>
      </c>
      <c r="D14" s="54">
        <v>2.44</v>
      </c>
      <c r="E14" s="54">
        <v>2.57</v>
      </c>
      <c r="F14" s="54">
        <v>2.41</v>
      </c>
      <c r="G14" s="54">
        <v>2.33</v>
      </c>
      <c r="H14" s="54">
        <v>2.56</v>
      </c>
      <c r="I14" s="54">
        <v>2.77</v>
      </c>
      <c r="J14" s="54">
        <v>2.69</v>
      </c>
      <c r="K14" s="54">
        <v>2.79</v>
      </c>
      <c r="L14" s="54">
        <v>2.68</v>
      </c>
      <c r="M14" s="54">
        <v>2.68</v>
      </c>
      <c r="N14" s="54">
        <v>2.74</v>
      </c>
      <c r="O14" s="54">
        <v>2.69</v>
      </c>
      <c r="P14" s="54">
        <v>2.68</v>
      </c>
      <c r="Q14" s="54">
        <v>2.85</v>
      </c>
      <c r="R14" s="54">
        <v>2.75</v>
      </c>
      <c r="S14" s="54">
        <v>2.77</v>
      </c>
      <c r="T14" s="54">
        <v>2.75</v>
      </c>
      <c r="U14" s="54">
        <v>2.64</v>
      </c>
      <c r="V14" s="54">
        <v>2.71</v>
      </c>
      <c r="W14" s="54">
        <v>2.61</v>
      </c>
      <c r="X14" s="54">
        <v>2.75</v>
      </c>
      <c r="Y14" s="54">
        <v>2.72</v>
      </c>
      <c r="Z14" s="54">
        <v>2.71</v>
      </c>
      <c r="AA14" s="54">
        <v>2.68</v>
      </c>
      <c r="AB14" s="54">
        <v>2.79</v>
      </c>
      <c r="AC14" s="54">
        <v>2.92</v>
      </c>
      <c r="AD14" s="54">
        <v>3.05</v>
      </c>
      <c r="AE14" s="54">
        <v>3.01</v>
      </c>
      <c r="AF14" s="54">
        <v>3.09</v>
      </c>
      <c r="AG14" s="54">
        <v>3.04</v>
      </c>
      <c r="AH14" s="54">
        <v>2.77</v>
      </c>
      <c r="AI14" s="54">
        <v>2.77</v>
      </c>
      <c r="AJ14" s="54">
        <v>2.82</v>
      </c>
      <c r="AK14" s="54">
        <v>2.68</v>
      </c>
      <c r="AL14" s="54">
        <v>2.85</v>
      </c>
      <c r="AM14" s="54">
        <v>2.93</v>
      </c>
      <c r="AN14" s="54">
        <v>3.28</v>
      </c>
      <c r="AO14" s="54">
        <v>3.49</v>
      </c>
      <c r="AP14" s="54">
        <v>3.43</v>
      </c>
      <c r="AQ14" s="54">
        <v>3.42</v>
      </c>
      <c r="AR14" s="54">
        <v>3.69</v>
      </c>
      <c r="AS14" s="54">
        <v>3.68</v>
      </c>
      <c r="AT14" s="54">
        <v>3.597</v>
      </c>
      <c r="AU14" s="54">
        <v>3.64</v>
      </c>
      <c r="AV14" s="54">
        <v>3.64</v>
      </c>
      <c r="AW14" s="54">
        <v>3.47</v>
      </c>
      <c r="AX14" s="54">
        <v>3.52</v>
      </c>
      <c r="AY14" s="54">
        <v>3.48</v>
      </c>
      <c r="AZ14" s="54">
        <v>3.58</v>
      </c>
      <c r="BA14" s="54">
        <v>3.55</v>
      </c>
    </row>
    <row r="15" spans="1:55" x14ac:dyDescent="0.25">
      <c r="A15" t="s">
        <v>122</v>
      </c>
      <c r="B15">
        <v>249</v>
      </c>
      <c r="C15" s="54">
        <v>2.8527999999999998</v>
      </c>
      <c r="D15" s="54">
        <v>2.33</v>
      </c>
      <c r="E15" s="54">
        <v>2.59</v>
      </c>
      <c r="F15" s="54">
        <v>2.5499999999999998</v>
      </c>
      <c r="G15" s="54">
        <v>2.2999999999999998</v>
      </c>
      <c r="H15" s="54">
        <v>2.5299999999999998</v>
      </c>
      <c r="I15" s="54">
        <v>2.68</v>
      </c>
      <c r="J15" s="54">
        <v>2.44</v>
      </c>
      <c r="K15" s="54">
        <v>2.67</v>
      </c>
      <c r="L15" s="54">
        <v>2.71</v>
      </c>
      <c r="M15" s="54">
        <v>2.65</v>
      </c>
      <c r="N15" s="54">
        <v>2.67</v>
      </c>
      <c r="O15" s="54">
        <v>2.71</v>
      </c>
      <c r="P15" s="54">
        <v>2.4900000000000002</v>
      </c>
      <c r="Q15" s="54">
        <v>2.65</v>
      </c>
      <c r="R15" s="54">
        <v>2.5499999999999998</v>
      </c>
      <c r="S15" s="54">
        <v>2.62</v>
      </c>
      <c r="T15" s="54">
        <v>2.6</v>
      </c>
      <c r="U15" s="54">
        <v>2.57</v>
      </c>
      <c r="V15" s="54">
        <v>2.56</v>
      </c>
      <c r="W15" s="54">
        <v>2.58</v>
      </c>
      <c r="X15" s="54">
        <v>2.52</v>
      </c>
      <c r="Y15" s="54">
        <v>2.62</v>
      </c>
      <c r="Z15" s="54">
        <v>2.6</v>
      </c>
      <c r="AA15" s="54">
        <v>2.67</v>
      </c>
      <c r="AB15" s="54">
        <v>2.67</v>
      </c>
      <c r="AC15" s="54">
        <v>2.69</v>
      </c>
      <c r="AD15" s="54">
        <v>2.7</v>
      </c>
      <c r="AE15" s="54">
        <v>2.78</v>
      </c>
      <c r="AF15" s="54">
        <v>2.89</v>
      </c>
      <c r="AG15" s="54">
        <v>2.78</v>
      </c>
      <c r="AH15" s="54">
        <v>2.61</v>
      </c>
      <c r="AI15" s="54">
        <v>2.65</v>
      </c>
      <c r="AJ15" s="54">
        <v>2.78</v>
      </c>
      <c r="AK15" s="54">
        <v>2.8</v>
      </c>
      <c r="AL15" s="54">
        <v>2.81</v>
      </c>
      <c r="AM15" s="54">
        <v>2.84</v>
      </c>
      <c r="AN15" s="54">
        <v>2.95</v>
      </c>
      <c r="AO15" s="54">
        <v>3.35</v>
      </c>
      <c r="AP15" s="54">
        <v>3.23</v>
      </c>
      <c r="AQ15" s="54">
        <v>3.25</v>
      </c>
      <c r="AR15" s="54">
        <v>3.54</v>
      </c>
      <c r="AS15" s="54">
        <v>3.62</v>
      </c>
      <c r="AT15" s="54">
        <v>3.4180000000000001</v>
      </c>
      <c r="AU15" s="54">
        <v>3.48</v>
      </c>
      <c r="AV15" s="54">
        <v>3.55</v>
      </c>
      <c r="AW15" s="54">
        <v>3.51</v>
      </c>
      <c r="AX15" s="54">
        <v>3.47</v>
      </c>
      <c r="AY15" s="54">
        <v>3.43</v>
      </c>
      <c r="AZ15" s="54">
        <v>3.49</v>
      </c>
      <c r="BA15" s="54">
        <v>3.49</v>
      </c>
    </row>
    <row r="16" spans="1:55" x14ac:dyDescent="0.25">
      <c r="A16" t="s">
        <v>123</v>
      </c>
      <c r="B16">
        <v>210</v>
      </c>
      <c r="C16" s="54">
        <v>3.0436000000000001</v>
      </c>
      <c r="D16" s="54">
        <v>2.68</v>
      </c>
      <c r="E16" s="54">
        <v>2.76</v>
      </c>
      <c r="F16" s="54">
        <v>2.5299999999999998</v>
      </c>
      <c r="G16" s="54">
        <v>2.42</v>
      </c>
      <c r="H16" s="54">
        <v>2.73</v>
      </c>
      <c r="I16" s="54">
        <v>2.78</v>
      </c>
      <c r="J16" s="54">
        <v>2.82</v>
      </c>
      <c r="K16" s="54">
        <v>2.88</v>
      </c>
      <c r="L16" s="54">
        <v>2.85</v>
      </c>
      <c r="M16" s="54">
        <v>2.83</v>
      </c>
      <c r="N16" s="54">
        <v>2.81</v>
      </c>
      <c r="O16" s="54">
        <v>2.71</v>
      </c>
      <c r="P16" s="54">
        <v>2.7</v>
      </c>
      <c r="Q16" s="54">
        <v>2.94</v>
      </c>
      <c r="R16" s="54">
        <v>2.94</v>
      </c>
      <c r="S16" s="54">
        <v>2.66</v>
      </c>
      <c r="T16" s="54">
        <v>2.76</v>
      </c>
      <c r="U16" s="54">
        <v>2.85</v>
      </c>
      <c r="V16" s="54">
        <v>2.92</v>
      </c>
      <c r="W16" s="54">
        <v>2.75</v>
      </c>
      <c r="X16" s="54">
        <v>2.96</v>
      </c>
      <c r="Y16" s="54">
        <v>2.84</v>
      </c>
      <c r="Z16" s="54">
        <v>2.78</v>
      </c>
      <c r="AA16" s="54">
        <v>2.9</v>
      </c>
      <c r="AB16" s="54">
        <v>2.87</v>
      </c>
      <c r="AC16" s="54">
        <v>2.99</v>
      </c>
      <c r="AD16" s="54">
        <v>3.03</v>
      </c>
      <c r="AE16" s="54">
        <v>3.15</v>
      </c>
      <c r="AF16" s="54">
        <v>3.14</v>
      </c>
      <c r="AG16" s="54">
        <v>3.22</v>
      </c>
      <c r="AH16" s="54">
        <v>2.97</v>
      </c>
      <c r="AI16" s="54">
        <v>2.77</v>
      </c>
      <c r="AJ16" s="54">
        <v>2.9</v>
      </c>
      <c r="AK16" s="54">
        <v>2.91</v>
      </c>
      <c r="AL16" s="54">
        <v>2.86</v>
      </c>
      <c r="AM16" s="54">
        <v>2.83</v>
      </c>
      <c r="AN16" s="54">
        <v>3.12</v>
      </c>
      <c r="AO16" s="54">
        <v>3.39</v>
      </c>
      <c r="AP16" s="54">
        <v>3.25</v>
      </c>
      <c r="AQ16" s="54">
        <v>3.36</v>
      </c>
      <c r="AR16" s="54">
        <v>3.7</v>
      </c>
      <c r="AS16" s="54">
        <v>3.63</v>
      </c>
      <c r="AT16" s="54">
        <v>3.7879999999999998</v>
      </c>
      <c r="AU16" s="54">
        <v>3.67</v>
      </c>
      <c r="AV16" s="54">
        <v>3.85</v>
      </c>
      <c r="AW16" s="54">
        <v>3.58</v>
      </c>
      <c r="AX16" s="54">
        <v>3.58</v>
      </c>
      <c r="AY16" s="54">
        <v>3.66</v>
      </c>
      <c r="AZ16" s="54">
        <v>3.65</v>
      </c>
      <c r="BA16" s="54">
        <v>3.51</v>
      </c>
    </row>
    <row r="17" spans="1:53" x14ac:dyDescent="0.25">
      <c r="A17" t="s">
        <v>124</v>
      </c>
      <c r="B17">
        <v>970</v>
      </c>
      <c r="C17" s="54">
        <v>2.9721000000000002</v>
      </c>
      <c r="D17" s="54">
        <v>2.4500000000000002</v>
      </c>
      <c r="E17" s="54">
        <v>2.68</v>
      </c>
      <c r="F17" s="54">
        <v>2.62</v>
      </c>
      <c r="G17" s="54">
        <v>2.5099999999999998</v>
      </c>
      <c r="H17" s="54">
        <v>2.81</v>
      </c>
      <c r="I17" s="54">
        <v>2.75</v>
      </c>
      <c r="J17" s="54">
        <v>2.77</v>
      </c>
      <c r="K17" s="54">
        <v>2.83</v>
      </c>
      <c r="L17" s="54">
        <v>2.85</v>
      </c>
      <c r="M17" s="54">
        <v>2.84</v>
      </c>
      <c r="N17" s="54">
        <v>2.8</v>
      </c>
      <c r="O17" s="54">
        <v>2.79</v>
      </c>
      <c r="P17" s="54">
        <v>2.73</v>
      </c>
      <c r="Q17" s="54">
        <v>2.77</v>
      </c>
      <c r="R17" s="54">
        <v>2.72</v>
      </c>
      <c r="S17" s="54">
        <v>2.72</v>
      </c>
      <c r="T17" s="54">
        <v>2.64</v>
      </c>
      <c r="U17" s="54">
        <v>2.61</v>
      </c>
      <c r="V17" s="54">
        <v>2.63</v>
      </c>
      <c r="W17" s="54">
        <v>2.56</v>
      </c>
      <c r="X17" s="54">
        <v>2.77</v>
      </c>
      <c r="Y17" s="54">
        <v>2.7</v>
      </c>
      <c r="Z17" s="54">
        <v>2.66</v>
      </c>
      <c r="AA17" s="54">
        <v>2.69</v>
      </c>
      <c r="AB17" s="54">
        <v>2.69</v>
      </c>
      <c r="AC17" s="54">
        <v>2.76</v>
      </c>
      <c r="AD17" s="54">
        <v>2.89</v>
      </c>
      <c r="AE17" s="54">
        <v>2.89</v>
      </c>
      <c r="AF17" s="54">
        <v>3.03</v>
      </c>
      <c r="AG17" s="54">
        <v>3.04</v>
      </c>
      <c r="AH17" s="54">
        <v>2.8</v>
      </c>
      <c r="AI17" s="54">
        <v>2.7</v>
      </c>
      <c r="AJ17" s="54">
        <v>2.77</v>
      </c>
      <c r="AK17" s="54">
        <v>2.85</v>
      </c>
      <c r="AL17" s="54">
        <v>2.95</v>
      </c>
      <c r="AM17" s="54">
        <v>3.02</v>
      </c>
      <c r="AN17" s="54">
        <v>3.21</v>
      </c>
      <c r="AO17" s="54">
        <v>3.57</v>
      </c>
      <c r="AP17" s="54">
        <v>3.36</v>
      </c>
      <c r="AQ17" s="54">
        <v>3.4</v>
      </c>
      <c r="AR17" s="54">
        <v>3.71</v>
      </c>
      <c r="AS17" s="54">
        <v>3.65</v>
      </c>
      <c r="AT17" s="54">
        <v>3.4950000000000001</v>
      </c>
      <c r="AU17" s="54">
        <v>3.6</v>
      </c>
      <c r="AV17" s="54">
        <v>3.64</v>
      </c>
      <c r="AW17" s="54">
        <v>3.51</v>
      </c>
      <c r="AX17" s="54">
        <v>3.47</v>
      </c>
      <c r="AY17" s="54">
        <v>3.5</v>
      </c>
      <c r="AZ17" s="54">
        <v>3.67</v>
      </c>
      <c r="BA17" s="54">
        <v>3.53</v>
      </c>
    </row>
    <row r="18" spans="1:53" x14ac:dyDescent="0.25">
      <c r="A18" t="s">
        <v>125</v>
      </c>
      <c r="B18">
        <v>665</v>
      </c>
      <c r="C18" s="54">
        <v>2.8462999999999998</v>
      </c>
      <c r="D18" s="54">
        <v>2.37</v>
      </c>
      <c r="E18" s="54">
        <v>2.52</v>
      </c>
      <c r="F18" s="54">
        <v>2.56</v>
      </c>
      <c r="G18" s="54">
        <v>2.4500000000000002</v>
      </c>
      <c r="H18" s="54">
        <v>2.7</v>
      </c>
      <c r="I18" s="54">
        <v>2.74</v>
      </c>
      <c r="J18" s="54">
        <v>2.67</v>
      </c>
      <c r="K18" s="54">
        <v>2.76</v>
      </c>
      <c r="L18" s="54">
        <v>2.67</v>
      </c>
      <c r="M18" s="54">
        <v>2.72</v>
      </c>
      <c r="N18" s="54">
        <v>2.68</v>
      </c>
      <c r="O18" s="54">
        <v>2.68</v>
      </c>
      <c r="P18" s="54">
        <v>2.66</v>
      </c>
      <c r="Q18" s="54">
        <v>2.64</v>
      </c>
      <c r="R18" s="54">
        <v>2.62</v>
      </c>
      <c r="S18" s="54">
        <v>2.69</v>
      </c>
      <c r="T18" s="54">
        <v>2.67</v>
      </c>
      <c r="U18" s="54">
        <v>2.61</v>
      </c>
      <c r="V18" s="54">
        <v>2.63</v>
      </c>
      <c r="W18" s="54">
        <v>2.64</v>
      </c>
      <c r="X18" s="54">
        <v>2.66</v>
      </c>
      <c r="Y18" s="54">
        <v>2.66</v>
      </c>
      <c r="Z18" s="54">
        <v>2.6</v>
      </c>
      <c r="AA18" s="54">
        <v>2.5499999999999998</v>
      </c>
      <c r="AB18" s="54">
        <v>2.62</v>
      </c>
      <c r="AC18" s="54">
        <v>2.74</v>
      </c>
      <c r="AD18" s="54">
        <v>2.79</v>
      </c>
      <c r="AE18" s="54">
        <v>2.76</v>
      </c>
      <c r="AF18" s="54">
        <v>2.81</v>
      </c>
      <c r="AG18" s="54">
        <v>2.78</v>
      </c>
      <c r="AH18" s="54">
        <v>2.66</v>
      </c>
      <c r="AI18" s="54">
        <v>2.74</v>
      </c>
      <c r="AJ18" s="54">
        <v>2.67</v>
      </c>
      <c r="AK18" s="54">
        <v>2.68</v>
      </c>
      <c r="AL18" s="54">
        <v>2.79</v>
      </c>
      <c r="AM18" s="54">
        <v>2.89</v>
      </c>
      <c r="AN18" s="54">
        <v>3.11</v>
      </c>
      <c r="AO18" s="54">
        <v>3.56</v>
      </c>
      <c r="AP18" s="54">
        <v>3.21</v>
      </c>
      <c r="AQ18" s="54">
        <v>3.19</v>
      </c>
      <c r="AR18" s="54">
        <v>3.37</v>
      </c>
      <c r="AS18" s="54">
        <v>3.4</v>
      </c>
      <c r="AT18" s="54">
        <v>3.2440000000000002</v>
      </c>
      <c r="AU18" s="54">
        <v>3.35</v>
      </c>
      <c r="AV18" s="54">
        <v>3.41</v>
      </c>
      <c r="AW18" s="54">
        <v>3.22</v>
      </c>
      <c r="AX18" s="54">
        <v>3.33</v>
      </c>
      <c r="AY18" s="54">
        <v>3.21</v>
      </c>
      <c r="AZ18" s="54">
        <v>3.4</v>
      </c>
      <c r="BA18" s="54">
        <v>3.23</v>
      </c>
    </row>
    <row r="19" spans="1:53" x14ac:dyDescent="0.25">
      <c r="A19" t="s">
        <v>71</v>
      </c>
      <c r="B19">
        <v>412</v>
      </c>
      <c r="C19" s="54">
        <v>2.7879999999999998</v>
      </c>
      <c r="D19" s="54">
        <v>2.34</v>
      </c>
      <c r="E19" s="54">
        <v>2.4500000000000002</v>
      </c>
      <c r="F19" s="54">
        <v>2.52</v>
      </c>
      <c r="G19" s="54">
        <v>2.41</v>
      </c>
      <c r="H19" s="54">
        <v>2.68</v>
      </c>
      <c r="I19" s="54">
        <v>2.69</v>
      </c>
      <c r="J19" s="54">
        <v>2.6</v>
      </c>
      <c r="K19" s="54">
        <v>2.66</v>
      </c>
      <c r="L19" s="54">
        <v>2.6</v>
      </c>
      <c r="M19" s="54">
        <v>2.64</v>
      </c>
      <c r="N19" s="54">
        <v>2.59</v>
      </c>
      <c r="O19" s="54">
        <v>2.65</v>
      </c>
      <c r="P19" s="54">
        <v>2.57</v>
      </c>
      <c r="Q19" s="54">
        <v>2.58</v>
      </c>
      <c r="R19" s="54">
        <v>2.58</v>
      </c>
      <c r="S19" s="54">
        <v>2.68</v>
      </c>
      <c r="T19" s="54">
        <v>2.6</v>
      </c>
      <c r="U19" s="54">
        <v>2.56</v>
      </c>
      <c r="V19" s="54">
        <v>2.5299999999999998</v>
      </c>
      <c r="W19" s="54">
        <v>2.6</v>
      </c>
      <c r="X19" s="54">
        <v>2.61</v>
      </c>
      <c r="Y19" s="54">
        <v>2.61</v>
      </c>
      <c r="Z19" s="54">
        <v>2.5499999999999998</v>
      </c>
      <c r="AA19" s="54">
        <v>2.5</v>
      </c>
      <c r="AB19" s="54">
        <v>2.57</v>
      </c>
      <c r="AC19" s="54">
        <v>2.69</v>
      </c>
      <c r="AD19" s="54">
        <v>2.75</v>
      </c>
      <c r="AE19" s="54">
        <v>2.65</v>
      </c>
      <c r="AF19" s="54">
        <v>2.74</v>
      </c>
      <c r="AG19" s="54">
        <v>2.66</v>
      </c>
      <c r="AH19" s="54">
        <v>2.63</v>
      </c>
      <c r="AI19" s="54">
        <v>2.74</v>
      </c>
      <c r="AJ19" s="54">
        <v>2.6</v>
      </c>
      <c r="AK19" s="54">
        <v>2.61</v>
      </c>
      <c r="AL19" s="54">
        <v>2.71</v>
      </c>
      <c r="AM19" s="54">
        <v>2.82</v>
      </c>
      <c r="AN19" s="54">
        <v>3.04</v>
      </c>
      <c r="AO19" s="54">
        <v>3.44</v>
      </c>
      <c r="AP19" s="54">
        <v>3.18</v>
      </c>
      <c r="AQ19" s="54">
        <v>3.07</v>
      </c>
      <c r="AR19" s="54">
        <v>3.26</v>
      </c>
      <c r="AS19" s="54">
        <v>3.4</v>
      </c>
      <c r="AT19" s="54">
        <v>3.2210000000000001</v>
      </c>
      <c r="AU19" s="54">
        <v>3.35</v>
      </c>
      <c r="AV19" s="54">
        <v>3.35</v>
      </c>
      <c r="AW19" s="54">
        <v>3.22</v>
      </c>
      <c r="AX19" s="54">
        <v>3.29</v>
      </c>
      <c r="AY19" s="54">
        <v>3.15</v>
      </c>
      <c r="AZ19" s="54">
        <v>3.34</v>
      </c>
      <c r="BA19" s="54">
        <v>3.12</v>
      </c>
    </row>
    <row r="20" spans="1:53" x14ac:dyDescent="0.25">
      <c r="A20" t="s">
        <v>127</v>
      </c>
      <c r="B20">
        <v>253</v>
      </c>
      <c r="C20" s="54">
        <v>2.9384000000000001</v>
      </c>
      <c r="D20" s="54">
        <v>2.38</v>
      </c>
      <c r="E20" s="54">
        <v>2.63</v>
      </c>
      <c r="F20" s="54">
        <v>2.65</v>
      </c>
      <c r="G20" s="54">
        <v>2.5299999999999998</v>
      </c>
      <c r="H20" s="54">
        <v>2.76</v>
      </c>
      <c r="I20" s="54">
        <v>2.81</v>
      </c>
      <c r="J20" s="54">
        <v>2.74</v>
      </c>
      <c r="K20" s="54">
        <v>2.9</v>
      </c>
      <c r="L20" s="54">
        <v>2.79</v>
      </c>
      <c r="M20" s="54">
        <v>2.83</v>
      </c>
      <c r="N20" s="54">
        <v>2.82</v>
      </c>
      <c r="O20" s="54">
        <v>2.7</v>
      </c>
      <c r="P20" s="54">
        <v>2.76</v>
      </c>
      <c r="Q20" s="54">
        <v>2.75</v>
      </c>
      <c r="R20" s="54">
        <v>2.72</v>
      </c>
      <c r="S20" s="54">
        <v>2.72</v>
      </c>
      <c r="T20" s="54">
        <v>2.74</v>
      </c>
      <c r="U20" s="54">
        <v>2.68</v>
      </c>
      <c r="V20" s="54">
        <v>2.77</v>
      </c>
      <c r="W20" s="54">
        <v>2.77</v>
      </c>
      <c r="X20" s="54">
        <v>2.73</v>
      </c>
      <c r="Y20" s="54">
        <v>2.73</v>
      </c>
      <c r="Z20" s="54">
        <v>2.68</v>
      </c>
      <c r="AA20" s="54">
        <v>2.66</v>
      </c>
      <c r="AB20" s="54">
        <v>2.79</v>
      </c>
      <c r="AC20" s="54">
        <v>2.81</v>
      </c>
      <c r="AD20" s="54">
        <v>2.86</v>
      </c>
      <c r="AE20" s="54">
        <v>2.95</v>
      </c>
      <c r="AF20" s="54">
        <v>2.9</v>
      </c>
      <c r="AG20" s="54">
        <v>2.93</v>
      </c>
      <c r="AH20" s="54">
        <v>2.69</v>
      </c>
      <c r="AI20" s="54">
        <v>2.76</v>
      </c>
      <c r="AJ20" s="54">
        <v>2.7</v>
      </c>
      <c r="AK20" s="54">
        <v>2.81</v>
      </c>
      <c r="AL20" s="54">
        <v>2.92</v>
      </c>
      <c r="AM20" s="54">
        <v>3.02</v>
      </c>
      <c r="AN20" s="54">
        <v>3.26</v>
      </c>
      <c r="AO20" s="54">
        <v>3.73</v>
      </c>
      <c r="AP20" s="54">
        <v>3.3</v>
      </c>
      <c r="AQ20" s="54">
        <v>3.35</v>
      </c>
      <c r="AR20" s="54">
        <v>3.51</v>
      </c>
      <c r="AS20" s="54">
        <v>3.4</v>
      </c>
      <c r="AT20" s="54">
        <v>3.278</v>
      </c>
      <c r="AU20" s="54">
        <v>3.41</v>
      </c>
      <c r="AV20" s="54">
        <v>3.47</v>
      </c>
      <c r="AW20" s="54">
        <v>3.23</v>
      </c>
      <c r="AX20" s="54">
        <v>3.38</v>
      </c>
      <c r="AY20" s="54">
        <v>3.35</v>
      </c>
      <c r="AZ20" s="54">
        <v>3.5</v>
      </c>
      <c r="BA20" s="54">
        <v>3.36</v>
      </c>
    </row>
    <row r="21" spans="1:53" x14ac:dyDescent="0.25">
      <c r="A21" t="s">
        <v>128</v>
      </c>
      <c r="B21">
        <v>917</v>
      </c>
      <c r="C21" s="54">
        <v>2.9093</v>
      </c>
      <c r="D21" s="54">
        <v>2.4900000000000002</v>
      </c>
      <c r="E21" s="54">
        <v>2.64</v>
      </c>
      <c r="F21" s="54">
        <v>2.61</v>
      </c>
      <c r="G21" s="54">
        <v>2.6</v>
      </c>
      <c r="H21" s="54">
        <v>2.83</v>
      </c>
      <c r="I21" s="54">
        <v>2.77</v>
      </c>
      <c r="J21" s="54">
        <v>2.75</v>
      </c>
      <c r="K21" s="54">
        <v>2.86</v>
      </c>
      <c r="L21" s="54">
        <v>2.72</v>
      </c>
      <c r="M21" s="54">
        <v>2.74</v>
      </c>
      <c r="N21" s="54">
        <v>2.7</v>
      </c>
      <c r="O21" s="54">
        <v>2.68</v>
      </c>
      <c r="P21" s="54">
        <v>2.66</v>
      </c>
      <c r="Q21" s="54">
        <v>2.67</v>
      </c>
      <c r="R21" s="54">
        <v>2.67</v>
      </c>
      <c r="S21" s="54">
        <v>2.65</v>
      </c>
      <c r="T21" s="54">
        <v>2.6</v>
      </c>
      <c r="U21" s="54">
        <v>2.62</v>
      </c>
      <c r="V21" s="54">
        <v>2.56</v>
      </c>
      <c r="W21" s="54">
        <v>2.63</v>
      </c>
      <c r="X21" s="54">
        <v>2.68</v>
      </c>
      <c r="Y21" s="54">
        <v>2.67</v>
      </c>
      <c r="Z21" s="54">
        <v>2.68</v>
      </c>
      <c r="AA21" s="54">
        <v>2.66</v>
      </c>
      <c r="AB21" s="54">
        <v>2.67</v>
      </c>
      <c r="AC21" s="54">
        <v>2.79</v>
      </c>
      <c r="AD21" s="54">
        <v>2.89</v>
      </c>
      <c r="AE21" s="54">
        <v>2.89</v>
      </c>
      <c r="AF21" s="54">
        <v>2.94</v>
      </c>
      <c r="AG21" s="54">
        <v>2.95</v>
      </c>
      <c r="AH21" s="54">
        <v>2.66</v>
      </c>
      <c r="AI21" s="54">
        <v>2.67</v>
      </c>
      <c r="AJ21" s="54">
        <v>2.72</v>
      </c>
      <c r="AK21" s="54">
        <v>2.76</v>
      </c>
      <c r="AL21" s="54">
        <v>2.87</v>
      </c>
      <c r="AM21" s="54">
        <v>2.86</v>
      </c>
      <c r="AN21" s="54">
        <v>3.09</v>
      </c>
      <c r="AO21" s="54">
        <v>3.48</v>
      </c>
      <c r="AP21" s="54">
        <v>3.3</v>
      </c>
      <c r="AQ21" s="54">
        <v>3.21</v>
      </c>
      <c r="AR21" s="54">
        <v>3.48</v>
      </c>
      <c r="AS21" s="54">
        <v>3.5</v>
      </c>
      <c r="AT21" s="54">
        <v>3.4049999999999998</v>
      </c>
      <c r="AU21" s="54">
        <v>3.47</v>
      </c>
      <c r="AV21" s="54">
        <v>3.57</v>
      </c>
      <c r="AW21" s="54">
        <v>3.38</v>
      </c>
      <c r="AX21" s="54">
        <v>3.4</v>
      </c>
      <c r="AY21" s="54">
        <v>3.45</v>
      </c>
      <c r="AZ21" s="54">
        <v>3.52</v>
      </c>
      <c r="BA21" s="54">
        <v>3.4</v>
      </c>
    </row>
    <row r="22" spans="1:53" x14ac:dyDescent="0.25">
      <c r="A22" t="s">
        <v>72</v>
      </c>
      <c r="B22">
        <v>122</v>
      </c>
      <c r="C22" s="54">
        <v>3.0777999999999999</v>
      </c>
      <c r="D22" s="54">
        <v>2.5499999999999998</v>
      </c>
      <c r="E22" s="54">
        <v>2.76</v>
      </c>
      <c r="F22" s="54">
        <v>2.68</v>
      </c>
      <c r="G22" s="54">
        <v>2.59</v>
      </c>
      <c r="H22" s="54">
        <v>2.84</v>
      </c>
      <c r="I22" s="54">
        <v>2.99</v>
      </c>
      <c r="J22" s="54">
        <v>2.85</v>
      </c>
      <c r="K22" s="54">
        <v>3.12</v>
      </c>
      <c r="L22" s="54">
        <v>2.96</v>
      </c>
      <c r="M22" s="54">
        <v>2.86</v>
      </c>
      <c r="N22" s="54">
        <v>2.84</v>
      </c>
      <c r="O22" s="54">
        <v>2.78</v>
      </c>
      <c r="P22" s="54">
        <v>2.7</v>
      </c>
      <c r="Q22" s="54">
        <v>2.65</v>
      </c>
      <c r="R22" s="54">
        <v>2.81</v>
      </c>
      <c r="S22" s="54">
        <v>2.67</v>
      </c>
      <c r="T22" s="54">
        <v>2.67</v>
      </c>
      <c r="U22" s="54">
        <v>2.79</v>
      </c>
      <c r="V22" s="54">
        <v>2.73</v>
      </c>
      <c r="W22" s="54">
        <v>2.61</v>
      </c>
      <c r="X22" s="54">
        <v>2.74</v>
      </c>
      <c r="Y22" s="54">
        <v>2.64</v>
      </c>
      <c r="Z22" s="54">
        <v>2.73</v>
      </c>
      <c r="AA22" s="54">
        <v>2.71</v>
      </c>
      <c r="AB22" s="54">
        <v>2.72</v>
      </c>
      <c r="AC22" s="54">
        <v>2.77</v>
      </c>
      <c r="AD22" s="54">
        <v>2.93</v>
      </c>
      <c r="AE22" s="54">
        <v>3.03</v>
      </c>
      <c r="AF22" s="54">
        <v>3.1</v>
      </c>
      <c r="AG22" s="54">
        <v>3.24</v>
      </c>
      <c r="AH22" s="54">
        <v>2.86</v>
      </c>
      <c r="AI22" s="54">
        <v>2.89</v>
      </c>
      <c r="AJ22" s="54">
        <v>2.86</v>
      </c>
      <c r="AK22" s="54">
        <v>3.06</v>
      </c>
      <c r="AL22" s="54">
        <v>3.02</v>
      </c>
      <c r="AM22" s="54">
        <v>3.2</v>
      </c>
      <c r="AN22" s="54">
        <v>3.48</v>
      </c>
      <c r="AO22" s="54">
        <v>3.89</v>
      </c>
      <c r="AP22" s="54">
        <v>3.61</v>
      </c>
      <c r="AQ22" s="54">
        <v>3.55</v>
      </c>
      <c r="AR22" s="54">
        <v>3.75</v>
      </c>
      <c r="AS22" s="54">
        <v>3.9</v>
      </c>
      <c r="AT22" s="54">
        <v>3.6909999999999998</v>
      </c>
      <c r="AU22" s="54">
        <v>3.97</v>
      </c>
      <c r="AV22" s="54">
        <v>3.89</v>
      </c>
      <c r="AW22" s="54">
        <v>3.76</v>
      </c>
      <c r="AX22" s="54">
        <v>3.65</v>
      </c>
      <c r="AY22" s="54">
        <v>3.64</v>
      </c>
      <c r="AZ22" s="54">
        <v>3.63</v>
      </c>
      <c r="BA22" s="54">
        <v>3.53</v>
      </c>
    </row>
    <row r="23" spans="1:53" x14ac:dyDescent="0.25">
      <c r="A23" t="s">
        <v>240</v>
      </c>
      <c r="B23">
        <v>46</v>
      </c>
      <c r="C23" s="54">
        <v>2.8340999999999998</v>
      </c>
      <c r="D23" s="54">
        <v>2.4500000000000002</v>
      </c>
      <c r="E23" s="54">
        <v>2.42</v>
      </c>
      <c r="F23" s="54">
        <v>2.5</v>
      </c>
      <c r="G23" s="54">
        <v>2.34</v>
      </c>
      <c r="H23" s="54">
        <v>2.84</v>
      </c>
      <c r="I23" s="54">
        <v>2.84</v>
      </c>
      <c r="J23" s="54">
        <v>2.62</v>
      </c>
      <c r="K23" s="54">
        <v>2.78</v>
      </c>
      <c r="L23" s="54">
        <v>2.72</v>
      </c>
      <c r="M23" s="54">
        <v>2.4700000000000002</v>
      </c>
      <c r="N23" s="54">
        <v>2.63</v>
      </c>
      <c r="O23" s="54">
        <v>2.44</v>
      </c>
      <c r="P23" s="54">
        <v>2.4300000000000002</v>
      </c>
      <c r="Q23" s="54">
        <v>2.5</v>
      </c>
      <c r="R23" s="54">
        <v>2.46</v>
      </c>
      <c r="S23" s="54">
        <v>2.39</v>
      </c>
      <c r="T23" s="54">
        <v>2.42</v>
      </c>
      <c r="U23" s="54">
        <v>2.46</v>
      </c>
      <c r="V23" s="54">
        <v>2.77</v>
      </c>
      <c r="W23" s="54">
        <v>2.46</v>
      </c>
      <c r="X23" s="54">
        <v>2.68</v>
      </c>
      <c r="Y23" s="54">
        <v>2.35</v>
      </c>
      <c r="Z23" s="54">
        <v>2.64</v>
      </c>
      <c r="AA23" s="54">
        <v>2.77</v>
      </c>
      <c r="AB23" s="54">
        <v>2.74</v>
      </c>
      <c r="AC23" s="54">
        <v>2.97</v>
      </c>
      <c r="AD23" s="54">
        <v>3</v>
      </c>
      <c r="AE23" s="54">
        <v>2.6</v>
      </c>
      <c r="AF23" s="54">
        <v>2.76</v>
      </c>
      <c r="AG23" s="54">
        <v>3.11</v>
      </c>
      <c r="AH23" s="54">
        <v>3.11</v>
      </c>
      <c r="AI23" s="54">
        <v>2.75</v>
      </c>
      <c r="AJ23" s="54">
        <v>2.61</v>
      </c>
      <c r="AK23" s="54">
        <v>3.04</v>
      </c>
      <c r="AL23" s="54">
        <v>2.7</v>
      </c>
      <c r="AM23" s="54">
        <v>2.94</v>
      </c>
      <c r="AN23" s="54">
        <v>3.29</v>
      </c>
      <c r="AO23" s="54">
        <v>3.43</v>
      </c>
      <c r="AP23" s="54">
        <v>3.48</v>
      </c>
      <c r="AQ23" s="54">
        <v>3.6</v>
      </c>
      <c r="AR23" s="54">
        <v>3.45</v>
      </c>
      <c r="AS23" s="54">
        <v>3.22</v>
      </c>
      <c r="AT23" s="54">
        <v>3.113</v>
      </c>
      <c r="AU23" s="54">
        <v>3.26</v>
      </c>
      <c r="AV23" s="54">
        <v>3.44</v>
      </c>
      <c r="AW23" s="54">
        <v>3.26</v>
      </c>
      <c r="AX23" s="54">
        <v>3.17</v>
      </c>
      <c r="AY23" s="54">
        <v>3.25</v>
      </c>
      <c r="AZ23" s="54">
        <v>2.98</v>
      </c>
      <c r="BA23" s="54">
        <v>3.05</v>
      </c>
    </row>
    <row r="24" spans="1:53" x14ac:dyDescent="0.25">
      <c r="A24" t="s">
        <v>129</v>
      </c>
      <c r="B24">
        <v>97</v>
      </c>
      <c r="C24" s="54">
        <v>2.9298000000000002</v>
      </c>
      <c r="D24" s="54">
        <v>2.29</v>
      </c>
      <c r="E24" s="54">
        <v>2.76</v>
      </c>
      <c r="F24" s="54">
        <v>2.52</v>
      </c>
      <c r="G24" s="54">
        <v>2.5299999999999998</v>
      </c>
      <c r="H24" s="54">
        <v>2.54</v>
      </c>
      <c r="I24" s="54">
        <v>2.77</v>
      </c>
      <c r="J24" s="54">
        <v>2.73</v>
      </c>
      <c r="K24" s="54">
        <v>2.64</v>
      </c>
      <c r="L24" s="54">
        <v>2.78</v>
      </c>
      <c r="M24" s="54">
        <v>2.63</v>
      </c>
      <c r="N24" s="54">
        <v>2.69</v>
      </c>
      <c r="O24" s="54">
        <v>2.85</v>
      </c>
      <c r="P24" s="54">
        <v>2.65</v>
      </c>
      <c r="Q24" s="54">
        <v>2.77</v>
      </c>
      <c r="R24" s="54">
        <v>2.5499999999999998</v>
      </c>
      <c r="S24" s="54">
        <v>2.66</v>
      </c>
      <c r="T24" s="54">
        <v>2.61</v>
      </c>
      <c r="U24" s="54">
        <v>2.56</v>
      </c>
      <c r="V24" s="54">
        <v>2.59</v>
      </c>
      <c r="W24" s="54">
        <v>2.61</v>
      </c>
      <c r="X24" s="54">
        <v>2.76</v>
      </c>
      <c r="Y24" s="54">
        <v>2.71</v>
      </c>
      <c r="Z24" s="54">
        <v>2.7</v>
      </c>
      <c r="AA24" s="54">
        <v>2.79</v>
      </c>
      <c r="AB24" s="54">
        <v>2.74</v>
      </c>
      <c r="AC24" s="54">
        <v>2.81</v>
      </c>
      <c r="AD24" s="54">
        <v>3.09</v>
      </c>
      <c r="AE24" s="54">
        <v>2.87</v>
      </c>
      <c r="AF24" s="54">
        <v>2.95</v>
      </c>
      <c r="AG24" s="54">
        <v>2.96</v>
      </c>
      <c r="AH24" s="54">
        <v>2.48</v>
      </c>
      <c r="AI24" s="54">
        <v>2.61</v>
      </c>
      <c r="AJ24" s="54">
        <v>2.85</v>
      </c>
      <c r="AK24" s="54">
        <v>2.95</v>
      </c>
      <c r="AL24" s="54">
        <v>2.85</v>
      </c>
      <c r="AM24" s="54">
        <v>2.98</v>
      </c>
      <c r="AN24" s="54">
        <v>3.3</v>
      </c>
      <c r="AO24" s="54">
        <v>3.7</v>
      </c>
      <c r="AP24" s="54">
        <v>3.62</v>
      </c>
      <c r="AQ24" s="54">
        <v>3.23</v>
      </c>
      <c r="AR24" s="54">
        <v>3.54</v>
      </c>
      <c r="AS24" s="54">
        <v>3.5</v>
      </c>
      <c r="AT24" s="54">
        <v>3.3220000000000001</v>
      </c>
      <c r="AU24" s="54">
        <v>3.49</v>
      </c>
      <c r="AV24" s="54">
        <v>3.41</v>
      </c>
      <c r="AW24" s="54">
        <v>3.42</v>
      </c>
      <c r="AX24" s="54">
        <v>3.31</v>
      </c>
      <c r="AY24" s="54">
        <v>3.46</v>
      </c>
      <c r="AZ24" s="54">
        <v>3.65</v>
      </c>
      <c r="BA24" s="54">
        <v>3.71</v>
      </c>
    </row>
    <row r="25" spans="1:53" x14ac:dyDescent="0.25">
      <c r="A25" t="s">
        <v>241</v>
      </c>
      <c r="B25">
        <v>166</v>
      </c>
      <c r="C25" s="54">
        <v>2.8416000000000001</v>
      </c>
      <c r="D25" s="54">
        <v>2.54</v>
      </c>
      <c r="E25" s="54">
        <v>2.5499999999999998</v>
      </c>
      <c r="F25" s="54">
        <v>2.65</v>
      </c>
      <c r="G25" s="54">
        <v>2.48</v>
      </c>
      <c r="H25" s="54">
        <v>2.73</v>
      </c>
      <c r="I25" s="54">
        <v>2.69</v>
      </c>
      <c r="J25" s="54">
        <v>2.65</v>
      </c>
      <c r="K25" s="54">
        <v>2.66</v>
      </c>
      <c r="L25" s="54">
        <v>2.73</v>
      </c>
      <c r="M25" s="54">
        <v>2.76</v>
      </c>
      <c r="N25" s="54">
        <v>2.68</v>
      </c>
      <c r="O25" s="54">
        <v>2.76</v>
      </c>
      <c r="P25" s="54">
        <v>2.85</v>
      </c>
      <c r="Q25" s="54">
        <v>2.64</v>
      </c>
      <c r="R25" s="54">
        <v>2.67</v>
      </c>
      <c r="S25" s="54">
        <v>2.69</v>
      </c>
      <c r="T25" s="54">
        <v>2.7</v>
      </c>
      <c r="U25" s="54">
        <v>2.67</v>
      </c>
      <c r="V25" s="54">
        <v>2.75</v>
      </c>
      <c r="W25" s="54">
        <v>2.5299999999999998</v>
      </c>
      <c r="X25" s="54">
        <v>2.7</v>
      </c>
      <c r="Y25" s="54">
        <v>2.81</v>
      </c>
      <c r="Z25" s="54">
        <v>2.68</v>
      </c>
      <c r="AA25" s="54">
        <v>2.62</v>
      </c>
      <c r="AB25" s="54">
        <v>2.6</v>
      </c>
      <c r="AC25" s="54">
        <v>2.67</v>
      </c>
      <c r="AD25" s="54">
        <v>2.88</v>
      </c>
      <c r="AE25" s="54">
        <v>2.75</v>
      </c>
      <c r="AF25" s="54">
        <v>2.57</v>
      </c>
      <c r="AG25" s="54">
        <v>2.69</v>
      </c>
      <c r="AH25" s="54">
        <v>2.61</v>
      </c>
      <c r="AI25" s="54">
        <v>2.56</v>
      </c>
      <c r="AJ25" s="54">
        <v>2.59</v>
      </c>
      <c r="AK25" s="54">
        <v>2.77</v>
      </c>
      <c r="AL25" s="54">
        <v>2.99</v>
      </c>
      <c r="AM25" s="54">
        <v>2.78</v>
      </c>
      <c r="AN25" s="54">
        <v>3.02</v>
      </c>
      <c r="AO25" s="54">
        <v>3.38</v>
      </c>
      <c r="AP25" s="54">
        <v>3.24</v>
      </c>
      <c r="AQ25" s="54">
        <v>3.22</v>
      </c>
      <c r="AR25" s="54">
        <v>3.32</v>
      </c>
      <c r="AS25" s="54">
        <v>3.28</v>
      </c>
      <c r="AT25" s="54">
        <v>3.1419999999999999</v>
      </c>
      <c r="AU25" s="54">
        <v>3.35</v>
      </c>
      <c r="AV25" s="54">
        <v>3.2</v>
      </c>
      <c r="AW25" s="54">
        <v>3.15</v>
      </c>
      <c r="AX25" s="54">
        <v>3.27</v>
      </c>
      <c r="AY25" s="54">
        <v>3.2</v>
      </c>
      <c r="AZ25" s="54">
        <v>3.36</v>
      </c>
      <c r="BA25" s="54">
        <v>3.3</v>
      </c>
    </row>
    <row r="26" spans="1:53" x14ac:dyDescent="0.25">
      <c r="A26" t="s">
        <v>242</v>
      </c>
      <c r="B26">
        <v>99</v>
      </c>
      <c r="C26" s="54">
        <v>2.7627999999999999</v>
      </c>
      <c r="D26" s="54">
        <v>2.31</v>
      </c>
      <c r="E26" s="54">
        <v>2.48</v>
      </c>
      <c r="F26" s="54">
        <v>2.4300000000000002</v>
      </c>
      <c r="G26" s="54">
        <v>2.6</v>
      </c>
      <c r="H26" s="54">
        <v>2.4900000000000002</v>
      </c>
      <c r="I26" s="54">
        <v>2.87</v>
      </c>
      <c r="J26" s="54">
        <v>2.81</v>
      </c>
      <c r="K26" s="54">
        <v>2.71</v>
      </c>
      <c r="L26" s="54">
        <v>2.62</v>
      </c>
      <c r="M26" s="54">
        <v>2.54</v>
      </c>
      <c r="N26" s="54">
        <v>2.61</v>
      </c>
      <c r="O26" s="54">
        <v>2.77</v>
      </c>
      <c r="P26" s="54">
        <v>2.66</v>
      </c>
      <c r="Q26" s="54">
        <v>2.68</v>
      </c>
      <c r="R26" s="54">
        <v>2.52</v>
      </c>
      <c r="S26" s="54">
        <v>2.52</v>
      </c>
      <c r="T26" s="54">
        <v>2.63</v>
      </c>
      <c r="U26" s="54">
        <v>2.5499999999999998</v>
      </c>
      <c r="V26" s="54">
        <v>2.4500000000000002</v>
      </c>
      <c r="W26" s="54">
        <v>2.74</v>
      </c>
      <c r="X26" s="54">
        <v>2.7</v>
      </c>
      <c r="Y26" s="54">
        <v>2.52</v>
      </c>
      <c r="Z26" s="54">
        <v>2.3199999999999998</v>
      </c>
      <c r="AA26" s="54">
        <v>2.4</v>
      </c>
      <c r="AB26" s="54">
        <v>2.1800000000000002</v>
      </c>
      <c r="AC26" s="54">
        <v>2.5299999999999998</v>
      </c>
      <c r="AD26" s="54">
        <v>2.73</v>
      </c>
      <c r="AE26" s="54">
        <v>2.75</v>
      </c>
      <c r="AF26" s="54">
        <v>2.63</v>
      </c>
      <c r="AG26" s="54">
        <v>2.77</v>
      </c>
      <c r="AH26" s="54">
        <v>2.8</v>
      </c>
      <c r="AI26" s="54">
        <v>2.75</v>
      </c>
      <c r="AJ26" s="54">
        <v>2.52</v>
      </c>
      <c r="AK26" s="54">
        <v>2.74</v>
      </c>
      <c r="AL26" s="54">
        <v>2.57</v>
      </c>
      <c r="AM26" s="54">
        <v>2.72</v>
      </c>
      <c r="AN26" s="54">
        <v>2.99</v>
      </c>
      <c r="AO26" s="54">
        <v>3.42</v>
      </c>
      <c r="AP26" s="54">
        <v>3.03</v>
      </c>
      <c r="AQ26" s="54">
        <v>2.9</v>
      </c>
      <c r="AR26" s="54">
        <v>3.27</v>
      </c>
      <c r="AS26" s="54">
        <v>3.11</v>
      </c>
      <c r="AT26" s="54">
        <v>3.238</v>
      </c>
      <c r="AU26" s="54">
        <v>3.3</v>
      </c>
      <c r="AV26" s="54">
        <v>3.38</v>
      </c>
      <c r="AW26" s="54">
        <v>3.05</v>
      </c>
      <c r="AX26" s="54">
        <v>3.22</v>
      </c>
      <c r="AY26" s="54">
        <v>3.16</v>
      </c>
      <c r="AZ26" s="54">
        <v>3.4</v>
      </c>
      <c r="BA26" s="54">
        <v>3.05</v>
      </c>
    </row>
    <row r="27" spans="1:53" x14ac:dyDescent="0.25">
      <c r="A27" t="s">
        <v>132</v>
      </c>
      <c r="B27">
        <v>139</v>
      </c>
      <c r="C27" s="54">
        <v>2.3862999999999999</v>
      </c>
      <c r="D27" s="54">
        <v>2</v>
      </c>
      <c r="E27" s="54">
        <v>2.19</v>
      </c>
      <c r="F27" s="54">
        <v>2.12</v>
      </c>
      <c r="G27" s="54">
        <v>2.1800000000000002</v>
      </c>
      <c r="H27" s="54">
        <v>2.19</v>
      </c>
      <c r="I27" s="54">
        <v>2.19</v>
      </c>
      <c r="J27" s="54">
        <v>2.31</v>
      </c>
      <c r="K27" s="54">
        <v>2.13</v>
      </c>
      <c r="L27" s="54">
        <v>2.16</v>
      </c>
      <c r="M27" s="54">
        <v>2.15</v>
      </c>
      <c r="N27" s="54">
        <v>2.09</v>
      </c>
      <c r="O27" s="54">
        <v>2.16</v>
      </c>
      <c r="P27" s="54">
        <v>2.15</v>
      </c>
      <c r="Q27" s="54">
        <v>2.29</v>
      </c>
      <c r="R27" s="54">
        <v>2.33</v>
      </c>
      <c r="S27" s="54">
        <v>2.16</v>
      </c>
      <c r="T27" s="54">
        <v>2.2400000000000002</v>
      </c>
      <c r="U27" s="54">
        <v>2.37</v>
      </c>
      <c r="V27" s="54">
        <v>2.12</v>
      </c>
      <c r="W27" s="54">
        <v>2.27</v>
      </c>
      <c r="X27" s="54">
        <v>2.21</v>
      </c>
      <c r="Y27" s="54">
        <v>2.1800000000000002</v>
      </c>
      <c r="Z27" s="54">
        <v>2.19</v>
      </c>
      <c r="AA27" s="54">
        <v>2.35</v>
      </c>
      <c r="AB27" s="54">
        <v>2.2599999999999998</v>
      </c>
      <c r="AC27" s="54">
        <v>2.19</v>
      </c>
      <c r="AD27" s="54">
        <v>2.39</v>
      </c>
      <c r="AE27" s="54">
        <v>2.25</v>
      </c>
      <c r="AF27" s="54">
        <v>2.33</v>
      </c>
      <c r="AG27" s="54">
        <v>2.3199999999999998</v>
      </c>
      <c r="AH27" s="54">
        <v>2.1800000000000002</v>
      </c>
      <c r="AI27" s="54">
        <v>2.21</v>
      </c>
      <c r="AJ27" s="54">
        <v>2.15</v>
      </c>
      <c r="AK27" s="54">
        <v>2.06</v>
      </c>
      <c r="AL27" s="54">
        <v>2.5099999999999998</v>
      </c>
      <c r="AM27" s="54">
        <v>2.5499999999999998</v>
      </c>
      <c r="AN27" s="54">
        <v>2.44</v>
      </c>
      <c r="AO27" s="54">
        <v>2.94</v>
      </c>
      <c r="AP27" s="54">
        <v>2.81</v>
      </c>
      <c r="AQ27" s="54">
        <v>2.9</v>
      </c>
      <c r="AR27" s="54">
        <v>2.88</v>
      </c>
      <c r="AS27" s="54">
        <v>2.9</v>
      </c>
      <c r="AT27" s="54">
        <v>2.8260000000000001</v>
      </c>
      <c r="AU27" s="54">
        <v>2.88</v>
      </c>
      <c r="AV27" s="54">
        <v>2.9</v>
      </c>
      <c r="AW27" s="54">
        <v>2.81</v>
      </c>
      <c r="AX27" s="54">
        <v>2.71</v>
      </c>
      <c r="AY27" s="54">
        <v>2.71</v>
      </c>
      <c r="AZ27" s="54">
        <v>2.81</v>
      </c>
      <c r="BA27" s="54">
        <v>2.67</v>
      </c>
    </row>
    <row r="28" spans="1:53" x14ac:dyDescent="0.25">
      <c r="A28" t="s">
        <v>243</v>
      </c>
      <c r="B28">
        <v>207</v>
      </c>
      <c r="C28" s="54">
        <v>2.6307999999999998</v>
      </c>
      <c r="D28" s="54">
        <v>2.0499999999999998</v>
      </c>
      <c r="E28" s="54">
        <v>2.36</v>
      </c>
      <c r="F28" s="54">
        <v>2.33</v>
      </c>
      <c r="G28" s="54">
        <v>2.2200000000000002</v>
      </c>
      <c r="H28" s="54">
        <v>2.4700000000000002</v>
      </c>
      <c r="I28" s="54">
        <v>2.4900000000000002</v>
      </c>
      <c r="J28" s="54">
        <v>2.4300000000000002</v>
      </c>
      <c r="K28" s="54">
        <v>2.5299999999999998</v>
      </c>
      <c r="L28" s="54">
        <v>2.5</v>
      </c>
      <c r="M28" s="54">
        <v>2.37</v>
      </c>
      <c r="N28" s="54">
        <v>2.4700000000000002</v>
      </c>
      <c r="O28" s="54">
        <v>2.41</v>
      </c>
      <c r="P28" s="54">
        <v>2.36</v>
      </c>
      <c r="Q28" s="54">
        <v>2.41</v>
      </c>
      <c r="R28" s="54">
        <v>2.38</v>
      </c>
      <c r="S28" s="54">
        <v>2.21</v>
      </c>
      <c r="T28" s="54">
        <v>2.2799999999999998</v>
      </c>
      <c r="U28" s="54">
        <v>2.34</v>
      </c>
      <c r="V28" s="54">
        <v>2.2400000000000002</v>
      </c>
      <c r="W28" s="54">
        <v>2.15</v>
      </c>
      <c r="X28" s="54">
        <v>2.33</v>
      </c>
      <c r="Y28" s="54">
        <v>2.41</v>
      </c>
      <c r="Z28" s="54">
        <v>2.31</v>
      </c>
      <c r="AA28" s="54">
        <v>2.46</v>
      </c>
      <c r="AB28" s="54">
        <v>2.2599999999999998</v>
      </c>
      <c r="AC28" s="54">
        <v>2.42</v>
      </c>
      <c r="AD28" s="54">
        <v>2.68</v>
      </c>
      <c r="AE28" s="54">
        <v>2.52</v>
      </c>
      <c r="AF28" s="54">
        <v>2.59</v>
      </c>
      <c r="AG28" s="54">
        <v>2.57</v>
      </c>
      <c r="AH28" s="54">
        <v>2.42</v>
      </c>
      <c r="AI28" s="54">
        <v>2.44</v>
      </c>
      <c r="AJ28" s="54">
        <v>2.56</v>
      </c>
      <c r="AK28" s="54">
        <v>2.74</v>
      </c>
      <c r="AL28" s="54">
        <v>2.7</v>
      </c>
      <c r="AM28" s="54">
        <v>2.67</v>
      </c>
      <c r="AN28" s="54">
        <v>3</v>
      </c>
      <c r="AO28" s="54">
        <v>3.14</v>
      </c>
      <c r="AP28" s="54">
        <v>3.09</v>
      </c>
      <c r="AQ28" s="54">
        <v>3.24</v>
      </c>
      <c r="AR28" s="54">
        <v>3.28</v>
      </c>
      <c r="AS28" s="54">
        <v>3.43</v>
      </c>
      <c r="AT28" s="54">
        <v>3.1219999999999999</v>
      </c>
      <c r="AU28" s="54">
        <v>3.13</v>
      </c>
      <c r="AV28" s="54">
        <v>3.22</v>
      </c>
      <c r="AW28" s="54">
        <v>3.18</v>
      </c>
      <c r="AX28" s="54">
        <v>3.12</v>
      </c>
      <c r="AY28" s="54">
        <v>3.05</v>
      </c>
      <c r="AZ28" s="54">
        <v>3.22</v>
      </c>
      <c r="BA28" s="54">
        <v>3.24</v>
      </c>
    </row>
    <row r="29" spans="1:53" x14ac:dyDescent="0.25">
      <c r="A29" t="s">
        <v>37</v>
      </c>
      <c r="B29">
        <v>1542</v>
      </c>
      <c r="C29" s="54">
        <v>2.597</v>
      </c>
      <c r="D29" s="54">
        <v>2.02</v>
      </c>
      <c r="E29" s="54">
        <v>2.34</v>
      </c>
      <c r="F29" s="54">
        <v>2.37</v>
      </c>
      <c r="G29" s="54">
        <v>2.4500000000000002</v>
      </c>
      <c r="H29" s="54">
        <v>2.52</v>
      </c>
      <c r="I29" s="54">
        <v>2.54</v>
      </c>
      <c r="J29" s="54">
        <v>2.52</v>
      </c>
      <c r="K29" s="54">
        <v>2.5099999999999998</v>
      </c>
      <c r="L29" s="54">
        <v>2.4900000000000002</v>
      </c>
      <c r="M29" s="54">
        <v>2.5299999999999998</v>
      </c>
      <c r="N29" s="54">
        <v>2.54</v>
      </c>
      <c r="O29" s="54">
        <v>2.5099999999999998</v>
      </c>
      <c r="P29" s="54">
        <v>2.4500000000000002</v>
      </c>
      <c r="Q29" s="54">
        <v>2.41</v>
      </c>
      <c r="R29" s="54">
        <v>2.36</v>
      </c>
      <c r="S29" s="54">
        <v>2.3199999999999998</v>
      </c>
      <c r="T29" s="54">
        <v>2.2599999999999998</v>
      </c>
      <c r="U29" s="54">
        <v>2.2200000000000002</v>
      </c>
      <c r="V29" s="54">
        <v>2.23</v>
      </c>
      <c r="W29" s="54">
        <v>2.2400000000000002</v>
      </c>
      <c r="X29" s="54">
        <v>2.3199999999999998</v>
      </c>
      <c r="Y29" s="54">
        <v>2.2599999999999998</v>
      </c>
      <c r="Z29" s="54">
        <v>2.25</v>
      </c>
      <c r="AA29" s="54">
        <v>2.2799999999999998</v>
      </c>
      <c r="AB29" s="54">
        <v>2.23</v>
      </c>
      <c r="AC29" s="54">
        <v>2.33</v>
      </c>
      <c r="AD29" s="54">
        <v>2.38</v>
      </c>
      <c r="AE29" s="54">
        <v>2.34</v>
      </c>
      <c r="AF29" s="54">
        <v>2.4700000000000002</v>
      </c>
      <c r="AG29" s="54">
        <v>2.4700000000000002</v>
      </c>
      <c r="AH29" s="54">
        <v>2.4300000000000002</v>
      </c>
      <c r="AI29" s="54">
        <v>2.3199999999999998</v>
      </c>
      <c r="AJ29" s="54">
        <v>2.4</v>
      </c>
      <c r="AK29" s="54">
        <v>2.58</v>
      </c>
      <c r="AL29" s="54">
        <v>2.73</v>
      </c>
      <c r="AM29" s="54">
        <v>2.72</v>
      </c>
      <c r="AN29" s="54">
        <v>3.06</v>
      </c>
      <c r="AO29" s="54">
        <v>3.33</v>
      </c>
      <c r="AP29" s="54">
        <v>3.08</v>
      </c>
      <c r="AQ29" s="54">
        <v>3.04</v>
      </c>
      <c r="AR29" s="54">
        <v>3.16</v>
      </c>
      <c r="AS29" s="54">
        <v>3.19</v>
      </c>
      <c r="AT29" s="54">
        <v>3.0990000000000002</v>
      </c>
      <c r="AU29" s="54">
        <v>3</v>
      </c>
      <c r="AV29" s="54">
        <v>3.06</v>
      </c>
      <c r="AW29" s="54">
        <v>3.06</v>
      </c>
      <c r="AX29" s="54">
        <v>2.96</v>
      </c>
      <c r="AY29" s="54">
        <v>3.01</v>
      </c>
      <c r="AZ29" s="54">
        <v>3.21</v>
      </c>
      <c r="BA29" s="54">
        <v>3.25</v>
      </c>
    </row>
    <row r="30" spans="1:53" x14ac:dyDescent="0.25">
      <c r="A30" t="s">
        <v>134</v>
      </c>
      <c r="B30">
        <v>436</v>
      </c>
      <c r="C30" s="54">
        <v>2.6120000000000001</v>
      </c>
      <c r="D30" s="54">
        <v>1.92</v>
      </c>
      <c r="E30" s="54">
        <v>2.34</v>
      </c>
      <c r="F30" s="54">
        <v>2.33</v>
      </c>
      <c r="G30" s="54">
        <v>2.41</v>
      </c>
      <c r="H30" s="54">
        <v>2.4700000000000002</v>
      </c>
      <c r="I30" s="54">
        <v>2.4900000000000002</v>
      </c>
      <c r="J30" s="54">
        <v>2.4900000000000002</v>
      </c>
      <c r="K30" s="54">
        <v>2.46</v>
      </c>
      <c r="L30" s="54">
        <v>2.4300000000000002</v>
      </c>
      <c r="M30" s="54">
        <v>2.48</v>
      </c>
      <c r="N30" s="54">
        <v>2.5299999999999998</v>
      </c>
      <c r="O30" s="54">
        <v>2.4900000000000002</v>
      </c>
      <c r="P30" s="54">
        <v>2.39</v>
      </c>
      <c r="Q30" s="54">
        <v>2.35</v>
      </c>
      <c r="R30" s="54">
        <v>2.35</v>
      </c>
      <c r="S30" s="54">
        <v>2.25</v>
      </c>
      <c r="T30" s="54">
        <v>2.27</v>
      </c>
      <c r="U30" s="54">
        <v>2.14</v>
      </c>
      <c r="V30" s="54">
        <v>2.17</v>
      </c>
      <c r="W30" s="54">
        <v>2.23</v>
      </c>
      <c r="X30" s="54">
        <v>2.33</v>
      </c>
      <c r="Y30" s="54">
        <v>2.25</v>
      </c>
      <c r="Z30" s="54">
        <v>2.31</v>
      </c>
      <c r="AA30" s="54">
        <v>2.2599999999999998</v>
      </c>
      <c r="AB30" s="54">
        <v>2.2400000000000002</v>
      </c>
      <c r="AC30" s="54">
        <v>2.34</v>
      </c>
      <c r="AD30" s="54">
        <v>2.46</v>
      </c>
      <c r="AE30" s="54">
        <v>2.41</v>
      </c>
      <c r="AF30" s="54">
        <v>2.5099999999999998</v>
      </c>
      <c r="AG30" s="54">
        <v>2.46</v>
      </c>
      <c r="AH30" s="54">
        <v>2.5</v>
      </c>
      <c r="AI30" s="54">
        <v>2.33</v>
      </c>
      <c r="AJ30" s="54">
        <v>2.4300000000000002</v>
      </c>
      <c r="AK30" s="54">
        <v>2.57</v>
      </c>
      <c r="AL30" s="54">
        <v>2.76</v>
      </c>
      <c r="AM30" s="54">
        <v>2.75</v>
      </c>
      <c r="AN30" s="54">
        <v>3.06</v>
      </c>
      <c r="AO30" s="54">
        <v>3.41</v>
      </c>
      <c r="AP30" s="54">
        <v>3.18</v>
      </c>
      <c r="AQ30" s="54">
        <v>3.2</v>
      </c>
      <c r="AR30" s="54">
        <v>3.23</v>
      </c>
      <c r="AS30" s="54">
        <v>3.32</v>
      </c>
      <c r="AT30" s="54">
        <v>3.169</v>
      </c>
      <c r="AU30" s="54">
        <v>3.06</v>
      </c>
      <c r="AV30" s="54">
        <v>3.09</v>
      </c>
      <c r="AW30" s="54">
        <v>3.14</v>
      </c>
      <c r="AX30" s="54">
        <v>3.08</v>
      </c>
      <c r="AY30" s="54">
        <v>3.12</v>
      </c>
      <c r="AZ30" s="54">
        <v>3.26</v>
      </c>
      <c r="BA30" s="54">
        <v>3.38</v>
      </c>
    </row>
    <row r="31" spans="1:53" x14ac:dyDescent="0.25">
      <c r="A31" t="s">
        <v>135</v>
      </c>
      <c r="B31">
        <v>201</v>
      </c>
      <c r="C31" s="54">
        <v>2.6533000000000002</v>
      </c>
      <c r="D31" s="54">
        <v>2.15</v>
      </c>
      <c r="E31" s="54">
        <v>2.46</v>
      </c>
      <c r="F31" s="54">
        <v>2.44</v>
      </c>
      <c r="G31" s="54">
        <v>2.52</v>
      </c>
      <c r="H31" s="54">
        <v>2.61</v>
      </c>
      <c r="I31" s="54">
        <v>2.5499999999999998</v>
      </c>
      <c r="J31" s="54">
        <v>2.68</v>
      </c>
      <c r="K31" s="54">
        <v>2.68</v>
      </c>
      <c r="L31" s="54">
        <v>2.6</v>
      </c>
      <c r="M31" s="54">
        <v>2.62</v>
      </c>
      <c r="N31" s="54">
        <v>2.6</v>
      </c>
      <c r="O31" s="54">
        <v>2.64</v>
      </c>
      <c r="P31" s="54">
        <v>2.48</v>
      </c>
      <c r="Q31" s="54">
        <v>2.4900000000000002</v>
      </c>
      <c r="R31" s="54">
        <v>2.4300000000000002</v>
      </c>
      <c r="S31" s="54">
        <v>2.42</v>
      </c>
      <c r="T31" s="54">
        <v>2.37</v>
      </c>
      <c r="U31" s="54">
        <v>2.3199999999999998</v>
      </c>
      <c r="V31" s="54">
        <v>2.44</v>
      </c>
      <c r="W31" s="54">
        <v>2.3199999999999998</v>
      </c>
      <c r="X31" s="54">
        <v>2.37</v>
      </c>
      <c r="Y31" s="54">
        <v>2.41</v>
      </c>
      <c r="Z31" s="54">
        <v>2.3199999999999998</v>
      </c>
      <c r="AA31" s="54">
        <v>2.34</v>
      </c>
      <c r="AB31" s="54">
        <v>2.35</v>
      </c>
      <c r="AC31" s="54">
        <v>2.46</v>
      </c>
      <c r="AD31" s="54">
        <v>2.4300000000000002</v>
      </c>
      <c r="AE31" s="54">
        <v>2.42</v>
      </c>
      <c r="AF31" s="54">
        <v>2.5099999999999998</v>
      </c>
      <c r="AG31" s="54">
        <v>2.5499999999999998</v>
      </c>
      <c r="AH31" s="54">
        <v>2.25</v>
      </c>
      <c r="AI31" s="54">
        <v>2.31</v>
      </c>
      <c r="AJ31" s="54">
        <v>2.5499999999999998</v>
      </c>
      <c r="AK31" s="54">
        <v>2.73</v>
      </c>
      <c r="AL31" s="54">
        <v>2.77</v>
      </c>
      <c r="AM31" s="54">
        <v>2.75</v>
      </c>
      <c r="AN31" s="54">
        <v>3.1</v>
      </c>
      <c r="AO31" s="54">
        <v>3.25</v>
      </c>
      <c r="AP31" s="54">
        <v>3.12</v>
      </c>
      <c r="AQ31" s="54">
        <v>2.95</v>
      </c>
      <c r="AR31" s="54">
        <v>3.2</v>
      </c>
      <c r="AS31" s="54">
        <v>3.13</v>
      </c>
      <c r="AT31" s="54">
        <v>3.133</v>
      </c>
      <c r="AU31" s="54">
        <v>3.03</v>
      </c>
      <c r="AV31" s="54">
        <v>3.02</v>
      </c>
      <c r="AW31" s="54">
        <v>3.04</v>
      </c>
      <c r="AX31" s="54">
        <v>2.98</v>
      </c>
      <c r="AY31" s="54">
        <v>3.03</v>
      </c>
      <c r="AZ31" s="54">
        <v>3.18</v>
      </c>
      <c r="BA31" s="54">
        <v>3.16</v>
      </c>
    </row>
    <row r="32" spans="1:53" x14ac:dyDescent="0.25">
      <c r="A32" t="s">
        <v>136</v>
      </c>
      <c r="B32">
        <v>600</v>
      </c>
      <c r="C32" s="54">
        <v>2.5855000000000001</v>
      </c>
      <c r="D32" s="54">
        <v>2.0699999999999998</v>
      </c>
      <c r="E32" s="54">
        <v>2.34</v>
      </c>
      <c r="F32" s="54">
        <v>2.39</v>
      </c>
      <c r="G32" s="54">
        <v>2.48</v>
      </c>
      <c r="H32" s="54">
        <v>2.4900000000000002</v>
      </c>
      <c r="I32" s="54">
        <v>2.6</v>
      </c>
      <c r="J32" s="54">
        <v>2.56</v>
      </c>
      <c r="K32" s="54">
        <v>2.54</v>
      </c>
      <c r="L32" s="54">
        <v>2.58</v>
      </c>
      <c r="M32" s="54">
        <v>2.56</v>
      </c>
      <c r="N32" s="54">
        <v>2.5299999999999998</v>
      </c>
      <c r="O32" s="54">
        <v>2.5099999999999998</v>
      </c>
      <c r="P32" s="54">
        <v>2.5299999999999998</v>
      </c>
      <c r="Q32" s="54">
        <v>2.48</v>
      </c>
      <c r="R32" s="54">
        <v>2.4</v>
      </c>
      <c r="S32" s="54">
        <v>2.39</v>
      </c>
      <c r="T32" s="54">
        <v>2.2799999999999998</v>
      </c>
      <c r="U32" s="54">
        <v>2.2799999999999998</v>
      </c>
      <c r="V32" s="54">
        <v>2.27</v>
      </c>
      <c r="W32" s="54">
        <v>2.2200000000000002</v>
      </c>
      <c r="X32" s="54">
        <v>2.31</v>
      </c>
      <c r="Y32" s="54">
        <v>2.25</v>
      </c>
      <c r="Z32" s="54">
        <v>2.23</v>
      </c>
      <c r="AA32" s="54">
        <v>2.31</v>
      </c>
      <c r="AB32" s="54">
        <v>2.2000000000000002</v>
      </c>
      <c r="AC32" s="54">
        <v>2.27</v>
      </c>
      <c r="AD32" s="54">
        <v>2.29</v>
      </c>
      <c r="AE32" s="54">
        <v>2.25</v>
      </c>
      <c r="AF32" s="54">
        <v>2.39</v>
      </c>
      <c r="AG32" s="54">
        <v>2.44</v>
      </c>
      <c r="AH32" s="54">
        <v>2.48</v>
      </c>
      <c r="AI32" s="54">
        <v>2.34</v>
      </c>
      <c r="AJ32" s="54">
        <v>2.36</v>
      </c>
      <c r="AK32" s="54">
        <v>2.59</v>
      </c>
      <c r="AL32" s="54">
        <v>2.62</v>
      </c>
      <c r="AM32" s="54">
        <v>2.7</v>
      </c>
      <c r="AN32" s="54">
        <v>3.09</v>
      </c>
      <c r="AO32" s="54">
        <v>3.31</v>
      </c>
      <c r="AP32" s="54">
        <v>2.98</v>
      </c>
      <c r="AQ32" s="54">
        <v>2.97</v>
      </c>
      <c r="AR32" s="54">
        <v>3.04</v>
      </c>
      <c r="AS32" s="54">
        <v>3.1</v>
      </c>
      <c r="AT32" s="54">
        <v>3.0070000000000001</v>
      </c>
      <c r="AU32" s="54">
        <v>3</v>
      </c>
      <c r="AV32" s="54">
        <v>3.01</v>
      </c>
      <c r="AW32" s="54">
        <v>3</v>
      </c>
      <c r="AX32" s="54">
        <v>2.89</v>
      </c>
      <c r="AY32" s="54">
        <v>2.97</v>
      </c>
      <c r="AZ32" s="54">
        <v>3.18</v>
      </c>
      <c r="BA32" s="54">
        <v>3.2</v>
      </c>
    </row>
    <row r="33" spans="1:53" x14ac:dyDescent="0.25">
      <c r="A33" t="s">
        <v>38</v>
      </c>
      <c r="B33">
        <v>5004</v>
      </c>
      <c r="C33" s="54">
        <v>2.5682999999999998</v>
      </c>
      <c r="D33" s="54">
        <v>1.95</v>
      </c>
      <c r="E33" s="54">
        <v>2.2599999999999998</v>
      </c>
      <c r="F33" s="54">
        <v>2.29</v>
      </c>
      <c r="G33" s="54">
        <v>2.21</v>
      </c>
      <c r="H33" s="54">
        <v>2.44</v>
      </c>
      <c r="I33" s="54">
        <v>2.41</v>
      </c>
      <c r="J33" s="54">
        <v>2.38</v>
      </c>
      <c r="K33" s="54">
        <v>2.5099999999999998</v>
      </c>
      <c r="L33" s="54">
        <v>2.46</v>
      </c>
      <c r="M33" s="54">
        <v>2.41</v>
      </c>
      <c r="N33" s="54">
        <v>2.42</v>
      </c>
      <c r="O33" s="54">
        <v>2.41</v>
      </c>
      <c r="P33" s="54">
        <v>2.38</v>
      </c>
      <c r="Q33" s="54">
        <v>2.41</v>
      </c>
      <c r="R33" s="54">
        <v>2.34</v>
      </c>
      <c r="S33" s="54">
        <v>2.34</v>
      </c>
      <c r="T33" s="54">
        <v>2.3199999999999998</v>
      </c>
      <c r="U33" s="54">
        <v>2.31</v>
      </c>
      <c r="V33" s="54">
        <v>2.27</v>
      </c>
      <c r="W33" s="54">
        <v>2.23</v>
      </c>
      <c r="X33" s="54">
        <v>2.35</v>
      </c>
      <c r="Y33" s="54">
        <v>2.2799999999999998</v>
      </c>
      <c r="Z33" s="54">
        <v>2.27</v>
      </c>
      <c r="AA33" s="54">
        <v>2.2999999999999998</v>
      </c>
      <c r="AB33" s="54">
        <v>2.2999999999999998</v>
      </c>
      <c r="AC33" s="54">
        <v>2.34</v>
      </c>
      <c r="AD33" s="54">
        <v>2.42</v>
      </c>
      <c r="AE33" s="54">
        <v>2.4</v>
      </c>
      <c r="AF33" s="54">
        <v>2.4700000000000002</v>
      </c>
      <c r="AG33" s="54">
        <v>2.4900000000000002</v>
      </c>
      <c r="AH33" s="54">
        <v>2.4</v>
      </c>
      <c r="AI33" s="54">
        <v>2.2799999999999998</v>
      </c>
      <c r="AJ33" s="54">
        <v>2.37</v>
      </c>
      <c r="AK33" s="54">
        <v>2.38</v>
      </c>
      <c r="AL33" s="54">
        <v>2.62</v>
      </c>
      <c r="AM33" s="54">
        <v>2.71</v>
      </c>
      <c r="AN33" s="54">
        <v>2.98</v>
      </c>
      <c r="AO33" s="54">
        <v>3.29</v>
      </c>
      <c r="AP33" s="54">
        <v>3.05</v>
      </c>
      <c r="AQ33" s="54">
        <v>3.04</v>
      </c>
      <c r="AR33" s="54">
        <v>3.12</v>
      </c>
      <c r="AS33" s="54">
        <v>3.17</v>
      </c>
      <c r="AT33" s="54">
        <v>3.044</v>
      </c>
      <c r="AU33" s="54">
        <v>3.05</v>
      </c>
      <c r="AV33" s="54">
        <v>3.15</v>
      </c>
      <c r="AW33" s="54">
        <v>3.04</v>
      </c>
      <c r="AX33" s="54">
        <v>2.99</v>
      </c>
      <c r="AY33" s="54">
        <v>3</v>
      </c>
      <c r="AZ33" s="54">
        <v>3.18</v>
      </c>
      <c r="BA33" s="54">
        <v>3.18</v>
      </c>
    </row>
    <row r="34" spans="1:53" x14ac:dyDescent="0.25">
      <c r="A34" t="s">
        <v>137</v>
      </c>
      <c r="B34">
        <v>2336</v>
      </c>
      <c r="C34" s="54">
        <v>2.6263000000000001</v>
      </c>
      <c r="D34" s="54">
        <v>2.0099999999999998</v>
      </c>
      <c r="E34" s="54">
        <v>2.3199999999999998</v>
      </c>
      <c r="F34" s="54">
        <v>2.31</v>
      </c>
      <c r="G34" s="54">
        <v>2.25</v>
      </c>
      <c r="H34" s="54">
        <v>2.4500000000000002</v>
      </c>
      <c r="I34" s="54">
        <v>2.4500000000000002</v>
      </c>
      <c r="J34" s="54">
        <v>2.38</v>
      </c>
      <c r="K34" s="54">
        <v>2.54</v>
      </c>
      <c r="L34" s="54">
        <v>2.5</v>
      </c>
      <c r="M34" s="54">
        <v>2.4500000000000002</v>
      </c>
      <c r="N34" s="54">
        <v>2.44</v>
      </c>
      <c r="O34" s="54">
        <v>2.4</v>
      </c>
      <c r="P34" s="54">
        <v>2.39</v>
      </c>
      <c r="Q34" s="54">
        <v>2.42</v>
      </c>
      <c r="R34" s="54">
        <v>2.37</v>
      </c>
      <c r="S34" s="54">
        <v>2.35</v>
      </c>
      <c r="T34" s="54">
        <v>2.33</v>
      </c>
      <c r="U34" s="54">
        <v>2.33</v>
      </c>
      <c r="V34" s="54">
        <v>2.33</v>
      </c>
      <c r="W34" s="54">
        <v>2.31</v>
      </c>
      <c r="X34" s="54">
        <v>2.39</v>
      </c>
      <c r="Y34" s="54">
        <v>2.35</v>
      </c>
      <c r="Z34" s="54">
        <v>2.2999999999999998</v>
      </c>
      <c r="AA34" s="54">
        <v>2.31</v>
      </c>
      <c r="AB34" s="54">
        <v>2.34</v>
      </c>
      <c r="AC34" s="54">
        <v>2.44</v>
      </c>
      <c r="AD34" s="54">
        <v>2.5</v>
      </c>
      <c r="AE34" s="54">
        <v>2.5</v>
      </c>
      <c r="AF34" s="54">
        <v>2.58</v>
      </c>
      <c r="AG34" s="54">
        <v>2.54</v>
      </c>
      <c r="AH34" s="54">
        <v>2.4700000000000002</v>
      </c>
      <c r="AI34" s="54">
        <v>2.35</v>
      </c>
      <c r="AJ34" s="54">
        <v>2.4500000000000002</v>
      </c>
      <c r="AK34" s="54">
        <v>2.46</v>
      </c>
      <c r="AL34" s="54">
        <v>2.7</v>
      </c>
      <c r="AM34" s="54">
        <v>2.75</v>
      </c>
      <c r="AN34" s="54">
        <v>3.02</v>
      </c>
      <c r="AO34" s="54">
        <v>3.4</v>
      </c>
      <c r="AP34" s="54">
        <v>3.1</v>
      </c>
      <c r="AQ34" s="54">
        <v>3.09</v>
      </c>
      <c r="AR34" s="54">
        <v>3.22</v>
      </c>
      <c r="AS34" s="54">
        <v>3.24</v>
      </c>
      <c r="AT34" s="54">
        <v>3.1259999999999999</v>
      </c>
      <c r="AU34" s="54">
        <v>3.16</v>
      </c>
      <c r="AV34" s="54">
        <v>3.28</v>
      </c>
      <c r="AW34" s="54">
        <v>3.13</v>
      </c>
      <c r="AX34" s="54">
        <v>3.09</v>
      </c>
      <c r="AY34" s="54">
        <v>3.12</v>
      </c>
      <c r="AZ34" s="54">
        <v>3.3</v>
      </c>
      <c r="BA34" s="54">
        <v>3.28</v>
      </c>
    </row>
    <row r="35" spans="1:53" x14ac:dyDescent="0.25">
      <c r="A35" t="s">
        <v>138</v>
      </c>
      <c r="B35">
        <v>2668</v>
      </c>
      <c r="C35" s="54">
        <v>2.4811000000000001</v>
      </c>
      <c r="D35" s="54">
        <v>1.85</v>
      </c>
      <c r="E35" s="54">
        <v>2.19</v>
      </c>
      <c r="F35" s="54">
        <v>2.2400000000000002</v>
      </c>
      <c r="G35" s="54">
        <v>2.19</v>
      </c>
      <c r="H35" s="54">
        <v>2.35</v>
      </c>
      <c r="I35" s="54">
        <v>2.33</v>
      </c>
      <c r="J35" s="54">
        <v>2.34</v>
      </c>
      <c r="K35" s="54">
        <v>2.41</v>
      </c>
      <c r="L35" s="54">
        <v>2.36</v>
      </c>
      <c r="M35" s="54">
        <v>2.2999999999999998</v>
      </c>
      <c r="N35" s="54">
        <v>2.35</v>
      </c>
      <c r="O35" s="54">
        <v>2.37</v>
      </c>
      <c r="P35" s="54">
        <v>2.36</v>
      </c>
      <c r="Q35" s="54">
        <v>2.35</v>
      </c>
      <c r="R35" s="54">
        <v>2.2799999999999998</v>
      </c>
      <c r="S35" s="54">
        <v>2.29</v>
      </c>
      <c r="T35" s="54">
        <v>2.27</v>
      </c>
      <c r="U35" s="54">
        <v>2.2599999999999998</v>
      </c>
      <c r="V35" s="54">
        <v>2.21</v>
      </c>
      <c r="W35" s="54">
        <v>2.16</v>
      </c>
      <c r="X35" s="54">
        <v>2.27</v>
      </c>
      <c r="Y35" s="54">
        <v>2.17</v>
      </c>
      <c r="Z35" s="54">
        <v>2.2200000000000002</v>
      </c>
      <c r="AA35" s="54">
        <v>2.2400000000000002</v>
      </c>
      <c r="AB35" s="54">
        <v>2.21</v>
      </c>
      <c r="AC35" s="54">
        <v>2.2200000000000002</v>
      </c>
      <c r="AD35" s="54">
        <v>2.33</v>
      </c>
      <c r="AE35" s="54">
        <v>2.2799999999999998</v>
      </c>
      <c r="AF35" s="54">
        <v>2.35</v>
      </c>
      <c r="AG35" s="54">
        <v>2.41</v>
      </c>
      <c r="AH35" s="54">
        <v>2.29</v>
      </c>
      <c r="AI35" s="54">
        <v>2.19</v>
      </c>
      <c r="AJ35" s="54">
        <v>2.27</v>
      </c>
      <c r="AK35" s="54">
        <v>2.27</v>
      </c>
      <c r="AL35" s="54">
        <v>2.52</v>
      </c>
      <c r="AM35" s="54">
        <v>2.64</v>
      </c>
      <c r="AN35" s="54">
        <v>2.92</v>
      </c>
      <c r="AO35" s="54">
        <v>3.18</v>
      </c>
      <c r="AP35" s="54">
        <v>2.96</v>
      </c>
      <c r="AQ35" s="54">
        <v>2.94</v>
      </c>
      <c r="AR35" s="54">
        <v>3</v>
      </c>
      <c r="AS35" s="54">
        <v>3.06</v>
      </c>
      <c r="AT35" s="54">
        <v>2.9159999999999999</v>
      </c>
      <c r="AU35" s="54">
        <v>2.87</v>
      </c>
      <c r="AV35" s="54">
        <v>2.97</v>
      </c>
      <c r="AW35" s="54">
        <v>2.9</v>
      </c>
      <c r="AX35" s="54">
        <v>2.9</v>
      </c>
      <c r="AY35" s="54">
        <v>2.9</v>
      </c>
      <c r="AZ35" s="54">
        <v>3.11</v>
      </c>
      <c r="BA35" s="54">
        <v>3.09</v>
      </c>
    </row>
    <row r="36" spans="1:53" x14ac:dyDescent="0.25">
      <c r="A36" t="s">
        <v>139</v>
      </c>
      <c r="B36">
        <v>10866</v>
      </c>
      <c r="C36" s="54">
        <v>2.4401999999999999</v>
      </c>
      <c r="D36" s="54">
        <v>1.96</v>
      </c>
      <c r="E36" s="54">
        <v>2.25</v>
      </c>
      <c r="F36" s="54">
        <v>2.1800000000000002</v>
      </c>
      <c r="G36" s="54">
        <v>2.15</v>
      </c>
      <c r="H36" s="54">
        <v>2.31</v>
      </c>
      <c r="I36" s="54">
        <v>2.33</v>
      </c>
      <c r="J36" s="54">
        <v>2.27</v>
      </c>
      <c r="K36" s="54">
        <v>2.35</v>
      </c>
      <c r="L36" s="54">
        <v>2.37</v>
      </c>
      <c r="M36" s="54">
        <v>2.36</v>
      </c>
      <c r="N36" s="54">
        <v>2.34</v>
      </c>
      <c r="O36" s="54">
        <v>2.29</v>
      </c>
      <c r="P36" s="54">
        <v>2.3199999999999998</v>
      </c>
      <c r="Q36" s="54">
        <v>2.31</v>
      </c>
      <c r="R36" s="54">
        <v>2.23</v>
      </c>
      <c r="S36" s="54">
        <v>2.25</v>
      </c>
      <c r="T36" s="54">
        <v>2.21</v>
      </c>
      <c r="U36" s="54">
        <v>2.21</v>
      </c>
      <c r="V36" s="54">
        <v>2.17</v>
      </c>
      <c r="W36" s="54">
        <v>2.15</v>
      </c>
      <c r="X36" s="54">
        <v>2.25</v>
      </c>
      <c r="Y36" s="54">
        <v>2.2000000000000002</v>
      </c>
      <c r="Z36" s="54">
        <v>2.17</v>
      </c>
      <c r="AA36" s="54">
        <v>2.16</v>
      </c>
      <c r="AB36" s="54">
        <v>2.1800000000000002</v>
      </c>
      <c r="AC36" s="54">
        <v>2.21</v>
      </c>
      <c r="AD36" s="54">
        <v>2.31</v>
      </c>
      <c r="AE36" s="54">
        <v>2.3199999999999998</v>
      </c>
      <c r="AF36" s="54">
        <v>2.35</v>
      </c>
      <c r="AG36" s="54">
        <v>2.35</v>
      </c>
      <c r="AH36" s="54">
        <v>2.37</v>
      </c>
      <c r="AI36" s="54">
        <v>2.25</v>
      </c>
      <c r="AJ36" s="54">
        <v>2.2999999999999998</v>
      </c>
      <c r="AK36" s="54">
        <v>2.36</v>
      </c>
      <c r="AL36" s="54">
        <v>2.4500000000000002</v>
      </c>
      <c r="AM36" s="54">
        <v>2.57</v>
      </c>
      <c r="AN36" s="54">
        <v>2.83</v>
      </c>
      <c r="AO36" s="54">
        <v>3.05</v>
      </c>
      <c r="AP36" s="54">
        <v>2.83</v>
      </c>
      <c r="AQ36" s="54">
        <v>2.83</v>
      </c>
      <c r="AR36" s="54">
        <v>2.91</v>
      </c>
      <c r="AS36" s="54">
        <v>2.95</v>
      </c>
      <c r="AT36" s="54">
        <v>2.8290000000000002</v>
      </c>
      <c r="AU36" s="54">
        <v>2.82</v>
      </c>
      <c r="AV36" s="54">
        <v>2.9</v>
      </c>
      <c r="AW36" s="54">
        <v>2.85</v>
      </c>
      <c r="AX36" s="54">
        <v>2.79</v>
      </c>
      <c r="AY36" s="54">
        <v>2.79</v>
      </c>
      <c r="AZ36" s="54">
        <v>2.96</v>
      </c>
      <c r="BA36" s="54">
        <v>2.86</v>
      </c>
    </row>
    <row r="37" spans="1:53" x14ac:dyDescent="0.25">
      <c r="A37" t="s">
        <v>140</v>
      </c>
      <c r="B37">
        <v>1355</v>
      </c>
      <c r="C37" s="54">
        <v>2.8262999999999998</v>
      </c>
      <c r="D37" s="54">
        <v>2.33</v>
      </c>
      <c r="E37" s="54">
        <v>2.64</v>
      </c>
      <c r="F37" s="54">
        <v>2.5099999999999998</v>
      </c>
      <c r="G37" s="54">
        <v>2.42</v>
      </c>
      <c r="H37" s="54">
        <v>2.74</v>
      </c>
      <c r="I37" s="54">
        <v>2.77</v>
      </c>
      <c r="J37" s="54">
        <v>2.62</v>
      </c>
      <c r="K37" s="54">
        <v>2.77</v>
      </c>
      <c r="L37" s="54">
        <v>2.8</v>
      </c>
      <c r="M37" s="54">
        <v>2.72</v>
      </c>
      <c r="N37" s="54">
        <v>2.81</v>
      </c>
      <c r="O37" s="54">
        <v>2.69</v>
      </c>
      <c r="P37" s="54">
        <v>2.76</v>
      </c>
      <c r="Q37" s="54">
        <v>2.66</v>
      </c>
      <c r="R37" s="54">
        <v>2.52</v>
      </c>
      <c r="S37" s="54">
        <v>2.63</v>
      </c>
      <c r="T37" s="54">
        <v>2.4900000000000002</v>
      </c>
      <c r="U37" s="54">
        <v>2.5</v>
      </c>
      <c r="V37" s="54">
        <v>2.46</v>
      </c>
      <c r="W37" s="54">
        <v>2.4300000000000002</v>
      </c>
      <c r="X37" s="54">
        <v>2.61</v>
      </c>
      <c r="Y37" s="54">
        <v>2.5299999999999998</v>
      </c>
      <c r="Z37" s="54">
        <v>2.4300000000000002</v>
      </c>
      <c r="AA37" s="54">
        <v>2.4900000000000002</v>
      </c>
      <c r="AB37" s="54">
        <v>2.52</v>
      </c>
      <c r="AC37" s="54">
        <v>2.58</v>
      </c>
      <c r="AD37" s="54">
        <v>2.69</v>
      </c>
      <c r="AE37" s="54">
        <v>2.71</v>
      </c>
      <c r="AF37" s="54">
        <v>2.79</v>
      </c>
      <c r="AG37" s="54">
        <v>2.83</v>
      </c>
      <c r="AH37" s="54">
        <v>2.6</v>
      </c>
      <c r="AI37" s="54">
        <v>2.5</v>
      </c>
      <c r="AJ37" s="54">
        <v>2.65</v>
      </c>
      <c r="AK37" s="54">
        <v>2.74</v>
      </c>
      <c r="AL37" s="54">
        <v>2.87</v>
      </c>
      <c r="AM37" s="54">
        <v>2.93</v>
      </c>
      <c r="AN37" s="54">
        <v>3.2</v>
      </c>
      <c r="AO37" s="54">
        <v>3.46</v>
      </c>
      <c r="AP37" s="54">
        <v>3.24</v>
      </c>
      <c r="AQ37" s="54">
        <v>3.3</v>
      </c>
      <c r="AR37" s="54">
        <v>3.44</v>
      </c>
      <c r="AS37" s="54">
        <v>3.48</v>
      </c>
      <c r="AT37" s="54">
        <v>3.3170000000000002</v>
      </c>
      <c r="AU37" s="54">
        <v>3.25</v>
      </c>
      <c r="AV37" s="54">
        <v>3.4</v>
      </c>
      <c r="AW37" s="54">
        <v>3.31</v>
      </c>
      <c r="AX37" s="54">
        <v>3.27</v>
      </c>
      <c r="AY37" s="54">
        <v>3.29</v>
      </c>
      <c r="AZ37" s="54">
        <v>3.34</v>
      </c>
      <c r="BA37" s="54">
        <v>3.28</v>
      </c>
    </row>
    <row r="38" spans="1:53" x14ac:dyDescent="0.25">
      <c r="A38" t="s">
        <v>141</v>
      </c>
      <c r="B38">
        <v>708</v>
      </c>
      <c r="C38" s="54">
        <v>2.746</v>
      </c>
      <c r="D38" s="54">
        <v>2.25</v>
      </c>
      <c r="E38" s="54">
        <v>2.6</v>
      </c>
      <c r="F38" s="54">
        <v>2.44</v>
      </c>
      <c r="G38" s="54">
        <v>2.39</v>
      </c>
      <c r="H38" s="54">
        <v>2.64</v>
      </c>
      <c r="I38" s="54">
        <v>2.65</v>
      </c>
      <c r="J38" s="54">
        <v>2.48</v>
      </c>
      <c r="K38" s="54">
        <v>2.66</v>
      </c>
      <c r="L38" s="54">
        <v>2.72</v>
      </c>
      <c r="M38" s="54">
        <v>2.71</v>
      </c>
      <c r="N38" s="54">
        <v>2.8</v>
      </c>
      <c r="O38" s="54">
        <v>2.65</v>
      </c>
      <c r="P38" s="54">
        <v>2.72</v>
      </c>
      <c r="Q38" s="54">
        <v>2.61</v>
      </c>
      <c r="R38" s="54">
        <v>2.46</v>
      </c>
      <c r="S38" s="54">
        <v>2.61</v>
      </c>
      <c r="T38" s="54">
        <v>2.4500000000000002</v>
      </c>
      <c r="U38" s="54">
        <v>2.42</v>
      </c>
      <c r="V38" s="54">
        <v>2.42</v>
      </c>
      <c r="W38" s="54">
        <v>2.41</v>
      </c>
      <c r="X38" s="54">
        <v>2.58</v>
      </c>
      <c r="Y38" s="54">
        <v>2.5299999999999998</v>
      </c>
      <c r="Z38" s="54">
        <v>2.4</v>
      </c>
      <c r="AA38" s="54">
        <v>2.52</v>
      </c>
      <c r="AB38" s="54">
        <v>2.5099999999999998</v>
      </c>
      <c r="AC38" s="54">
        <v>2.5299999999999998</v>
      </c>
      <c r="AD38" s="54">
        <v>2.6</v>
      </c>
      <c r="AE38" s="54">
        <v>2.62</v>
      </c>
      <c r="AF38" s="54">
        <v>2.68</v>
      </c>
      <c r="AG38" s="54">
        <v>2.69</v>
      </c>
      <c r="AH38" s="54">
        <v>2.4700000000000002</v>
      </c>
      <c r="AI38" s="54">
        <v>2.41</v>
      </c>
      <c r="AJ38" s="54">
        <v>2.66</v>
      </c>
      <c r="AK38" s="54">
        <v>2.71</v>
      </c>
      <c r="AL38" s="54">
        <v>2.84</v>
      </c>
      <c r="AM38" s="54">
        <v>2.91</v>
      </c>
      <c r="AN38" s="54">
        <v>3.08</v>
      </c>
      <c r="AO38" s="54">
        <v>3.31</v>
      </c>
      <c r="AP38" s="54">
        <v>3.12</v>
      </c>
      <c r="AQ38" s="54">
        <v>3.08</v>
      </c>
      <c r="AR38" s="54">
        <v>3.26</v>
      </c>
      <c r="AS38" s="54">
        <v>3.34</v>
      </c>
      <c r="AT38" s="54">
        <v>3.1880000000000002</v>
      </c>
      <c r="AU38" s="54">
        <v>3.13</v>
      </c>
      <c r="AV38" s="54">
        <v>3.25</v>
      </c>
      <c r="AW38" s="54">
        <v>3.15</v>
      </c>
      <c r="AX38" s="54">
        <v>3.17</v>
      </c>
      <c r="AY38" s="54">
        <v>3.12</v>
      </c>
      <c r="AZ38" s="54">
        <v>3.17</v>
      </c>
      <c r="BA38" s="54">
        <v>3.18</v>
      </c>
    </row>
    <row r="39" spans="1:53" x14ac:dyDescent="0.25">
      <c r="A39" t="s">
        <v>142</v>
      </c>
      <c r="B39">
        <v>583</v>
      </c>
      <c r="C39" s="54">
        <v>2.9278</v>
      </c>
      <c r="D39" s="54">
        <v>2.42</v>
      </c>
      <c r="E39" s="54">
        <v>2.67</v>
      </c>
      <c r="F39" s="54">
        <v>2.58</v>
      </c>
      <c r="G39" s="54">
        <v>2.4700000000000002</v>
      </c>
      <c r="H39" s="54">
        <v>2.85</v>
      </c>
      <c r="I39" s="54">
        <v>2.88</v>
      </c>
      <c r="J39" s="54">
        <v>2.79</v>
      </c>
      <c r="K39" s="54">
        <v>2.88</v>
      </c>
      <c r="L39" s="54">
        <v>2.89</v>
      </c>
      <c r="M39" s="54">
        <v>2.75</v>
      </c>
      <c r="N39" s="54">
        <v>2.85</v>
      </c>
      <c r="O39" s="54">
        <v>2.74</v>
      </c>
      <c r="P39" s="54">
        <v>2.75</v>
      </c>
      <c r="Q39" s="54">
        <v>2.71</v>
      </c>
      <c r="R39" s="54">
        <v>2.6</v>
      </c>
      <c r="S39" s="54">
        <v>2.66</v>
      </c>
      <c r="T39" s="54">
        <v>2.5</v>
      </c>
      <c r="U39" s="54">
        <v>2.57</v>
      </c>
      <c r="V39" s="54">
        <v>2.4900000000000002</v>
      </c>
      <c r="W39" s="54">
        <v>2.4500000000000002</v>
      </c>
      <c r="X39" s="54">
        <v>2.64</v>
      </c>
      <c r="Y39" s="54">
        <v>2.57</v>
      </c>
      <c r="Z39" s="54">
        <v>2.46</v>
      </c>
      <c r="AA39" s="54">
        <v>2.44</v>
      </c>
      <c r="AB39" s="54">
        <v>2.5099999999999998</v>
      </c>
      <c r="AC39" s="54">
        <v>2.63</v>
      </c>
      <c r="AD39" s="54">
        <v>2.77</v>
      </c>
      <c r="AE39" s="54">
        <v>2.81</v>
      </c>
      <c r="AF39" s="54">
        <v>2.92</v>
      </c>
      <c r="AG39" s="54">
        <v>3.02</v>
      </c>
      <c r="AH39" s="54">
        <v>2.73</v>
      </c>
      <c r="AI39" s="54">
        <v>2.61</v>
      </c>
      <c r="AJ39" s="54">
        <v>2.66</v>
      </c>
      <c r="AK39" s="54">
        <v>2.78</v>
      </c>
      <c r="AL39" s="54">
        <v>2.94</v>
      </c>
      <c r="AM39" s="54">
        <v>2.99</v>
      </c>
      <c r="AN39" s="54">
        <v>3.38</v>
      </c>
      <c r="AO39" s="54">
        <v>3.67</v>
      </c>
      <c r="AP39" s="54">
        <v>3.43</v>
      </c>
      <c r="AQ39" s="54">
        <v>3.56</v>
      </c>
      <c r="AR39" s="54">
        <v>3.68</v>
      </c>
      <c r="AS39" s="54">
        <v>3.71</v>
      </c>
      <c r="AT39" s="54">
        <v>3.5019999999999998</v>
      </c>
      <c r="AU39" s="54">
        <v>3.45</v>
      </c>
      <c r="AV39" s="54">
        <v>3.6</v>
      </c>
      <c r="AW39" s="54">
        <v>3.5</v>
      </c>
      <c r="AX39" s="54">
        <v>3.45</v>
      </c>
      <c r="AY39" s="54">
        <v>3.5</v>
      </c>
      <c r="AZ39" s="54">
        <v>3.57</v>
      </c>
      <c r="BA39" s="54">
        <v>3.41</v>
      </c>
    </row>
    <row r="40" spans="1:53" x14ac:dyDescent="0.25">
      <c r="A40" t="s">
        <v>143</v>
      </c>
      <c r="B40">
        <v>2034</v>
      </c>
      <c r="C40" s="54">
        <v>2.8273999999999999</v>
      </c>
      <c r="D40" s="54">
        <v>2.23</v>
      </c>
      <c r="E40" s="54">
        <v>2.82</v>
      </c>
      <c r="F40" s="54">
        <v>2.58</v>
      </c>
      <c r="G40" s="54">
        <v>2.4700000000000002</v>
      </c>
      <c r="H40" s="54">
        <v>2.66</v>
      </c>
      <c r="I40" s="54">
        <v>2.69</v>
      </c>
      <c r="J40" s="54">
        <v>2.58</v>
      </c>
      <c r="K40" s="54">
        <v>2.69</v>
      </c>
      <c r="L40" s="54">
        <v>2.76</v>
      </c>
      <c r="M40" s="54">
        <v>2.8</v>
      </c>
      <c r="N40" s="54">
        <v>2.8</v>
      </c>
      <c r="O40" s="54">
        <v>2.73</v>
      </c>
      <c r="P40" s="54">
        <v>2.71</v>
      </c>
      <c r="Q40" s="54">
        <v>2.71</v>
      </c>
      <c r="R40" s="54">
        <v>2.63</v>
      </c>
      <c r="S40" s="54">
        <v>2.57</v>
      </c>
      <c r="T40" s="54">
        <v>2.56</v>
      </c>
      <c r="U40" s="54">
        <v>2.56</v>
      </c>
      <c r="V40" s="54">
        <v>2.5299999999999998</v>
      </c>
      <c r="W40" s="54">
        <v>2.5499999999999998</v>
      </c>
      <c r="X40" s="54">
        <v>2.63</v>
      </c>
      <c r="Y40" s="54">
        <v>2.54</v>
      </c>
      <c r="Z40" s="54">
        <v>2.4700000000000002</v>
      </c>
      <c r="AA40" s="54">
        <v>2.5099999999999998</v>
      </c>
      <c r="AB40" s="54">
        <v>2.44</v>
      </c>
      <c r="AC40" s="54">
        <v>2.4700000000000002</v>
      </c>
      <c r="AD40" s="54">
        <v>2.61</v>
      </c>
      <c r="AE40" s="54">
        <v>2.5499999999999998</v>
      </c>
      <c r="AF40" s="54">
        <v>2.63</v>
      </c>
      <c r="AG40" s="54">
        <v>2.68</v>
      </c>
      <c r="AH40" s="54">
        <v>3</v>
      </c>
      <c r="AI40" s="54">
        <v>2.67</v>
      </c>
      <c r="AJ40" s="54">
        <v>2.79</v>
      </c>
      <c r="AK40" s="54">
        <v>2.76</v>
      </c>
      <c r="AL40" s="54">
        <v>2.88</v>
      </c>
      <c r="AM40" s="54">
        <v>3.16</v>
      </c>
      <c r="AN40" s="54">
        <v>3.3</v>
      </c>
      <c r="AO40" s="54">
        <v>3.27</v>
      </c>
      <c r="AP40" s="54">
        <v>3.13</v>
      </c>
      <c r="AQ40" s="54">
        <v>3.15</v>
      </c>
      <c r="AR40" s="54">
        <v>3.24</v>
      </c>
      <c r="AS40" s="54">
        <v>3.41</v>
      </c>
      <c r="AT40" s="54">
        <v>3.198</v>
      </c>
      <c r="AU40" s="54">
        <v>3.31</v>
      </c>
      <c r="AV40" s="54">
        <v>3.32</v>
      </c>
      <c r="AW40" s="54">
        <v>3.39</v>
      </c>
      <c r="AX40" s="54">
        <v>3.29</v>
      </c>
      <c r="AY40" s="54">
        <v>3.28</v>
      </c>
      <c r="AZ40" s="54">
        <v>3.35</v>
      </c>
      <c r="BA40" s="54">
        <v>3.31</v>
      </c>
    </row>
    <row r="41" spans="1:53" x14ac:dyDescent="0.25">
      <c r="A41" t="s">
        <v>144</v>
      </c>
      <c r="B41">
        <v>1273</v>
      </c>
      <c r="C41" s="54">
        <v>2.8734999999999999</v>
      </c>
      <c r="D41" s="54">
        <v>2.29</v>
      </c>
      <c r="E41" s="54">
        <v>2.83</v>
      </c>
      <c r="F41" s="54">
        <v>2.61</v>
      </c>
      <c r="G41" s="54">
        <v>2.5299999999999998</v>
      </c>
      <c r="H41" s="54">
        <v>2.69</v>
      </c>
      <c r="I41" s="54">
        <v>2.7</v>
      </c>
      <c r="J41" s="54">
        <v>2.64</v>
      </c>
      <c r="K41" s="54">
        <v>2.74</v>
      </c>
      <c r="L41" s="54">
        <v>2.81</v>
      </c>
      <c r="M41" s="54">
        <v>2.86</v>
      </c>
      <c r="N41" s="54">
        <v>2.82</v>
      </c>
      <c r="O41" s="54">
        <v>2.76</v>
      </c>
      <c r="P41" s="54">
        <v>2.74</v>
      </c>
      <c r="Q41" s="54">
        <v>2.76</v>
      </c>
      <c r="R41" s="54">
        <v>2.67</v>
      </c>
      <c r="S41" s="54">
        <v>2.63</v>
      </c>
      <c r="T41" s="54">
        <v>2.57</v>
      </c>
      <c r="U41" s="54">
        <v>2.59</v>
      </c>
      <c r="V41" s="54">
        <v>2.5499999999999998</v>
      </c>
      <c r="W41" s="54">
        <v>2.59</v>
      </c>
      <c r="X41" s="54">
        <v>2.66</v>
      </c>
      <c r="Y41" s="54">
        <v>2.56</v>
      </c>
      <c r="Z41" s="54">
        <v>2.4700000000000002</v>
      </c>
      <c r="AA41" s="54">
        <v>2.54</v>
      </c>
      <c r="AB41" s="54">
        <v>2.46</v>
      </c>
      <c r="AC41" s="54">
        <v>2.4700000000000002</v>
      </c>
      <c r="AD41" s="54">
        <v>2.67</v>
      </c>
      <c r="AE41" s="54">
        <v>2.58</v>
      </c>
      <c r="AF41" s="54">
        <v>2.66</v>
      </c>
      <c r="AG41" s="54">
        <v>2.68</v>
      </c>
      <c r="AH41" s="54">
        <v>3.08</v>
      </c>
      <c r="AI41" s="54">
        <v>2.73</v>
      </c>
      <c r="AJ41" s="54">
        <v>2.89</v>
      </c>
      <c r="AK41" s="54">
        <v>2.83</v>
      </c>
      <c r="AL41" s="54">
        <v>2.92</v>
      </c>
      <c r="AM41" s="54">
        <v>3.27</v>
      </c>
      <c r="AN41" s="54">
        <v>3.37</v>
      </c>
      <c r="AO41" s="54">
        <v>3.33</v>
      </c>
      <c r="AP41" s="54">
        <v>3.2</v>
      </c>
      <c r="AQ41" s="54">
        <v>3.21</v>
      </c>
      <c r="AR41" s="54">
        <v>3.31</v>
      </c>
      <c r="AS41" s="54">
        <v>3.46</v>
      </c>
      <c r="AT41" s="54">
        <v>3.226</v>
      </c>
      <c r="AU41" s="54">
        <v>3.35</v>
      </c>
      <c r="AV41" s="54">
        <v>3.36</v>
      </c>
      <c r="AW41" s="54">
        <v>3.45</v>
      </c>
      <c r="AX41" s="54">
        <v>3.37</v>
      </c>
      <c r="AY41" s="54">
        <v>3.34</v>
      </c>
      <c r="AZ41" s="54">
        <v>3.47</v>
      </c>
      <c r="BA41" s="54">
        <v>3.38</v>
      </c>
    </row>
    <row r="42" spans="1:53" x14ac:dyDescent="0.25">
      <c r="A42" t="s">
        <v>145</v>
      </c>
      <c r="B42">
        <v>761</v>
      </c>
      <c r="C42" s="54">
        <v>2.7536</v>
      </c>
      <c r="D42" s="54">
        <v>2.16</v>
      </c>
      <c r="E42" s="54">
        <v>2.79</v>
      </c>
      <c r="F42" s="54">
        <v>2.58</v>
      </c>
      <c r="G42" s="54">
        <v>2.38</v>
      </c>
      <c r="H42" s="54">
        <v>2.58</v>
      </c>
      <c r="I42" s="54">
        <v>2.68</v>
      </c>
      <c r="J42" s="54">
        <v>2.5099999999999998</v>
      </c>
      <c r="K42" s="54">
        <v>2.56</v>
      </c>
      <c r="L42" s="54">
        <v>2.67</v>
      </c>
      <c r="M42" s="54">
        <v>2.7</v>
      </c>
      <c r="N42" s="54">
        <v>2.71</v>
      </c>
      <c r="O42" s="54">
        <v>2.68</v>
      </c>
      <c r="P42" s="54">
        <v>2.68</v>
      </c>
      <c r="Q42" s="54">
        <v>2.62</v>
      </c>
      <c r="R42" s="54">
        <v>2.54</v>
      </c>
      <c r="S42" s="54">
        <v>2.5</v>
      </c>
      <c r="T42" s="54">
        <v>2.5499999999999998</v>
      </c>
      <c r="U42" s="54">
        <v>2.5299999999999998</v>
      </c>
      <c r="V42" s="54">
        <v>2.48</v>
      </c>
      <c r="W42" s="54">
        <v>2.4700000000000002</v>
      </c>
      <c r="X42" s="54">
        <v>2.6</v>
      </c>
      <c r="Y42" s="54">
        <v>2.5099999999999998</v>
      </c>
      <c r="Z42" s="54">
        <v>2.46</v>
      </c>
      <c r="AA42" s="54">
        <v>2.5</v>
      </c>
      <c r="AB42" s="54">
        <v>2.4300000000000002</v>
      </c>
      <c r="AC42" s="54">
        <v>2.5</v>
      </c>
      <c r="AD42" s="54">
        <v>2.5099999999999998</v>
      </c>
      <c r="AE42" s="54">
        <v>2.5299999999999998</v>
      </c>
      <c r="AF42" s="54">
        <v>2.6</v>
      </c>
      <c r="AG42" s="54">
        <v>2.65</v>
      </c>
      <c r="AH42" s="54">
        <v>2.92</v>
      </c>
      <c r="AI42" s="54">
        <v>2.5499999999999998</v>
      </c>
      <c r="AJ42" s="54">
        <v>2.61</v>
      </c>
      <c r="AK42" s="54">
        <v>2.62</v>
      </c>
      <c r="AL42" s="54">
        <v>2.78</v>
      </c>
      <c r="AM42" s="54">
        <v>2.94</v>
      </c>
      <c r="AN42" s="54">
        <v>3.15</v>
      </c>
      <c r="AO42" s="54">
        <v>3.22</v>
      </c>
      <c r="AP42" s="54">
        <v>3.03</v>
      </c>
      <c r="AQ42" s="54">
        <v>3.1</v>
      </c>
      <c r="AR42" s="54">
        <v>3.13</v>
      </c>
      <c r="AS42" s="54">
        <v>3.34</v>
      </c>
      <c r="AT42" s="54">
        <v>3.1520000000000001</v>
      </c>
      <c r="AU42" s="54">
        <v>3.19</v>
      </c>
      <c r="AV42" s="54">
        <v>3.32</v>
      </c>
      <c r="AW42" s="54">
        <v>3.27</v>
      </c>
      <c r="AX42" s="54">
        <v>3.18</v>
      </c>
      <c r="AY42" s="54">
        <v>3.18</v>
      </c>
      <c r="AZ42" s="54">
        <v>3.17</v>
      </c>
      <c r="BA42" s="54">
        <v>3.17</v>
      </c>
    </row>
    <row r="43" spans="1:53" x14ac:dyDescent="0.25">
      <c r="A43" t="s">
        <v>146</v>
      </c>
      <c r="B43">
        <v>83</v>
      </c>
      <c r="C43" s="54">
        <v>2.3165</v>
      </c>
      <c r="D43" s="54">
        <v>1.93</v>
      </c>
      <c r="E43" s="54">
        <v>2.08</v>
      </c>
      <c r="F43" s="54">
        <v>2.23</v>
      </c>
      <c r="G43" s="54">
        <v>2.14</v>
      </c>
      <c r="H43" s="54">
        <v>2.2999999999999998</v>
      </c>
      <c r="I43" s="54">
        <v>2.14</v>
      </c>
      <c r="J43" s="54">
        <v>2.0699999999999998</v>
      </c>
      <c r="K43" s="54">
        <v>2.06</v>
      </c>
      <c r="L43" s="54">
        <v>2.04</v>
      </c>
      <c r="M43" s="54">
        <v>2.0699999999999998</v>
      </c>
      <c r="N43" s="54">
        <v>2.13</v>
      </c>
      <c r="O43" s="54">
        <v>2.0499999999999998</v>
      </c>
      <c r="P43" s="54">
        <v>2.23</v>
      </c>
      <c r="Q43" s="54">
        <v>2.02</v>
      </c>
      <c r="R43" s="54">
        <v>2.08</v>
      </c>
      <c r="S43" s="54">
        <v>1.97</v>
      </c>
      <c r="T43" s="54">
        <v>2.1</v>
      </c>
      <c r="U43" s="54">
        <v>2.0499999999999998</v>
      </c>
      <c r="V43" s="54">
        <v>1.95</v>
      </c>
      <c r="W43" s="54">
        <v>2.0499999999999998</v>
      </c>
      <c r="X43" s="54">
        <v>2.02</v>
      </c>
      <c r="Y43" s="54">
        <v>2.0299999999999998</v>
      </c>
      <c r="Z43" s="54">
        <v>2.12</v>
      </c>
      <c r="AA43" s="54">
        <v>2.14</v>
      </c>
      <c r="AB43" s="54">
        <v>2.1</v>
      </c>
      <c r="AC43" s="54">
        <v>2.2799999999999998</v>
      </c>
      <c r="AD43" s="54">
        <v>2.33</v>
      </c>
      <c r="AE43" s="54">
        <v>2.1</v>
      </c>
      <c r="AF43" s="54">
        <v>2.2599999999999998</v>
      </c>
      <c r="AG43" s="54">
        <v>2.2000000000000002</v>
      </c>
      <c r="AH43" s="54">
        <v>2.35</v>
      </c>
      <c r="AI43" s="54">
        <v>2.04</v>
      </c>
      <c r="AJ43" s="54">
        <v>2.0099999999999998</v>
      </c>
      <c r="AK43" s="54">
        <v>2.12</v>
      </c>
      <c r="AL43" s="54">
        <v>2.42</v>
      </c>
      <c r="AM43" s="54">
        <v>2.64</v>
      </c>
      <c r="AN43" s="54">
        <v>2.95</v>
      </c>
      <c r="AO43" s="54">
        <v>2.94</v>
      </c>
      <c r="AP43" s="54">
        <v>3</v>
      </c>
      <c r="AQ43" s="54">
        <v>2.89</v>
      </c>
      <c r="AR43" s="54">
        <v>2.99</v>
      </c>
      <c r="AS43" s="54">
        <v>2.74</v>
      </c>
      <c r="AT43" s="54">
        <v>2.8439999999999999</v>
      </c>
      <c r="AU43" s="54">
        <v>2.89</v>
      </c>
      <c r="AV43" s="54">
        <v>2.57</v>
      </c>
      <c r="AW43" s="54">
        <v>2.7</v>
      </c>
      <c r="AX43" s="54">
        <v>2.48</v>
      </c>
      <c r="AY43" s="54">
        <v>2.64</v>
      </c>
      <c r="AZ43" s="54">
        <v>2.75</v>
      </c>
      <c r="BA43" s="54">
        <v>2.59</v>
      </c>
    </row>
    <row r="44" spans="1:53" x14ac:dyDescent="0.25">
      <c r="A44" t="s">
        <v>147</v>
      </c>
      <c r="B44">
        <v>108</v>
      </c>
      <c r="C44" s="54">
        <v>2.2178</v>
      </c>
      <c r="D44" s="54">
        <v>1.6</v>
      </c>
      <c r="E44" s="54">
        <v>2.0299999999999998</v>
      </c>
      <c r="F44" s="54">
        <v>2.0099999999999998</v>
      </c>
      <c r="G44" s="54">
        <v>1.91</v>
      </c>
      <c r="H44" s="54">
        <v>1.91</v>
      </c>
      <c r="I44" s="54">
        <v>2.04</v>
      </c>
      <c r="J44" s="54">
        <v>1.9</v>
      </c>
      <c r="K44" s="54">
        <v>2.0699999999999998</v>
      </c>
      <c r="L44" s="54">
        <v>1.96</v>
      </c>
      <c r="M44" s="54">
        <v>1.99</v>
      </c>
      <c r="N44" s="54">
        <v>2.16</v>
      </c>
      <c r="O44" s="54">
        <v>1.99</v>
      </c>
      <c r="P44" s="54">
        <v>2.0299999999999998</v>
      </c>
      <c r="Q44" s="54">
        <v>1.95</v>
      </c>
      <c r="R44" s="54">
        <v>2</v>
      </c>
      <c r="S44" s="54">
        <v>2.0099999999999998</v>
      </c>
      <c r="T44" s="54">
        <v>2.12</v>
      </c>
      <c r="U44" s="54">
        <v>2.21</v>
      </c>
      <c r="V44" s="54">
        <v>2</v>
      </c>
      <c r="W44" s="54">
        <v>2.14</v>
      </c>
      <c r="X44" s="54">
        <v>2.2000000000000002</v>
      </c>
      <c r="Y44" s="54">
        <v>1.88</v>
      </c>
      <c r="Z44" s="54">
        <v>1.99</v>
      </c>
      <c r="AA44" s="54">
        <v>2.17</v>
      </c>
      <c r="AB44" s="54">
        <v>2.08</v>
      </c>
      <c r="AC44" s="54">
        <v>1.87</v>
      </c>
      <c r="AD44" s="54">
        <v>2.33</v>
      </c>
      <c r="AE44" s="54">
        <v>2.16</v>
      </c>
      <c r="AF44" s="54">
        <v>2.36</v>
      </c>
      <c r="AG44" s="54">
        <v>2.44</v>
      </c>
      <c r="AH44" s="54">
        <v>2.31</v>
      </c>
      <c r="AI44" s="54">
        <v>2</v>
      </c>
      <c r="AJ44" s="54">
        <v>2.19</v>
      </c>
      <c r="AK44" s="54">
        <v>2.14</v>
      </c>
      <c r="AL44" s="54">
        <v>2.2200000000000002</v>
      </c>
      <c r="AM44" s="54">
        <v>2.14</v>
      </c>
      <c r="AN44" s="54">
        <v>2.54</v>
      </c>
      <c r="AO44" s="54">
        <v>2.76</v>
      </c>
      <c r="AP44" s="54">
        <v>2.5299999999999998</v>
      </c>
      <c r="AQ44" s="54">
        <v>2.57</v>
      </c>
      <c r="AR44" s="54">
        <v>2.74</v>
      </c>
      <c r="AS44" s="54">
        <v>2.79</v>
      </c>
      <c r="AT44" s="54">
        <v>2.67</v>
      </c>
      <c r="AU44" s="54">
        <v>2.61</v>
      </c>
      <c r="AV44" s="54">
        <v>2.58</v>
      </c>
      <c r="AW44" s="54">
        <v>2.68</v>
      </c>
      <c r="AX44" s="54">
        <v>2.37</v>
      </c>
      <c r="AY44" s="54">
        <v>2.52</v>
      </c>
      <c r="AZ44" s="54">
        <v>2.58</v>
      </c>
      <c r="BA44" s="54">
        <v>2.44</v>
      </c>
    </row>
    <row r="45" spans="1:53" x14ac:dyDescent="0.25">
      <c r="A45" t="s">
        <v>148</v>
      </c>
      <c r="B45">
        <v>817</v>
      </c>
      <c r="C45" s="54">
        <v>2.1993999999999998</v>
      </c>
      <c r="D45" s="54">
        <v>1.81</v>
      </c>
      <c r="E45" s="54">
        <v>2.0099999999999998</v>
      </c>
      <c r="F45" s="54">
        <v>1.93</v>
      </c>
      <c r="G45" s="54">
        <v>1.95</v>
      </c>
      <c r="H45" s="54">
        <v>2.16</v>
      </c>
      <c r="I45" s="54">
        <v>2.14</v>
      </c>
      <c r="J45" s="54">
        <v>2.06</v>
      </c>
      <c r="K45" s="54">
        <v>2.13</v>
      </c>
      <c r="L45" s="54">
        <v>2.17</v>
      </c>
      <c r="M45" s="54">
        <v>2.11</v>
      </c>
      <c r="N45" s="54">
        <v>2.1</v>
      </c>
      <c r="O45" s="54">
        <v>2.08</v>
      </c>
      <c r="P45" s="54">
        <v>2.08</v>
      </c>
      <c r="Q45" s="54">
        <v>2.09</v>
      </c>
      <c r="R45" s="54">
        <v>2.13</v>
      </c>
      <c r="S45" s="54">
        <v>2.1</v>
      </c>
      <c r="T45" s="54">
        <v>2.06</v>
      </c>
      <c r="U45" s="54">
        <v>2.09</v>
      </c>
      <c r="V45" s="54">
        <v>2.0299999999999998</v>
      </c>
      <c r="W45" s="54">
        <v>2.02</v>
      </c>
      <c r="X45" s="54">
        <v>2.1</v>
      </c>
      <c r="Y45" s="54">
        <v>2.0499999999999998</v>
      </c>
      <c r="Z45" s="54">
        <v>2.02</v>
      </c>
      <c r="AA45" s="54">
        <v>1.98</v>
      </c>
      <c r="AB45" s="54">
        <v>2.04</v>
      </c>
      <c r="AC45" s="54">
        <v>2.08</v>
      </c>
      <c r="AD45" s="54">
        <v>2.16</v>
      </c>
      <c r="AE45" s="54">
        <v>2.15</v>
      </c>
      <c r="AF45" s="54">
        <v>2.14</v>
      </c>
      <c r="AG45" s="54">
        <v>2.15</v>
      </c>
      <c r="AH45" s="54">
        <v>2.21</v>
      </c>
      <c r="AI45" s="54">
        <v>2.09</v>
      </c>
      <c r="AJ45" s="54">
        <v>2.14</v>
      </c>
      <c r="AK45" s="54">
        <v>2.17</v>
      </c>
      <c r="AL45" s="54">
        <v>2.13</v>
      </c>
      <c r="AM45" s="54">
        <v>2.21</v>
      </c>
      <c r="AN45" s="54">
        <v>2.4900000000000002</v>
      </c>
      <c r="AO45" s="54">
        <v>2.76</v>
      </c>
      <c r="AP45" s="54">
        <v>2.5099999999999998</v>
      </c>
      <c r="AQ45" s="54">
        <v>2.4500000000000002</v>
      </c>
      <c r="AR45" s="54">
        <v>2.5499999999999998</v>
      </c>
      <c r="AS45" s="54">
        <v>2.54</v>
      </c>
      <c r="AT45" s="54">
        <v>2.46</v>
      </c>
      <c r="AU45" s="54">
        <v>2.4700000000000002</v>
      </c>
      <c r="AV45" s="54">
        <v>2.5499999999999998</v>
      </c>
      <c r="AW45" s="54">
        <v>2.44</v>
      </c>
      <c r="AX45" s="54">
        <v>2.44</v>
      </c>
      <c r="AY45" s="54">
        <v>2.36</v>
      </c>
      <c r="AZ45" s="54">
        <v>2.48</v>
      </c>
      <c r="BA45" s="54">
        <v>2.4</v>
      </c>
    </row>
    <row r="46" spans="1:53" x14ac:dyDescent="0.25">
      <c r="A46" t="s">
        <v>149</v>
      </c>
      <c r="B46">
        <v>66</v>
      </c>
      <c r="C46" s="54">
        <v>2.1179000000000001</v>
      </c>
      <c r="D46" s="54">
        <v>1.59</v>
      </c>
      <c r="E46" s="54">
        <v>1.8</v>
      </c>
      <c r="F46" s="54">
        <v>2.25</v>
      </c>
      <c r="G46" s="54">
        <v>1.7</v>
      </c>
      <c r="H46" s="54">
        <v>1.86</v>
      </c>
      <c r="I46" s="54">
        <v>1.94</v>
      </c>
      <c r="J46" s="54">
        <v>1.97</v>
      </c>
      <c r="K46" s="54">
        <v>2.0499999999999998</v>
      </c>
      <c r="L46" s="54">
        <v>2.1</v>
      </c>
      <c r="M46" s="54">
        <v>2.08</v>
      </c>
      <c r="N46" s="54">
        <v>2.2200000000000002</v>
      </c>
      <c r="O46" s="54">
        <v>2.1800000000000002</v>
      </c>
      <c r="P46" s="54">
        <v>1.9</v>
      </c>
      <c r="Q46" s="54">
        <v>1.98</v>
      </c>
      <c r="R46" s="54">
        <v>2.1800000000000002</v>
      </c>
      <c r="S46" s="54">
        <v>1.96</v>
      </c>
      <c r="T46" s="54">
        <v>1.83</v>
      </c>
      <c r="U46" s="54">
        <v>1.92</v>
      </c>
      <c r="V46" s="54">
        <v>2.0099999999999998</v>
      </c>
      <c r="W46" s="54">
        <v>1.88</v>
      </c>
      <c r="X46" s="54">
        <v>2.0099999999999998</v>
      </c>
      <c r="Y46" s="54">
        <v>2.09</v>
      </c>
      <c r="Z46" s="54">
        <v>1.93</v>
      </c>
      <c r="AA46" s="54">
        <v>1.87</v>
      </c>
      <c r="AB46" s="54">
        <v>1.8</v>
      </c>
      <c r="AC46" s="54">
        <v>1.85</v>
      </c>
      <c r="AD46" s="54">
        <v>2.04</v>
      </c>
      <c r="AE46" s="54">
        <v>2.13</v>
      </c>
      <c r="AF46" s="54">
        <v>2.09</v>
      </c>
      <c r="AG46" s="54">
        <v>1.98</v>
      </c>
      <c r="AH46" s="54">
        <v>2.09</v>
      </c>
      <c r="AI46" s="54">
        <v>1.95</v>
      </c>
      <c r="AJ46" s="54">
        <v>2</v>
      </c>
      <c r="AK46" s="54">
        <v>1.93</v>
      </c>
      <c r="AL46" s="54">
        <v>2.12</v>
      </c>
      <c r="AM46" s="54">
        <v>2.2999999999999998</v>
      </c>
      <c r="AN46" s="54">
        <v>2.5299999999999998</v>
      </c>
      <c r="AO46" s="54">
        <v>2.86</v>
      </c>
      <c r="AP46" s="54">
        <v>2.4900000000000002</v>
      </c>
      <c r="AQ46" s="54">
        <v>2.56</v>
      </c>
      <c r="AR46" s="54">
        <v>2.62</v>
      </c>
      <c r="AS46" s="54">
        <v>2.48</v>
      </c>
      <c r="AT46" s="54">
        <v>2.3969999999999998</v>
      </c>
      <c r="AU46" s="54">
        <v>2.29</v>
      </c>
      <c r="AV46" s="54">
        <v>2.33</v>
      </c>
      <c r="AW46" s="54">
        <v>2.2400000000000002</v>
      </c>
      <c r="AX46" s="54">
        <v>2.6</v>
      </c>
      <c r="AY46" s="54">
        <v>2.2599999999999998</v>
      </c>
      <c r="AZ46" s="54">
        <v>2.44</v>
      </c>
      <c r="BA46" s="54">
        <v>2.2200000000000002</v>
      </c>
    </row>
    <row r="47" spans="1:53" x14ac:dyDescent="0.25">
      <c r="A47" t="s">
        <v>150</v>
      </c>
      <c r="B47">
        <v>981</v>
      </c>
      <c r="C47" s="54">
        <v>2.1537999999999999</v>
      </c>
      <c r="D47" s="54">
        <v>1.64</v>
      </c>
      <c r="E47" s="54">
        <v>1.92</v>
      </c>
      <c r="F47" s="54">
        <v>1.92</v>
      </c>
      <c r="G47" s="54">
        <v>1.87</v>
      </c>
      <c r="H47" s="54">
        <v>1.97</v>
      </c>
      <c r="I47" s="54">
        <v>2.0299999999999998</v>
      </c>
      <c r="J47" s="54">
        <v>1.95</v>
      </c>
      <c r="K47" s="54">
        <v>2.02</v>
      </c>
      <c r="L47" s="54">
        <v>2.12</v>
      </c>
      <c r="M47" s="54">
        <v>2.0699999999999998</v>
      </c>
      <c r="N47" s="54">
        <v>2</v>
      </c>
      <c r="O47" s="54">
        <v>2</v>
      </c>
      <c r="P47" s="54">
        <v>1.98</v>
      </c>
      <c r="Q47" s="54">
        <v>1.99</v>
      </c>
      <c r="R47" s="54">
        <v>2</v>
      </c>
      <c r="S47" s="54">
        <v>1.97</v>
      </c>
      <c r="T47" s="54">
        <v>1.89</v>
      </c>
      <c r="U47" s="54">
        <v>1.96</v>
      </c>
      <c r="V47" s="54">
        <v>1.94</v>
      </c>
      <c r="W47" s="54">
        <v>1.87</v>
      </c>
      <c r="X47" s="54">
        <v>1.9</v>
      </c>
      <c r="Y47" s="54">
        <v>1.89</v>
      </c>
      <c r="Z47" s="54">
        <v>1.94</v>
      </c>
      <c r="AA47" s="54">
        <v>1.9</v>
      </c>
      <c r="AB47" s="54">
        <v>1.92</v>
      </c>
      <c r="AC47" s="54">
        <v>1.99</v>
      </c>
      <c r="AD47" s="54">
        <v>2.0499999999999998</v>
      </c>
      <c r="AE47" s="54">
        <v>2.1</v>
      </c>
      <c r="AF47" s="54">
        <v>2.1</v>
      </c>
      <c r="AG47" s="54">
        <v>2.09</v>
      </c>
      <c r="AH47" s="54">
        <v>2.19</v>
      </c>
      <c r="AI47" s="54">
        <v>2.0299999999999998</v>
      </c>
      <c r="AJ47" s="54">
        <v>2.02</v>
      </c>
      <c r="AK47" s="54">
        <v>1.98</v>
      </c>
      <c r="AL47" s="54">
        <v>2.12</v>
      </c>
      <c r="AM47" s="54">
        <v>2.2000000000000002</v>
      </c>
      <c r="AN47" s="54">
        <v>2.58</v>
      </c>
      <c r="AO47" s="54">
        <v>2.89</v>
      </c>
      <c r="AP47" s="54">
        <v>2.68</v>
      </c>
      <c r="AQ47" s="54">
        <v>2.63</v>
      </c>
      <c r="AR47" s="54">
        <v>2.67</v>
      </c>
      <c r="AS47" s="54">
        <v>2.6</v>
      </c>
      <c r="AT47" s="54">
        <v>2.5019999999999998</v>
      </c>
      <c r="AU47" s="54">
        <v>2.5299999999999998</v>
      </c>
      <c r="AV47" s="54">
        <v>2.56</v>
      </c>
      <c r="AW47" s="54">
        <v>2.4900000000000002</v>
      </c>
      <c r="AX47" s="54">
        <v>2.46</v>
      </c>
      <c r="AY47" s="54">
        <v>2.44</v>
      </c>
      <c r="AZ47" s="54">
        <v>2.62</v>
      </c>
      <c r="BA47" s="54">
        <v>2.5099999999999998</v>
      </c>
    </row>
    <row r="48" spans="1:53" x14ac:dyDescent="0.25">
      <c r="A48" t="s">
        <v>151</v>
      </c>
      <c r="B48">
        <v>409</v>
      </c>
      <c r="C48" s="54">
        <v>2.2052</v>
      </c>
      <c r="D48" s="54">
        <v>1.63</v>
      </c>
      <c r="E48" s="54">
        <v>1.98</v>
      </c>
      <c r="F48" s="54">
        <v>1.95</v>
      </c>
      <c r="G48" s="54">
        <v>1.91</v>
      </c>
      <c r="H48" s="54">
        <v>1.99</v>
      </c>
      <c r="I48" s="54">
        <v>2.0299999999999998</v>
      </c>
      <c r="J48" s="54">
        <v>1.98</v>
      </c>
      <c r="K48" s="54">
        <v>2.0299999999999998</v>
      </c>
      <c r="L48" s="54">
        <v>2.16</v>
      </c>
      <c r="M48" s="54">
        <v>2.06</v>
      </c>
      <c r="N48" s="54">
        <v>2.08</v>
      </c>
      <c r="O48" s="54">
        <v>1.98</v>
      </c>
      <c r="P48" s="54">
        <v>1.98</v>
      </c>
      <c r="Q48" s="54">
        <v>2.04</v>
      </c>
      <c r="R48" s="54">
        <v>2.02</v>
      </c>
      <c r="S48" s="54">
        <v>1.93</v>
      </c>
      <c r="T48" s="54">
        <v>1.9</v>
      </c>
      <c r="U48" s="54">
        <v>1.94</v>
      </c>
      <c r="V48" s="54">
        <v>1.92</v>
      </c>
      <c r="W48" s="54">
        <v>1.83</v>
      </c>
      <c r="X48" s="54">
        <v>1.83</v>
      </c>
      <c r="Y48" s="54">
        <v>1.9</v>
      </c>
      <c r="Z48" s="54">
        <v>1.92</v>
      </c>
      <c r="AA48" s="54">
        <v>1.92</v>
      </c>
      <c r="AB48" s="54">
        <v>1.98</v>
      </c>
      <c r="AC48" s="54">
        <v>2.0499999999999998</v>
      </c>
      <c r="AD48" s="54">
        <v>2.1</v>
      </c>
      <c r="AE48" s="54">
        <v>2.15</v>
      </c>
      <c r="AF48" s="54">
        <v>2.16</v>
      </c>
      <c r="AG48" s="54">
        <v>2.16</v>
      </c>
      <c r="AH48" s="54">
        <v>2.2599999999999998</v>
      </c>
      <c r="AI48" s="54">
        <v>2.12</v>
      </c>
      <c r="AJ48" s="54">
        <v>2.09</v>
      </c>
      <c r="AK48" s="54">
        <v>1.98</v>
      </c>
      <c r="AL48" s="54">
        <v>2.15</v>
      </c>
      <c r="AM48" s="54">
        <v>2.2400000000000002</v>
      </c>
      <c r="AN48" s="54">
        <v>2.68</v>
      </c>
      <c r="AO48" s="54">
        <v>3.09</v>
      </c>
      <c r="AP48" s="54">
        <v>2.87</v>
      </c>
      <c r="AQ48" s="54">
        <v>2.82</v>
      </c>
      <c r="AR48" s="54">
        <v>2.82</v>
      </c>
      <c r="AS48" s="54">
        <v>2.75</v>
      </c>
      <c r="AT48" s="54">
        <v>2.65</v>
      </c>
      <c r="AU48" s="54">
        <v>2.67</v>
      </c>
      <c r="AV48" s="54">
        <v>2.72</v>
      </c>
      <c r="AW48" s="54">
        <v>2.52</v>
      </c>
      <c r="AX48" s="54">
        <v>2.5099999999999998</v>
      </c>
      <c r="AY48" s="54">
        <v>2.4700000000000002</v>
      </c>
      <c r="AZ48" s="54">
        <v>2.75</v>
      </c>
      <c r="BA48" s="54">
        <v>2.59</v>
      </c>
    </row>
    <row r="49" spans="1:53" x14ac:dyDescent="0.25">
      <c r="A49" t="s">
        <v>152</v>
      </c>
      <c r="B49">
        <v>57</v>
      </c>
      <c r="C49" s="54">
        <v>2.1993999999999998</v>
      </c>
      <c r="D49" s="54">
        <v>1.59</v>
      </c>
      <c r="E49" s="54">
        <v>1.86</v>
      </c>
      <c r="F49" s="54">
        <v>1.92</v>
      </c>
      <c r="G49" s="54">
        <v>1.93</v>
      </c>
      <c r="H49" s="54">
        <v>2.0499999999999998</v>
      </c>
      <c r="I49" s="54">
        <v>2.09</v>
      </c>
      <c r="J49" s="54">
        <v>2.0299999999999998</v>
      </c>
      <c r="K49" s="54">
        <v>2.02</v>
      </c>
      <c r="L49" s="54">
        <v>2.09</v>
      </c>
      <c r="M49" s="54">
        <v>2.02</v>
      </c>
      <c r="N49" s="54">
        <v>1.92</v>
      </c>
      <c r="O49" s="54">
        <v>1.97</v>
      </c>
      <c r="P49" s="54">
        <v>2.13</v>
      </c>
      <c r="Q49" s="54">
        <v>2.0699999999999998</v>
      </c>
      <c r="R49" s="54">
        <v>2.0499999999999998</v>
      </c>
      <c r="S49" s="54">
        <v>2.15</v>
      </c>
      <c r="T49" s="54">
        <v>1.97</v>
      </c>
      <c r="U49" s="54">
        <v>2.12</v>
      </c>
      <c r="V49" s="54">
        <v>2.23</v>
      </c>
      <c r="W49" s="54">
        <v>2.13</v>
      </c>
      <c r="X49" s="54">
        <v>2.19</v>
      </c>
      <c r="Y49" s="54">
        <v>2.0699999999999998</v>
      </c>
      <c r="Z49" s="54">
        <v>2.17</v>
      </c>
      <c r="AA49" s="54">
        <v>2.11</v>
      </c>
      <c r="AB49" s="54">
        <v>1.97</v>
      </c>
      <c r="AC49" s="54">
        <v>2.0299999999999998</v>
      </c>
      <c r="AD49" s="54">
        <v>2.15</v>
      </c>
      <c r="AE49" s="54">
        <v>2.2000000000000002</v>
      </c>
      <c r="AF49" s="54">
        <v>2.0699999999999998</v>
      </c>
      <c r="AG49" s="54">
        <v>2.09</v>
      </c>
      <c r="AH49" s="54">
        <v>2.23</v>
      </c>
      <c r="AI49" s="54">
        <v>2.0299999999999998</v>
      </c>
      <c r="AJ49" s="54">
        <v>2.02</v>
      </c>
      <c r="AK49" s="54">
        <v>2.17</v>
      </c>
      <c r="AL49" s="54">
        <v>2.2599999999999998</v>
      </c>
      <c r="AM49" s="54">
        <v>2.25</v>
      </c>
      <c r="AN49" s="54">
        <v>2.67</v>
      </c>
      <c r="AO49" s="54">
        <v>2.65</v>
      </c>
      <c r="AP49" s="54">
        <v>2.68</v>
      </c>
      <c r="AQ49" s="54">
        <v>2.7</v>
      </c>
      <c r="AR49" s="54">
        <v>2.62</v>
      </c>
      <c r="AS49" s="54">
        <v>2.54</v>
      </c>
      <c r="AT49" s="54">
        <v>2.3119999999999998</v>
      </c>
      <c r="AU49" s="54">
        <v>2.44</v>
      </c>
      <c r="AV49" s="54">
        <v>2.58</v>
      </c>
      <c r="AW49" s="54">
        <v>2.4</v>
      </c>
      <c r="AX49" s="54">
        <v>2.4500000000000002</v>
      </c>
      <c r="AY49" s="54">
        <v>2.58</v>
      </c>
      <c r="AZ49" s="54">
        <v>2.62</v>
      </c>
      <c r="BA49" s="54">
        <v>2.38</v>
      </c>
    </row>
    <row r="50" spans="1:53" x14ac:dyDescent="0.25">
      <c r="A50" t="s">
        <v>153</v>
      </c>
      <c r="B50">
        <v>968</v>
      </c>
      <c r="C50" s="54">
        <v>2.2382</v>
      </c>
      <c r="D50" s="54">
        <v>1.74</v>
      </c>
      <c r="E50" s="54">
        <v>1.88</v>
      </c>
      <c r="F50" s="54">
        <v>1.94</v>
      </c>
      <c r="G50" s="54">
        <v>1.88</v>
      </c>
      <c r="H50" s="54">
        <v>2.0099999999999998</v>
      </c>
      <c r="I50" s="54">
        <v>2.04</v>
      </c>
      <c r="J50" s="54">
        <v>1.94</v>
      </c>
      <c r="K50" s="54">
        <v>2.04</v>
      </c>
      <c r="L50" s="54">
        <v>2.0699999999999998</v>
      </c>
      <c r="M50" s="54">
        <v>2.11</v>
      </c>
      <c r="N50" s="54">
        <v>2.0099999999999998</v>
      </c>
      <c r="O50" s="54">
        <v>1.97</v>
      </c>
      <c r="P50" s="54">
        <v>2.0299999999999998</v>
      </c>
      <c r="Q50" s="54">
        <v>1.98</v>
      </c>
      <c r="R50" s="54">
        <v>1.93</v>
      </c>
      <c r="S50" s="54">
        <v>1.98</v>
      </c>
      <c r="T50" s="54">
        <v>1.95</v>
      </c>
      <c r="U50" s="54">
        <v>1.89</v>
      </c>
      <c r="V50" s="54">
        <v>2.0099999999999998</v>
      </c>
      <c r="W50" s="54">
        <v>1.89</v>
      </c>
      <c r="X50" s="54">
        <v>2.0299999999999998</v>
      </c>
      <c r="Y50" s="54">
        <v>2.0299999999999998</v>
      </c>
      <c r="Z50" s="54">
        <v>2.0099999999999998</v>
      </c>
      <c r="AA50" s="54">
        <v>2.0099999999999998</v>
      </c>
      <c r="AB50" s="54">
        <v>2.0099999999999998</v>
      </c>
      <c r="AC50" s="54">
        <v>2.0499999999999998</v>
      </c>
      <c r="AD50" s="54">
        <v>2.0699999999999998</v>
      </c>
      <c r="AE50" s="54">
        <v>2.15</v>
      </c>
      <c r="AF50" s="54">
        <v>2.0699999999999998</v>
      </c>
      <c r="AG50" s="54">
        <v>2.14</v>
      </c>
      <c r="AH50" s="54">
        <v>2.06</v>
      </c>
      <c r="AI50" s="54">
        <v>2.0699999999999998</v>
      </c>
      <c r="AJ50" s="54">
        <v>2.06</v>
      </c>
      <c r="AK50" s="54">
        <v>2.16</v>
      </c>
      <c r="AL50" s="54">
        <v>2.19</v>
      </c>
      <c r="AM50" s="54">
        <v>2.2999999999999998</v>
      </c>
      <c r="AN50" s="54">
        <v>2.64</v>
      </c>
      <c r="AO50" s="54">
        <v>2.91</v>
      </c>
      <c r="AP50" s="54">
        <v>2.77</v>
      </c>
      <c r="AQ50" s="54">
        <v>2.85</v>
      </c>
      <c r="AR50" s="54">
        <v>2.8</v>
      </c>
      <c r="AS50" s="54">
        <v>2.8</v>
      </c>
      <c r="AT50" s="54">
        <v>2.78</v>
      </c>
      <c r="AU50" s="54">
        <v>2.77</v>
      </c>
      <c r="AV50" s="54">
        <v>2.78</v>
      </c>
      <c r="AW50" s="54">
        <v>2.82</v>
      </c>
      <c r="AX50" s="54">
        <v>2.73</v>
      </c>
      <c r="AY50" s="54">
        <v>2.75</v>
      </c>
      <c r="AZ50" s="54">
        <v>2.94</v>
      </c>
      <c r="BA50" s="54">
        <v>2.87</v>
      </c>
    </row>
    <row r="51" spans="1:53" x14ac:dyDescent="0.25">
      <c r="A51" t="s">
        <v>154</v>
      </c>
      <c r="B51">
        <v>109</v>
      </c>
      <c r="C51" s="54">
        <v>2.4310999999999998</v>
      </c>
      <c r="D51" s="54">
        <v>2.06</v>
      </c>
      <c r="E51" s="54">
        <v>2.2200000000000002</v>
      </c>
      <c r="F51" s="54">
        <v>2.2400000000000002</v>
      </c>
      <c r="G51" s="54">
        <v>2.2200000000000002</v>
      </c>
      <c r="H51" s="54">
        <v>2.2999999999999998</v>
      </c>
      <c r="I51" s="54">
        <v>2.23</v>
      </c>
      <c r="J51" s="54">
        <v>2.23</v>
      </c>
      <c r="K51" s="54">
        <v>2.2200000000000002</v>
      </c>
      <c r="L51" s="54">
        <v>2.2200000000000002</v>
      </c>
      <c r="M51" s="54">
        <v>2.4</v>
      </c>
      <c r="N51" s="54">
        <v>2.2799999999999998</v>
      </c>
      <c r="O51" s="54">
        <v>2.21</v>
      </c>
      <c r="P51" s="54">
        <v>2.29</v>
      </c>
      <c r="Q51" s="54">
        <v>2.3199999999999998</v>
      </c>
      <c r="R51" s="54">
        <v>2.29</v>
      </c>
      <c r="S51" s="54">
        <v>2.12</v>
      </c>
      <c r="T51" s="54">
        <v>2.2400000000000002</v>
      </c>
      <c r="U51" s="54">
        <v>2.19</v>
      </c>
      <c r="V51" s="54">
        <v>2.2400000000000002</v>
      </c>
      <c r="W51" s="54">
        <v>2.15</v>
      </c>
      <c r="X51" s="54">
        <v>2.21</v>
      </c>
      <c r="Y51" s="54">
        <v>2.25</v>
      </c>
      <c r="Z51" s="54">
        <v>2.12</v>
      </c>
      <c r="AA51" s="54">
        <v>2.2200000000000002</v>
      </c>
      <c r="AB51" s="54">
        <v>2.2799999999999998</v>
      </c>
      <c r="AC51" s="54">
        <v>2.15</v>
      </c>
      <c r="AD51" s="54">
        <v>2.35</v>
      </c>
      <c r="AE51" s="54">
        <v>2.41</v>
      </c>
      <c r="AF51" s="54">
        <v>2.4500000000000002</v>
      </c>
      <c r="AG51" s="54">
        <v>2.5</v>
      </c>
      <c r="AH51" s="54">
        <v>2.4500000000000002</v>
      </c>
      <c r="AI51" s="54">
        <v>2.39</v>
      </c>
      <c r="AJ51" s="54">
        <v>2.46</v>
      </c>
      <c r="AK51" s="54">
        <v>2.58</v>
      </c>
      <c r="AL51" s="54">
        <v>2.4</v>
      </c>
      <c r="AM51" s="54">
        <v>2.4300000000000002</v>
      </c>
      <c r="AN51" s="54">
        <v>2.58</v>
      </c>
      <c r="AO51" s="54">
        <v>3.09</v>
      </c>
      <c r="AP51" s="54">
        <v>2.81</v>
      </c>
      <c r="AQ51" s="54">
        <v>2.75</v>
      </c>
      <c r="AR51" s="54">
        <v>2.76</v>
      </c>
      <c r="AS51" s="54">
        <v>2.93</v>
      </c>
      <c r="AT51" s="54">
        <v>2.6829999999999998</v>
      </c>
      <c r="AU51" s="54">
        <v>2.81</v>
      </c>
      <c r="AV51" s="54">
        <v>3</v>
      </c>
      <c r="AW51" s="54">
        <v>2.87</v>
      </c>
      <c r="AX51" s="54">
        <v>2.73</v>
      </c>
      <c r="AY51" s="54">
        <v>2.67</v>
      </c>
      <c r="AZ51" s="54">
        <v>2.91</v>
      </c>
      <c r="BA51" s="54">
        <v>2.64</v>
      </c>
    </row>
    <row r="52" spans="1:53" x14ac:dyDescent="0.25">
      <c r="A52" t="s">
        <v>155</v>
      </c>
      <c r="B52">
        <v>248</v>
      </c>
      <c r="C52" s="54">
        <v>2.2162999999999999</v>
      </c>
      <c r="D52" s="54">
        <v>1.78</v>
      </c>
      <c r="E52" s="54">
        <v>1.98</v>
      </c>
      <c r="F52" s="54">
        <v>2.06</v>
      </c>
      <c r="G52" s="54">
        <v>1.96</v>
      </c>
      <c r="H52" s="54">
        <v>2.09</v>
      </c>
      <c r="I52" s="54">
        <v>2.02</v>
      </c>
      <c r="J52" s="54">
        <v>2.0699999999999998</v>
      </c>
      <c r="K52" s="54">
        <v>2.13</v>
      </c>
      <c r="L52" s="54">
        <v>2.08</v>
      </c>
      <c r="M52" s="54">
        <v>2.14</v>
      </c>
      <c r="N52" s="54">
        <v>2.0699999999999998</v>
      </c>
      <c r="O52" s="54">
        <v>2.0499999999999998</v>
      </c>
      <c r="P52" s="54">
        <v>2.0699999999999998</v>
      </c>
      <c r="Q52" s="54">
        <v>2.0699999999999998</v>
      </c>
      <c r="R52" s="54">
        <v>2.02</v>
      </c>
      <c r="S52" s="54">
        <v>1.99</v>
      </c>
      <c r="T52" s="54">
        <v>2.02</v>
      </c>
      <c r="U52" s="54">
        <v>2.06</v>
      </c>
      <c r="V52" s="54">
        <v>2.04</v>
      </c>
      <c r="W52" s="54">
        <v>2.02</v>
      </c>
      <c r="X52" s="54">
        <v>2.0499999999999998</v>
      </c>
      <c r="Y52" s="54">
        <v>2.0099999999999998</v>
      </c>
      <c r="Z52" s="54">
        <v>2.0299999999999998</v>
      </c>
      <c r="AA52" s="54">
        <v>2.0299999999999998</v>
      </c>
      <c r="AB52" s="54">
        <v>2.0699999999999998</v>
      </c>
      <c r="AC52" s="54">
        <v>2.02</v>
      </c>
      <c r="AD52" s="54">
        <v>2.12</v>
      </c>
      <c r="AE52" s="54">
        <v>2.02</v>
      </c>
      <c r="AF52" s="54">
        <v>2.11</v>
      </c>
      <c r="AG52" s="54">
        <v>2.1</v>
      </c>
      <c r="AH52" s="54">
        <v>2.16</v>
      </c>
      <c r="AI52" s="54">
        <v>2.04</v>
      </c>
      <c r="AJ52" s="54">
        <v>2.15</v>
      </c>
      <c r="AK52" s="54">
        <v>2.1800000000000002</v>
      </c>
      <c r="AL52" s="54">
        <v>2.2400000000000002</v>
      </c>
      <c r="AM52" s="54">
        <v>2.36</v>
      </c>
      <c r="AN52" s="54">
        <v>2.58</v>
      </c>
      <c r="AO52" s="54">
        <v>2.87</v>
      </c>
      <c r="AP52" s="54">
        <v>2.64</v>
      </c>
      <c r="AQ52" s="54">
        <v>2.5099999999999998</v>
      </c>
      <c r="AR52" s="54">
        <v>2.65</v>
      </c>
      <c r="AS52" s="54">
        <v>2.69</v>
      </c>
      <c r="AT52" s="54">
        <v>2.4740000000000002</v>
      </c>
      <c r="AU52" s="54">
        <v>2.63</v>
      </c>
      <c r="AV52" s="54">
        <v>2.59</v>
      </c>
      <c r="AW52" s="54">
        <v>2.63</v>
      </c>
      <c r="AX52" s="54">
        <v>2.42</v>
      </c>
      <c r="AY52" s="54">
        <v>2.57</v>
      </c>
      <c r="AZ52" s="54">
        <v>2.63</v>
      </c>
      <c r="BA52" s="54">
        <v>2.52</v>
      </c>
    </row>
    <row r="53" spans="1:53" x14ac:dyDescent="0.25">
      <c r="A53" t="s">
        <v>156</v>
      </c>
      <c r="B53">
        <v>127</v>
      </c>
      <c r="C53" s="54">
        <v>2.4268999999999998</v>
      </c>
      <c r="D53" s="54">
        <v>1.97</v>
      </c>
      <c r="E53" s="54">
        <v>2.11</v>
      </c>
      <c r="F53" s="54">
        <v>2.2599999999999998</v>
      </c>
      <c r="G53" s="54">
        <v>2.14</v>
      </c>
      <c r="H53" s="54">
        <v>2.4</v>
      </c>
      <c r="I53" s="54">
        <v>2.44</v>
      </c>
      <c r="J53" s="54">
        <v>2.34</v>
      </c>
      <c r="K53" s="54">
        <v>2.4900000000000002</v>
      </c>
      <c r="L53" s="54">
        <v>2.4</v>
      </c>
      <c r="M53" s="54">
        <v>2.42</v>
      </c>
      <c r="N53" s="54">
        <v>2.25</v>
      </c>
      <c r="O53" s="54">
        <v>2.14</v>
      </c>
      <c r="P53" s="54">
        <v>2.14</v>
      </c>
      <c r="Q53" s="54">
        <v>2.13</v>
      </c>
      <c r="R53" s="54">
        <v>2.23</v>
      </c>
      <c r="S53" s="54">
        <v>2.13</v>
      </c>
      <c r="T53" s="54">
        <v>2.16</v>
      </c>
      <c r="U53" s="54">
        <v>2.14</v>
      </c>
      <c r="V53" s="54">
        <v>2.0499999999999998</v>
      </c>
      <c r="W53" s="54">
        <v>2.0299999999999998</v>
      </c>
      <c r="X53" s="54">
        <v>2.25</v>
      </c>
      <c r="Y53" s="54">
        <v>2.0099999999999998</v>
      </c>
      <c r="Z53" s="54">
        <v>2.17</v>
      </c>
      <c r="AA53" s="54">
        <v>2.08</v>
      </c>
      <c r="AB53" s="54">
        <v>2.06</v>
      </c>
      <c r="AC53" s="54">
        <v>2.16</v>
      </c>
      <c r="AD53" s="54">
        <v>2.2000000000000002</v>
      </c>
      <c r="AE53" s="54">
        <v>2.1800000000000002</v>
      </c>
      <c r="AF53" s="54">
        <v>2.2400000000000002</v>
      </c>
      <c r="AG53" s="54">
        <v>2.2000000000000002</v>
      </c>
      <c r="AH53" s="54">
        <v>2.34</v>
      </c>
      <c r="AI53" s="54">
        <v>2.09</v>
      </c>
      <c r="AJ53" s="54">
        <v>2.35</v>
      </c>
      <c r="AK53" s="54">
        <v>2.36</v>
      </c>
      <c r="AL53" s="54">
        <v>2.38</v>
      </c>
      <c r="AM53" s="54">
        <v>2.4300000000000002</v>
      </c>
      <c r="AN53" s="54">
        <v>2.71</v>
      </c>
      <c r="AO53" s="54">
        <v>3.13</v>
      </c>
      <c r="AP53" s="54">
        <v>2.91</v>
      </c>
      <c r="AQ53" s="54">
        <v>2.85</v>
      </c>
      <c r="AR53" s="54">
        <v>3.09</v>
      </c>
      <c r="AS53" s="54">
        <v>3.12</v>
      </c>
      <c r="AT53" s="54">
        <v>2.8370000000000002</v>
      </c>
      <c r="AU53" s="54">
        <v>2.8</v>
      </c>
      <c r="AV53" s="54">
        <v>2.98</v>
      </c>
      <c r="AW53" s="54">
        <v>2.94</v>
      </c>
      <c r="AX53" s="54">
        <v>3.01</v>
      </c>
      <c r="AY53" s="54">
        <v>2.94</v>
      </c>
      <c r="AZ53" s="54">
        <v>3.1</v>
      </c>
      <c r="BA53" s="54">
        <v>3.06</v>
      </c>
    </row>
    <row r="54" spans="1:53" x14ac:dyDescent="0.25">
      <c r="A54" t="s">
        <v>157</v>
      </c>
      <c r="B54">
        <v>112</v>
      </c>
      <c r="C54" s="54">
        <v>2.4481000000000002</v>
      </c>
      <c r="D54" s="54">
        <v>2.09</v>
      </c>
      <c r="E54" s="54">
        <v>2.14</v>
      </c>
      <c r="F54" s="54">
        <v>2.04</v>
      </c>
      <c r="G54" s="54">
        <v>2.04</v>
      </c>
      <c r="H54" s="54">
        <v>2.36</v>
      </c>
      <c r="I54" s="54">
        <v>2.2400000000000002</v>
      </c>
      <c r="J54" s="54">
        <v>2.5</v>
      </c>
      <c r="K54" s="54">
        <v>2.68</v>
      </c>
      <c r="L54" s="54">
        <v>2.54</v>
      </c>
      <c r="M54" s="54">
        <v>2.6</v>
      </c>
      <c r="N54" s="54">
        <v>2.4</v>
      </c>
      <c r="O54" s="54">
        <v>2.41</v>
      </c>
      <c r="P54" s="54">
        <v>2.6</v>
      </c>
      <c r="Q54" s="54">
        <v>2.46</v>
      </c>
      <c r="R54" s="54">
        <v>2.5099999999999998</v>
      </c>
      <c r="S54" s="54">
        <v>2.4300000000000002</v>
      </c>
      <c r="T54" s="54">
        <v>2.2999999999999998</v>
      </c>
      <c r="U54" s="54">
        <v>2.35</v>
      </c>
      <c r="V54" s="54">
        <v>2.4</v>
      </c>
      <c r="W54" s="54">
        <v>2.3199999999999998</v>
      </c>
      <c r="X54" s="54">
        <v>2.35</v>
      </c>
      <c r="Y54" s="54">
        <v>2.08</v>
      </c>
      <c r="Z54" s="54">
        <v>2.0499999999999998</v>
      </c>
      <c r="AA54" s="54">
        <v>2.1800000000000002</v>
      </c>
      <c r="AB54" s="54">
        <v>2.11</v>
      </c>
      <c r="AC54" s="54">
        <v>2.0299999999999998</v>
      </c>
      <c r="AD54" s="54">
        <v>2.17</v>
      </c>
      <c r="AE54" s="54">
        <v>2.39</v>
      </c>
      <c r="AF54" s="54">
        <v>2.4300000000000002</v>
      </c>
      <c r="AG54" s="54">
        <v>2.5299999999999998</v>
      </c>
      <c r="AH54" s="54">
        <v>2.23</v>
      </c>
      <c r="AI54" s="54">
        <v>2.2799999999999998</v>
      </c>
      <c r="AJ54" s="54">
        <v>2.16</v>
      </c>
      <c r="AK54" s="54">
        <v>2.2400000000000002</v>
      </c>
      <c r="AL54" s="54">
        <v>2.25</v>
      </c>
      <c r="AM54" s="54">
        <v>2.2599999999999998</v>
      </c>
      <c r="AN54" s="54">
        <v>2.63</v>
      </c>
      <c r="AO54" s="54">
        <v>2.97</v>
      </c>
      <c r="AP54" s="54">
        <v>2.59</v>
      </c>
      <c r="AQ54" s="54">
        <v>2.58</v>
      </c>
      <c r="AR54" s="54">
        <v>2.92</v>
      </c>
      <c r="AS54" s="54">
        <v>2.83</v>
      </c>
      <c r="AT54" s="54">
        <v>2.7050000000000001</v>
      </c>
      <c r="AU54" s="54">
        <v>3.08</v>
      </c>
      <c r="AV54" s="54">
        <v>2.86</v>
      </c>
      <c r="AW54" s="54">
        <v>2.93</v>
      </c>
      <c r="AX54" s="54">
        <v>2.65</v>
      </c>
      <c r="AY54" s="54">
        <v>2.59</v>
      </c>
      <c r="AZ54" s="54">
        <v>2.97</v>
      </c>
      <c r="BA54" s="54">
        <v>2.95</v>
      </c>
    </row>
    <row r="55" spans="1:53" x14ac:dyDescent="0.25">
      <c r="A55" t="s">
        <v>158</v>
      </c>
      <c r="B55">
        <v>308</v>
      </c>
      <c r="C55" s="54">
        <v>2.2896999999999998</v>
      </c>
      <c r="D55" s="54">
        <v>1.86</v>
      </c>
      <c r="E55" s="54">
        <v>2.33</v>
      </c>
      <c r="F55" s="54">
        <v>2.11</v>
      </c>
      <c r="G55" s="54">
        <v>2.1</v>
      </c>
      <c r="H55" s="54">
        <v>2.2200000000000002</v>
      </c>
      <c r="I55" s="54">
        <v>2.33</v>
      </c>
      <c r="J55" s="54">
        <v>2.15</v>
      </c>
      <c r="K55" s="54">
        <v>2.39</v>
      </c>
      <c r="L55" s="54">
        <v>2.27</v>
      </c>
      <c r="M55" s="54">
        <v>2.27</v>
      </c>
      <c r="N55" s="54">
        <v>2.2200000000000002</v>
      </c>
      <c r="O55" s="54">
        <v>2.23</v>
      </c>
      <c r="P55" s="54">
        <v>2.16</v>
      </c>
      <c r="Q55" s="54">
        <v>2.21</v>
      </c>
      <c r="R55" s="54">
        <v>2.11</v>
      </c>
      <c r="S55" s="54">
        <v>2.2000000000000002</v>
      </c>
      <c r="T55" s="54">
        <v>2.1800000000000002</v>
      </c>
      <c r="U55" s="54">
        <v>2.2599999999999998</v>
      </c>
      <c r="V55" s="54">
        <v>2.15</v>
      </c>
      <c r="W55" s="54">
        <v>1.94</v>
      </c>
      <c r="X55" s="54">
        <v>2.14</v>
      </c>
      <c r="Y55" s="54">
        <v>2.09</v>
      </c>
      <c r="Z55" s="54">
        <v>2.0699999999999998</v>
      </c>
      <c r="AA55" s="54">
        <v>2.16</v>
      </c>
      <c r="AB55" s="54">
        <v>2.0299999999999998</v>
      </c>
      <c r="AC55" s="54">
        <v>2.0499999999999998</v>
      </c>
      <c r="AD55" s="54">
        <v>2.14</v>
      </c>
      <c r="AE55" s="54">
        <v>2.12</v>
      </c>
      <c r="AF55" s="54">
        <v>2.16</v>
      </c>
      <c r="AG55" s="54">
        <v>2.14</v>
      </c>
      <c r="AH55" s="54">
        <v>2.4300000000000002</v>
      </c>
      <c r="AI55" s="54">
        <v>2.17</v>
      </c>
      <c r="AJ55" s="54">
        <v>2.2400000000000002</v>
      </c>
      <c r="AK55" s="54">
        <v>2.25</v>
      </c>
      <c r="AL55" s="54">
        <v>2.27</v>
      </c>
      <c r="AM55" s="54">
        <v>2.37</v>
      </c>
      <c r="AN55" s="54">
        <v>2.66</v>
      </c>
      <c r="AO55" s="54">
        <v>2.89</v>
      </c>
      <c r="AP55" s="54">
        <v>2.67</v>
      </c>
      <c r="AQ55" s="54">
        <v>2.64</v>
      </c>
      <c r="AR55" s="54">
        <v>2.54</v>
      </c>
      <c r="AS55" s="54">
        <v>2.5099999999999998</v>
      </c>
      <c r="AT55" s="54">
        <v>2.5139999999999998</v>
      </c>
      <c r="AU55" s="54">
        <v>2.38</v>
      </c>
      <c r="AV55" s="54">
        <v>2.5</v>
      </c>
      <c r="AW55" s="54">
        <v>2.46</v>
      </c>
      <c r="AX55" s="54">
        <v>2.39</v>
      </c>
      <c r="AY55" s="54">
        <v>2.5</v>
      </c>
      <c r="AZ55" s="54">
        <v>2.7</v>
      </c>
      <c r="BA55" s="54">
        <v>2.61</v>
      </c>
    </row>
    <row r="56" spans="1:53" x14ac:dyDescent="0.25">
      <c r="A56" t="s">
        <v>159</v>
      </c>
      <c r="B56">
        <v>231</v>
      </c>
      <c r="C56" s="54">
        <v>1.9601999999999999</v>
      </c>
      <c r="D56" s="54">
        <v>1.63</v>
      </c>
      <c r="E56" s="54">
        <v>1.81</v>
      </c>
      <c r="F56" s="54">
        <v>1.8</v>
      </c>
      <c r="G56" s="54">
        <v>1.81</v>
      </c>
      <c r="H56" s="54">
        <v>1.94</v>
      </c>
      <c r="I56" s="54">
        <v>1.79</v>
      </c>
      <c r="J56" s="54">
        <v>1.88</v>
      </c>
      <c r="K56" s="54">
        <v>1.92</v>
      </c>
      <c r="L56" s="54">
        <v>1.95</v>
      </c>
      <c r="M56" s="54">
        <v>1.85</v>
      </c>
      <c r="N56" s="54">
        <v>1.86</v>
      </c>
      <c r="O56" s="54">
        <v>1.86</v>
      </c>
      <c r="P56" s="54">
        <v>1.79</v>
      </c>
      <c r="Q56" s="54">
        <v>1.78</v>
      </c>
      <c r="R56" s="54">
        <v>1.79</v>
      </c>
      <c r="S56" s="54">
        <v>1.93</v>
      </c>
      <c r="T56" s="54">
        <v>1.83</v>
      </c>
      <c r="U56" s="54">
        <v>1.81</v>
      </c>
      <c r="V56" s="54">
        <v>1.73</v>
      </c>
      <c r="W56" s="54">
        <v>1.78</v>
      </c>
      <c r="X56" s="54">
        <v>1.83</v>
      </c>
      <c r="Y56" s="54">
        <v>1.87</v>
      </c>
      <c r="Z56" s="54">
        <v>1.94</v>
      </c>
      <c r="AA56" s="54">
        <v>1.8</v>
      </c>
      <c r="AB56" s="54">
        <v>1.84</v>
      </c>
      <c r="AC56" s="54">
        <v>1.8</v>
      </c>
      <c r="AD56" s="54">
        <v>1.86</v>
      </c>
      <c r="AE56" s="54">
        <v>1.85</v>
      </c>
      <c r="AF56" s="54">
        <v>1.88</v>
      </c>
      <c r="AG56" s="54">
        <v>1.93</v>
      </c>
      <c r="AH56" s="54">
        <v>2.17</v>
      </c>
      <c r="AI56" s="54">
        <v>1.84</v>
      </c>
      <c r="AJ56" s="54">
        <v>1.84</v>
      </c>
      <c r="AK56" s="54">
        <v>1.97</v>
      </c>
      <c r="AL56" s="54">
        <v>1.93</v>
      </c>
      <c r="AM56" s="54">
        <v>1.94</v>
      </c>
      <c r="AN56" s="54">
        <v>2.17</v>
      </c>
      <c r="AO56" s="54">
        <v>2.5</v>
      </c>
      <c r="AP56" s="54">
        <v>2.16</v>
      </c>
      <c r="AQ56" s="54">
        <v>2.06</v>
      </c>
      <c r="AR56" s="54">
        <v>2.2400000000000002</v>
      </c>
      <c r="AS56" s="54">
        <v>2.39</v>
      </c>
      <c r="AT56" s="54">
        <v>2.1320000000000001</v>
      </c>
      <c r="AU56" s="54">
        <v>2.27</v>
      </c>
      <c r="AV56" s="54">
        <v>2.2000000000000002</v>
      </c>
      <c r="AW56" s="54">
        <v>2.19</v>
      </c>
      <c r="AX56" s="54">
        <v>2.2000000000000002</v>
      </c>
      <c r="AY56" s="54">
        <v>2.25</v>
      </c>
      <c r="AZ56" s="54">
        <v>2.2400000000000002</v>
      </c>
      <c r="BA56" s="54">
        <v>2.1800000000000002</v>
      </c>
    </row>
    <row r="57" spans="1:53" x14ac:dyDescent="0.25">
      <c r="A57" t="s">
        <v>160</v>
      </c>
      <c r="B57">
        <v>723</v>
      </c>
      <c r="C57" s="54">
        <v>2.1836000000000002</v>
      </c>
      <c r="D57" s="54">
        <v>1.88</v>
      </c>
      <c r="E57" s="54">
        <v>2.04</v>
      </c>
      <c r="F57" s="54">
        <v>1.97</v>
      </c>
      <c r="G57" s="54">
        <v>1.96</v>
      </c>
      <c r="H57" s="54">
        <v>2.15</v>
      </c>
      <c r="I57" s="54">
        <v>2.16</v>
      </c>
      <c r="J57" s="54">
        <v>2.09</v>
      </c>
      <c r="K57" s="54">
        <v>2.11</v>
      </c>
      <c r="L57" s="54">
        <v>2.0299999999999998</v>
      </c>
      <c r="M57" s="54">
        <v>2.0099999999999998</v>
      </c>
      <c r="N57" s="54">
        <v>2.09</v>
      </c>
      <c r="O57" s="54">
        <v>2.04</v>
      </c>
      <c r="P57" s="54">
        <v>2.0499999999999998</v>
      </c>
      <c r="Q57" s="54">
        <v>2.06</v>
      </c>
      <c r="R57" s="54">
        <v>1.97</v>
      </c>
      <c r="S57" s="54">
        <v>2.0099999999999998</v>
      </c>
      <c r="T57" s="54">
        <v>1.99</v>
      </c>
      <c r="U57" s="54">
        <v>2.0499999999999998</v>
      </c>
      <c r="V57" s="54">
        <v>2.0099999999999998</v>
      </c>
      <c r="W57" s="54">
        <v>1.99</v>
      </c>
      <c r="X57" s="54">
        <v>2.06</v>
      </c>
      <c r="Y57" s="54">
        <v>2</v>
      </c>
      <c r="Z57" s="54">
        <v>1.99</v>
      </c>
      <c r="AA57" s="54">
        <v>1.94</v>
      </c>
      <c r="AB57" s="54">
        <v>2</v>
      </c>
      <c r="AC57" s="54">
        <v>2.04</v>
      </c>
      <c r="AD57" s="54">
        <v>2.13</v>
      </c>
      <c r="AE57" s="54">
        <v>2.1</v>
      </c>
      <c r="AF57" s="54">
        <v>2.11</v>
      </c>
      <c r="AG57" s="54">
        <v>2.04</v>
      </c>
      <c r="AH57" s="54">
        <v>2.1</v>
      </c>
      <c r="AI57" s="54">
        <v>2.04</v>
      </c>
      <c r="AJ57" s="54">
        <v>2.04</v>
      </c>
      <c r="AK57" s="54">
        <v>2.06</v>
      </c>
      <c r="AL57" s="54">
        <v>2.15</v>
      </c>
      <c r="AM57" s="54">
        <v>2.1800000000000002</v>
      </c>
      <c r="AN57" s="54">
        <v>2.5299999999999998</v>
      </c>
      <c r="AO57" s="54">
        <v>2.78</v>
      </c>
      <c r="AP57" s="54">
        <v>2.4900000000000002</v>
      </c>
      <c r="AQ57" s="54">
        <v>2.4500000000000002</v>
      </c>
      <c r="AR57" s="54">
        <v>2.52</v>
      </c>
      <c r="AS57" s="54">
        <v>2.5299999999999998</v>
      </c>
      <c r="AT57" s="54">
        <v>2.5099999999999998</v>
      </c>
      <c r="AU57" s="54">
        <v>2.5</v>
      </c>
      <c r="AV57" s="54">
        <v>2.59</v>
      </c>
      <c r="AW57" s="54">
        <v>2.48</v>
      </c>
      <c r="AX57" s="54">
        <v>2.48</v>
      </c>
      <c r="AY57" s="54">
        <v>2.4700000000000002</v>
      </c>
      <c r="AZ57" s="54">
        <v>2.68</v>
      </c>
      <c r="BA57" s="54">
        <v>2.5299999999999998</v>
      </c>
    </row>
    <row r="58" spans="1:53" x14ac:dyDescent="0.25">
      <c r="A58" t="s">
        <v>244</v>
      </c>
      <c r="B58">
        <v>838</v>
      </c>
      <c r="C58" s="54">
        <v>2.3814000000000002</v>
      </c>
      <c r="D58" s="54">
        <v>1.9</v>
      </c>
      <c r="E58" s="54">
        <v>2.15</v>
      </c>
      <c r="F58" s="54">
        <v>2.21</v>
      </c>
      <c r="G58" s="54">
        <v>2.1800000000000002</v>
      </c>
      <c r="H58" s="54">
        <v>2.2200000000000002</v>
      </c>
      <c r="I58" s="54">
        <v>2.2599999999999998</v>
      </c>
      <c r="J58" s="54">
        <v>2.23</v>
      </c>
      <c r="K58" s="54">
        <v>2.36</v>
      </c>
      <c r="L58" s="54">
        <v>2.31</v>
      </c>
      <c r="M58" s="54">
        <v>2.3199999999999998</v>
      </c>
      <c r="N58" s="54">
        <v>2.2799999999999998</v>
      </c>
      <c r="O58" s="54">
        <v>2.21</v>
      </c>
      <c r="P58" s="54">
        <v>2.25</v>
      </c>
      <c r="Q58" s="54">
        <v>2.2400000000000002</v>
      </c>
      <c r="R58" s="54">
        <v>2.23</v>
      </c>
      <c r="S58" s="54">
        <v>2.16</v>
      </c>
      <c r="T58" s="54">
        <v>2.1800000000000002</v>
      </c>
      <c r="U58" s="54">
        <v>2.2000000000000002</v>
      </c>
      <c r="V58" s="54">
        <v>2.15</v>
      </c>
      <c r="W58" s="54">
        <v>2.13</v>
      </c>
      <c r="X58" s="54">
        <v>2.2000000000000002</v>
      </c>
      <c r="Y58" s="54">
        <v>2.1800000000000002</v>
      </c>
      <c r="Z58" s="54">
        <v>2.16</v>
      </c>
      <c r="AA58" s="54">
        <v>2.12</v>
      </c>
      <c r="AB58" s="54">
        <v>2.1800000000000002</v>
      </c>
      <c r="AC58" s="54">
        <v>2.12</v>
      </c>
      <c r="AD58" s="54">
        <v>2.25</v>
      </c>
      <c r="AE58" s="54">
        <v>2.25</v>
      </c>
      <c r="AF58" s="54">
        <v>2.33</v>
      </c>
      <c r="AG58" s="54">
        <v>2.2999999999999998</v>
      </c>
      <c r="AH58" s="54">
        <v>2.27</v>
      </c>
      <c r="AI58" s="54">
        <v>2.13</v>
      </c>
      <c r="AJ58" s="54">
        <v>2.21</v>
      </c>
      <c r="AK58" s="54">
        <v>2.4</v>
      </c>
      <c r="AL58" s="54">
        <v>2.4</v>
      </c>
      <c r="AM58" s="54">
        <v>2.46</v>
      </c>
      <c r="AN58" s="54">
        <v>2.78</v>
      </c>
      <c r="AO58" s="54">
        <v>3.07</v>
      </c>
      <c r="AP58" s="54">
        <v>2.82</v>
      </c>
      <c r="AQ58" s="54">
        <v>2.69</v>
      </c>
      <c r="AR58" s="54">
        <v>2.79</v>
      </c>
      <c r="AS58" s="54">
        <v>2.84</v>
      </c>
      <c r="AT58" s="54">
        <v>2.7189999999999999</v>
      </c>
      <c r="AU58" s="54">
        <v>2.68</v>
      </c>
      <c r="AV58" s="54">
        <v>2.77</v>
      </c>
      <c r="AW58" s="54">
        <v>2.69</v>
      </c>
      <c r="AX58" s="54">
        <v>2.7</v>
      </c>
      <c r="AY58" s="54">
        <v>2.69</v>
      </c>
      <c r="AZ58" s="54">
        <v>2.92</v>
      </c>
      <c r="BA58" s="54">
        <v>2.78</v>
      </c>
    </row>
    <row r="59" spans="1:53" x14ac:dyDescent="0.25">
      <c r="A59" t="s">
        <v>245</v>
      </c>
      <c r="B59">
        <v>180</v>
      </c>
      <c r="C59" s="54">
        <v>2.274</v>
      </c>
      <c r="D59" s="54">
        <v>1.87</v>
      </c>
      <c r="E59" s="54">
        <v>2.08</v>
      </c>
      <c r="F59" s="54">
        <v>1.98</v>
      </c>
      <c r="G59" s="54">
        <v>1.91</v>
      </c>
      <c r="H59" s="54">
        <v>2.14</v>
      </c>
      <c r="I59" s="54">
        <v>2.15</v>
      </c>
      <c r="J59" s="54">
        <v>2.11</v>
      </c>
      <c r="K59" s="54">
        <v>2.21</v>
      </c>
      <c r="L59" s="54">
        <v>2.12</v>
      </c>
      <c r="M59" s="54">
        <v>2.11</v>
      </c>
      <c r="N59" s="54">
        <v>2.16</v>
      </c>
      <c r="O59" s="54">
        <v>2.19</v>
      </c>
      <c r="P59" s="54">
        <v>1.97</v>
      </c>
      <c r="Q59" s="54">
        <v>2.11</v>
      </c>
      <c r="R59" s="54">
        <v>2.12</v>
      </c>
      <c r="S59" s="54">
        <v>2.06</v>
      </c>
      <c r="T59" s="54">
        <v>2.11</v>
      </c>
      <c r="U59" s="54">
        <v>2.06</v>
      </c>
      <c r="V59" s="54">
        <v>2.09</v>
      </c>
      <c r="W59" s="54">
        <v>2.0499999999999998</v>
      </c>
      <c r="X59" s="54">
        <v>2.0699999999999998</v>
      </c>
      <c r="Y59" s="54">
        <v>2.02</v>
      </c>
      <c r="Z59" s="54">
        <v>2.04</v>
      </c>
      <c r="AA59" s="54">
        <v>2.2400000000000002</v>
      </c>
      <c r="AB59" s="54">
        <v>2.0099999999999998</v>
      </c>
      <c r="AC59" s="54">
        <v>2.09</v>
      </c>
      <c r="AD59" s="54">
        <v>2.15</v>
      </c>
      <c r="AE59" s="54">
        <v>2.25</v>
      </c>
      <c r="AF59" s="54">
        <v>2.2799999999999998</v>
      </c>
      <c r="AG59" s="54">
        <v>2.23</v>
      </c>
      <c r="AH59" s="54">
        <v>1.98</v>
      </c>
      <c r="AI59" s="54">
        <v>2.11</v>
      </c>
      <c r="AJ59" s="54">
        <v>2.17</v>
      </c>
      <c r="AK59" s="54">
        <v>2.3199999999999998</v>
      </c>
      <c r="AL59" s="54">
        <v>2.29</v>
      </c>
      <c r="AM59" s="54">
        <v>2.46</v>
      </c>
      <c r="AN59" s="54">
        <v>2.67</v>
      </c>
      <c r="AO59" s="54">
        <v>3.06</v>
      </c>
      <c r="AP59" s="54">
        <v>2.69</v>
      </c>
      <c r="AQ59" s="54">
        <v>2.72</v>
      </c>
      <c r="AR59" s="54">
        <v>2.7</v>
      </c>
      <c r="AS59" s="54">
        <v>2.77</v>
      </c>
      <c r="AT59" s="54">
        <v>2.5579999999999998</v>
      </c>
      <c r="AU59" s="54">
        <v>2.61</v>
      </c>
      <c r="AV59" s="54">
        <v>2.5499999999999998</v>
      </c>
      <c r="AW59" s="54">
        <v>2.67</v>
      </c>
      <c r="AX59" s="54">
        <v>2.48</v>
      </c>
      <c r="AY59" s="54">
        <v>2.48</v>
      </c>
      <c r="AZ59" s="54">
        <v>2.73</v>
      </c>
      <c r="BA59" s="54">
        <v>2.7</v>
      </c>
    </row>
    <row r="60" spans="1:53" x14ac:dyDescent="0.25">
      <c r="A60" t="s">
        <v>246</v>
      </c>
      <c r="B60">
        <v>314</v>
      </c>
      <c r="C60" s="54">
        <v>2.3092000000000001</v>
      </c>
      <c r="D60" s="54">
        <v>1.9</v>
      </c>
      <c r="E60" s="54">
        <v>2.1</v>
      </c>
      <c r="F60" s="54">
        <v>1.96</v>
      </c>
      <c r="G60" s="54">
        <v>2.04</v>
      </c>
      <c r="H60" s="54">
        <v>2.2200000000000002</v>
      </c>
      <c r="I60" s="54">
        <v>2.25</v>
      </c>
      <c r="J60" s="54">
        <v>2.0499999999999998</v>
      </c>
      <c r="K60" s="54">
        <v>2.1800000000000002</v>
      </c>
      <c r="L60" s="54">
        <v>2.23</v>
      </c>
      <c r="M60" s="54">
        <v>2.2000000000000002</v>
      </c>
      <c r="N60" s="54">
        <v>2.14</v>
      </c>
      <c r="O60" s="54">
        <v>2.16</v>
      </c>
      <c r="P60" s="54">
        <v>2.0499999999999998</v>
      </c>
      <c r="Q60" s="54">
        <v>2.2200000000000002</v>
      </c>
      <c r="R60" s="54">
        <v>2.09</v>
      </c>
      <c r="S60" s="54">
        <v>2.13</v>
      </c>
      <c r="T60" s="54">
        <v>2.02</v>
      </c>
      <c r="U60" s="54">
        <v>2.1800000000000002</v>
      </c>
      <c r="V60" s="54">
        <v>2</v>
      </c>
      <c r="W60" s="54">
        <v>1.98</v>
      </c>
      <c r="X60" s="54">
        <v>2.1800000000000002</v>
      </c>
      <c r="Y60" s="54">
        <v>2.0299999999999998</v>
      </c>
      <c r="Z60" s="54">
        <v>2.12</v>
      </c>
      <c r="AA60" s="54">
        <v>2.12</v>
      </c>
      <c r="AB60" s="54">
        <v>2.0499999999999998</v>
      </c>
      <c r="AC60" s="54">
        <v>2.1</v>
      </c>
      <c r="AD60" s="54">
        <v>2.19</v>
      </c>
      <c r="AE60" s="54">
        <v>2.11</v>
      </c>
      <c r="AF60" s="54">
        <v>2.2999999999999998</v>
      </c>
      <c r="AG60" s="54">
        <v>2.27</v>
      </c>
      <c r="AH60" s="54">
        <v>2.1800000000000002</v>
      </c>
      <c r="AI60" s="54">
        <v>2.13</v>
      </c>
      <c r="AJ60" s="54">
        <v>2.19</v>
      </c>
      <c r="AK60" s="54">
        <v>2.2200000000000002</v>
      </c>
      <c r="AL60" s="54">
        <v>2.2400000000000002</v>
      </c>
      <c r="AM60" s="54">
        <v>2.5299999999999998</v>
      </c>
      <c r="AN60" s="54">
        <v>2.72</v>
      </c>
      <c r="AO60" s="54">
        <v>2.97</v>
      </c>
      <c r="AP60" s="54">
        <v>2.71</v>
      </c>
      <c r="AQ60" s="54">
        <v>2.77</v>
      </c>
      <c r="AR60" s="54">
        <v>2.81</v>
      </c>
      <c r="AS60" s="54">
        <v>2.77</v>
      </c>
      <c r="AT60" s="54">
        <v>2.6920000000000002</v>
      </c>
      <c r="AU60" s="54">
        <v>2.71</v>
      </c>
      <c r="AV60" s="54">
        <v>2.72</v>
      </c>
      <c r="AW60" s="54">
        <v>2.75</v>
      </c>
      <c r="AX60" s="54">
        <v>2.66</v>
      </c>
      <c r="AY60" s="54">
        <v>2.67</v>
      </c>
      <c r="AZ60" s="54">
        <v>2.71</v>
      </c>
      <c r="BA60" s="54">
        <v>2.74</v>
      </c>
    </row>
    <row r="61" spans="1:53" x14ac:dyDescent="0.25">
      <c r="A61" t="s">
        <v>164</v>
      </c>
      <c r="B61">
        <v>61</v>
      </c>
      <c r="C61" s="54">
        <v>2.3877999999999999</v>
      </c>
      <c r="D61" s="54">
        <v>2</v>
      </c>
      <c r="E61" s="54">
        <v>1.94</v>
      </c>
      <c r="F61" s="54">
        <v>2.0099999999999998</v>
      </c>
      <c r="G61" s="54">
        <v>2.11</v>
      </c>
      <c r="H61" s="54">
        <v>2.2400000000000002</v>
      </c>
      <c r="I61" s="54">
        <v>2.19</v>
      </c>
      <c r="J61" s="54">
        <v>2.13</v>
      </c>
      <c r="K61" s="54">
        <v>2.4900000000000002</v>
      </c>
      <c r="L61" s="54">
        <v>2.25</v>
      </c>
      <c r="M61" s="54">
        <v>2.37</v>
      </c>
      <c r="N61" s="54">
        <v>2.2599999999999998</v>
      </c>
      <c r="O61" s="54">
        <v>2.1800000000000002</v>
      </c>
      <c r="P61" s="54">
        <v>2.1800000000000002</v>
      </c>
      <c r="Q61" s="54">
        <v>2.29</v>
      </c>
      <c r="R61" s="54">
        <v>2.06</v>
      </c>
      <c r="S61" s="54">
        <v>2.3199999999999998</v>
      </c>
      <c r="T61" s="54">
        <v>2.12</v>
      </c>
      <c r="U61" s="54">
        <v>2.17</v>
      </c>
      <c r="V61" s="54">
        <v>2.12</v>
      </c>
      <c r="W61" s="54">
        <v>1.96</v>
      </c>
      <c r="X61" s="54">
        <v>1.98</v>
      </c>
      <c r="Y61" s="54">
        <v>2.31</v>
      </c>
      <c r="Z61" s="54">
        <v>1.92</v>
      </c>
      <c r="AA61" s="54">
        <v>2.06</v>
      </c>
      <c r="AB61" s="54">
        <v>2.2200000000000002</v>
      </c>
      <c r="AC61" s="54">
        <v>2.15</v>
      </c>
      <c r="AD61" s="54">
        <v>2.4500000000000002</v>
      </c>
      <c r="AE61" s="54">
        <v>2.13</v>
      </c>
      <c r="AF61" s="54">
        <v>2.23</v>
      </c>
      <c r="AG61" s="54">
        <v>2.31</v>
      </c>
      <c r="AH61" s="54">
        <v>2.2599999999999998</v>
      </c>
      <c r="AI61" s="54">
        <v>2.2599999999999998</v>
      </c>
      <c r="AJ61" s="54">
        <v>2.33</v>
      </c>
      <c r="AK61" s="54">
        <v>2.11</v>
      </c>
      <c r="AL61" s="54">
        <v>2.4900000000000002</v>
      </c>
      <c r="AM61" s="54">
        <v>2.5099999999999998</v>
      </c>
      <c r="AN61" s="54">
        <v>3.06</v>
      </c>
      <c r="AO61" s="54">
        <v>3.21</v>
      </c>
      <c r="AP61" s="54">
        <v>2.77</v>
      </c>
      <c r="AQ61" s="54">
        <v>2.78</v>
      </c>
      <c r="AR61" s="54">
        <v>2.87</v>
      </c>
      <c r="AS61" s="54">
        <v>2.86</v>
      </c>
      <c r="AT61" s="54">
        <v>2.7120000000000002</v>
      </c>
      <c r="AU61" s="54">
        <v>2.7</v>
      </c>
      <c r="AV61" s="54">
        <v>2.87</v>
      </c>
      <c r="AW61" s="54">
        <v>2.79</v>
      </c>
      <c r="AX61" s="54">
        <v>3.14</v>
      </c>
      <c r="AY61" s="54">
        <v>2.74</v>
      </c>
      <c r="AZ61" s="54">
        <v>2.93</v>
      </c>
      <c r="BA61" s="54">
        <v>2.85</v>
      </c>
    </row>
    <row r="62" spans="1:53" x14ac:dyDescent="0.25">
      <c r="A62" t="s">
        <v>165</v>
      </c>
      <c r="B62">
        <v>269</v>
      </c>
      <c r="C62" s="54">
        <v>2.4780000000000002</v>
      </c>
      <c r="D62" s="54">
        <v>2.12</v>
      </c>
      <c r="E62" s="54">
        <v>2.42</v>
      </c>
      <c r="F62" s="54">
        <v>2.2400000000000002</v>
      </c>
      <c r="G62" s="54">
        <v>2.16</v>
      </c>
      <c r="H62" s="54">
        <v>2.3199999999999998</v>
      </c>
      <c r="I62" s="54">
        <v>2.5299999999999998</v>
      </c>
      <c r="J62" s="54">
        <v>2.35</v>
      </c>
      <c r="K62" s="54">
        <v>2.4900000000000002</v>
      </c>
      <c r="L62" s="54">
        <v>2.46</v>
      </c>
      <c r="M62" s="54">
        <v>2.39</v>
      </c>
      <c r="N62" s="54">
        <v>2.48</v>
      </c>
      <c r="O62" s="54">
        <v>2.42</v>
      </c>
      <c r="P62" s="54">
        <v>2.4</v>
      </c>
      <c r="Q62" s="54">
        <v>2.36</v>
      </c>
      <c r="R62" s="54">
        <v>2.2400000000000002</v>
      </c>
      <c r="S62" s="54">
        <v>2.2200000000000002</v>
      </c>
      <c r="T62" s="54">
        <v>2.2599999999999998</v>
      </c>
      <c r="U62" s="54">
        <v>2.2400000000000002</v>
      </c>
      <c r="V62" s="54">
        <v>2.16</v>
      </c>
      <c r="W62" s="54">
        <v>2.13</v>
      </c>
      <c r="X62" s="54">
        <v>2.33</v>
      </c>
      <c r="Y62" s="54">
        <v>2.1800000000000002</v>
      </c>
      <c r="Z62" s="54">
        <v>2.23</v>
      </c>
      <c r="AA62" s="54">
        <v>2.2799999999999998</v>
      </c>
      <c r="AB62" s="54">
        <v>2.0499999999999998</v>
      </c>
      <c r="AC62" s="54">
        <v>2.21</v>
      </c>
      <c r="AD62" s="54">
        <v>2.39</v>
      </c>
      <c r="AE62" s="54">
        <v>2.2799999999999998</v>
      </c>
      <c r="AF62" s="54">
        <v>2.25</v>
      </c>
      <c r="AG62" s="54">
        <v>2.5</v>
      </c>
      <c r="AH62" s="54">
        <v>2.23</v>
      </c>
      <c r="AI62" s="54">
        <v>2.1800000000000002</v>
      </c>
      <c r="AJ62" s="54">
        <v>2.2400000000000002</v>
      </c>
      <c r="AK62" s="54">
        <v>2.44</v>
      </c>
      <c r="AL62" s="54">
        <v>2.44</v>
      </c>
      <c r="AM62" s="54">
        <v>2.57</v>
      </c>
      <c r="AN62" s="54">
        <v>2.73</v>
      </c>
      <c r="AO62" s="54">
        <v>3.17</v>
      </c>
      <c r="AP62" s="54">
        <v>2.96</v>
      </c>
      <c r="AQ62" s="54">
        <v>2.76</v>
      </c>
      <c r="AR62" s="54">
        <v>2.97</v>
      </c>
      <c r="AS62" s="54">
        <v>3.05</v>
      </c>
      <c r="AT62" s="54">
        <v>2.9</v>
      </c>
      <c r="AU62" s="54">
        <v>2.77</v>
      </c>
      <c r="AV62" s="54">
        <v>2.91</v>
      </c>
      <c r="AW62" s="54">
        <v>2.89</v>
      </c>
      <c r="AX62" s="54">
        <v>2.77</v>
      </c>
      <c r="AY62" s="54">
        <v>2.84</v>
      </c>
      <c r="AZ62" s="54">
        <v>3.11</v>
      </c>
      <c r="BA62" s="54">
        <v>2.88</v>
      </c>
    </row>
    <row r="63" spans="1:53" x14ac:dyDescent="0.25">
      <c r="A63" t="s">
        <v>166</v>
      </c>
      <c r="B63">
        <v>135</v>
      </c>
      <c r="C63" s="54">
        <v>2.2042999999999999</v>
      </c>
      <c r="D63" s="54">
        <v>1.84</v>
      </c>
      <c r="E63" s="54">
        <v>2.0499999999999998</v>
      </c>
      <c r="F63" s="54">
        <v>1.81</v>
      </c>
      <c r="G63" s="54">
        <v>1.94</v>
      </c>
      <c r="H63" s="54">
        <v>1.98</v>
      </c>
      <c r="I63" s="54">
        <v>2.0299999999999998</v>
      </c>
      <c r="J63" s="54">
        <v>2.15</v>
      </c>
      <c r="K63" s="54">
        <v>2.1</v>
      </c>
      <c r="L63" s="54">
        <v>2.13</v>
      </c>
      <c r="M63" s="54">
        <v>2.21</v>
      </c>
      <c r="N63" s="54">
        <v>2.25</v>
      </c>
      <c r="O63" s="54">
        <v>2.21</v>
      </c>
      <c r="P63" s="54">
        <v>2.25</v>
      </c>
      <c r="Q63" s="54">
        <v>2.1800000000000002</v>
      </c>
      <c r="R63" s="54">
        <v>1.99</v>
      </c>
      <c r="S63" s="54">
        <v>2.25</v>
      </c>
      <c r="T63" s="54">
        <v>2</v>
      </c>
      <c r="U63" s="54">
        <v>1.95</v>
      </c>
      <c r="V63" s="54">
        <v>1.89</v>
      </c>
      <c r="W63" s="54">
        <v>2</v>
      </c>
      <c r="X63" s="54">
        <v>2.15</v>
      </c>
      <c r="Y63" s="54">
        <v>1.94</v>
      </c>
      <c r="Z63" s="54">
        <v>2.16</v>
      </c>
      <c r="AA63" s="54">
        <v>1.99</v>
      </c>
      <c r="AB63" s="54">
        <v>1.89</v>
      </c>
      <c r="AC63" s="54">
        <v>2.0099999999999998</v>
      </c>
      <c r="AD63" s="54">
        <v>2.14</v>
      </c>
      <c r="AE63" s="54">
        <v>2.0099999999999998</v>
      </c>
      <c r="AF63" s="54">
        <v>2.1800000000000002</v>
      </c>
      <c r="AG63" s="54">
        <v>2.15</v>
      </c>
      <c r="AH63" s="54">
        <v>2.13</v>
      </c>
      <c r="AI63" s="54">
        <v>1.9</v>
      </c>
      <c r="AJ63" s="54">
        <v>2.0499999999999998</v>
      </c>
      <c r="AK63" s="54">
        <v>1.96</v>
      </c>
      <c r="AL63" s="54">
        <v>2.2799999999999998</v>
      </c>
      <c r="AM63" s="54">
        <v>2.31</v>
      </c>
      <c r="AN63" s="54">
        <v>2.5499999999999998</v>
      </c>
      <c r="AO63" s="54">
        <v>3.06</v>
      </c>
      <c r="AP63" s="54">
        <v>2.41</v>
      </c>
      <c r="AQ63" s="54">
        <v>2.41</v>
      </c>
      <c r="AR63" s="54">
        <v>2.74</v>
      </c>
      <c r="AS63" s="54">
        <v>2.66</v>
      </c>
      <c r="AT63" s="54">
        <v>2.4849999999999999</v>
      </c>
      <c r="AU63" s="54">
        <v>2.4900000000000002</v>
      </c>
      <c r="AV63" s="54">
        <v>2.38</v>
      </c>
      <c r="AW63" s="54">
        <v>2.4700000000000002</v>
      </c>
      <c r="AX63" s="54">
        <v>2.37</v>
      </c>
      <c r="AY63" s="54">
        <v>2.46</v>
      </c>
      <c r="AZ63" s="54">
        <v>2.68</v>
      </c>
      <c r="BA63" s="54">
        <v>2.59</v>
      </c>
    </row>
    <row r="64" spans="1:53" x14ac:dyDescent="0.25">
      <c r="A64" t="s">
        <v>167</v>
      </c>
      <c r="B64">
        <v>285</v>
      </c>
      <c r="C64" s="54">
        <v>2.3521999999999998</v>
      </c>
      <c r="D64" s="54">
        <v>2.09</v>
      </c>
      <c r="E64" s="54">
        <v>2.0699999999999998</v>
      </c>
      <c r="F64" s="54">
        <v>2.37</v>
      </c>
      <c r="G64" s="54">
        <v>2.14</v>
      </c>
      <c r="H64" s="54">
        <v>2.44</v>
      </c>
      <c r="I64" s="54">
        <v>2.23</v>
      </c>
      <c r="J64" s="54">
        <v>2.4300000000000002</v>
      </c>
      <c r="K64" s="54">
        <v>2.46</v>
      </c>
      <c r="L64" s="54">
        <v>2.35</v>
      </c>
      <c r="M64" s="54">
        <v>2.4900000000000002</v>
      </c>
      <c r="N64" s="54">
        <v>2.39</v>
      </c>
      <c r="O64" s="54">
        <v>2.41</v>
      </c>
      <c r="P64" s="54">
        <v>2.36</v>
      </c>
      <c r="Q64" s="54">
        <v>2.33</v>
      </c>
      <c r="R64" s="54">
        <v>2.17</v>
      </c>
      <c r="S64" s="54">
        <v>2.16</v>
      </c>
      <c r="T64" s="54">
        <v>2.2200000000000002</v>
      </c>
      <c r="U64" s="54">
        <v>2.16</v>
      </c>
      <c r="V64" s="54">
        <v>2.1</v>
      </c>
      <c r="W64" s="54">
        <v>1.99</v>
      </c>
      <c r="X64" s="54">
        <v>2.23</v>
      </c>
      <c r="Y64" s="54">
        <v>2.0499999999999998</v>
      </c>
      <c r="Z64" s="54">
        <v>2.14</v>
      </c>
      <c r="AA64" s="54">
        <v>2.04</v>
      </c>
      <c r="AB64" s="54">
        <v>2.19</v>
      </c>
      <c r="AC64" s="54">
        <v>2.08</v>
      </c>
      <c r="AD64" s="54">
        <v>2.19</v>
      </c>
      <c r="AE64" s="54">
        <v>2.0699999999999998</v>
      </c>
      <c r="AF64" s="54">
        <v>2.21</v>
      </c>
      <c r="AG64" s="54">
        <v>2.2200000000000002</v>
      </c>
      <c r="AH64" s="54">
        <v>2.25</v>
      </c>
      <c r="AI64" s="54">
        <v>2</v>
      </c>
      <c r="AJ64" s="54">
        <v>2.1800000000000002</v>
      </c>
      <c r="AK64" s="54">
        <v>2.13</v>
      </c>
      <c r="AL64" s="54">
        <v>2.2200000000000002</v>
      </c>
      <c r="AM64" s="54">
        <v>2.27</v>
      </c>
      <c r="AN64" s="54">
        <v>2.81</v>
      </c>
      <c r="AO64" s="54">
        <v>3.12</v>
      </c>
      <c r="AP64" s="54">
        <v>2.65</v>
      </c>
      <c r="AQ64" s="54">
        <v>2.79</v>
      </c>
      <c r="AR64" s="54">
        <v>2.79</v>
      </c>
      <c r="AS64" s="54">
        <v>2.81</v>
      </c>
      <c r="AT64" s="54">
        <v>2.6579999999999999</v>
      </c>
      <c r="AU64" s="54">
        <v>2.5299999999999998</v>
      </c>
      <c r="AV64" s="54">
        <v>2.71</v>
      </c>
      <c r="AW64" s="54">
        <v>2.5499999999999998</v>
      </c>
      <c r="AX64" s="54">
        <v>2.41</v>
      </c>
      <c r="AY64" s="54">
        <v>2.44</v>
      </c>
      <c r="AZ64" s="54">
        <v>2.76</v>
      </c>
      <c r="BA64" s="54">
        <v>2.75</v>
      </c>
    </row>
    <row r="65" spans="1:53" x14ac:dyDescent="0.25">
      <c r="A65" t="s">
        <v>247</v>
      </c>
      <c r="B65">
        <v>240</v>
      </c>
      <c r="C65" s="54">
        <v>2.3155999999999999</v>
      </c>
      <c r="D65" s="54">
        <v>1.81</v>
      </c>
      <c r="E65" s="54">
        <v>2.11</v>
      </c>
      <c r="F65" s="54">
        <v>2.02</v>
      </c>
      <c r="G65" s="54">
        <v>1.93</v>
      </c>
      <c r="H65" s="54">
        <v>2.1</v>
      </c>
      <c r="I65" s="54">
        <v>2.08</v>
      </c>
      <c r="J65" s="54">
        <v>2</v>
      </c>
      <c r="K65" s="54">
        <v>2.1</v>
      </c>
      <c r="L65" s="54">
        <v>1.97</v>
      </c>
      <c r="M65" s="54">
        <v>2.02</v>
      </c>
      <c r="N65" s="54">
        <v>2.06</v>
      </c>
      <c r="O65" s="54">
        <v>2.1</v>
      </c>
      <c r="P65" s="54">
        <v>2.16</v>
      </c>
      <c r="Q65" s="54">
        <v>2.23</v>
      </c>
      <c r="R65" s="54">
        <v>2.04</v>
      </c>
      <c r="S65" s="54">
        <v>2.2200000000000002</v>
      </c>
      <c r="T65" s="54">
        <v>2.04</v>
      </c>
      <c r="U65" s="54">
        <v>2.0299999999999998</v>
      </c>
      <c r="V65" s="54">
        <v>2.0099999999999998</v>
      </c>
      <c r="W65" s="54">
        <v>2.0499999999999998</v>
      </c>
      <c r="X65" s="54">
        <v>2.19</v>
      </c>
      <c r="Y65" s="54">
        <v>2.09</v>
      </c>
      <c r="Z65" s="54">
        <v>2.23</v>
      </c>
      <c r="AA65" s="54">
        <v>2.0499999999999998</v>
      </c>
      <c r="AB65" s="54">
        <v>2.0299999999999998</v>
      </c>
      <c r="AC65" s="54">
        <v>2.16</v>
      </c>
      <c r="AD65" s="54">
        <v>2.11</v>
      </c>
      <c r="AE65" s="54">
        <v>2.2200000000000002</v>
      </c>
      <c r="AF65" s="54">
        <v>2.25</v>
      </c>
      <c r="AG65" s="54">
        <v>2.23</v>
      </c>
      <c r="AH65" s="54">
        <v>2.35</v>
      </c>
      <c r="AI65" s="54">
        <v>2.12</v>
      </c>
      <c r="AJ65" s="54">
        <v>2.1800000000000002</v>
      </c>
      <c r="AK65" s="54">
        <v>2.14</v>
      </c>
      <c r="AL65" s="54">
        <v>2.4900000000000002</v>
      </c>
      <c r="AM65" s="54">
        <v>2.5299999999999998</v>
      </c>
      <c r="AN65" s="54">
        <v>2.76</v>
      </c>
      <c r="AO65" s="54">
        <v>2.95</v>
      </c>
      <c r="AP65" s="54">
        <v>2.85</v>
      </c>
      <c r="AQ65" s="54">
        <v>2.78</v>
      </c>
      <c r="AR65" s="54">
        <v>2.87</v>
      </c>
      <c r="AS65" s="54">
        <v>2.98</v>
      </c>
      <c r="AT65" s="54">
        <v>2.93</v>
      </c>
      <c r="AU65" s="54">
        <v>2.62</v>
      </c>
      <c r="AV65" s="54">
        <v>2.94</v>
      </c>
      <c r="AW65" s="54">
        <v>2.77</v>
      </c>
      <c r="AX65" s="54">
        <v>2.6</v>
      </c>
      <c r="AY65" s="54">
        <v>2.66</v>
      </c>
      <c r="AZ65" s="54">
        <v>2.86</v>
      </c>
      <c r="BA65" s="54">
        <v>2.76</v>
      </c>
    </row>
    <row r="66" spans="1:53" x14ac:dyDescent="0.25">
      <c r="A66" t="s">
        <v>169</v>
      </c>
      <c r="B66">
        <v>146</v>
      </c>
      <c r="C66" s="54">
        <v>2.4447000000000001</v>
      </c>
      <c r="D66" s="54">
        <v>1.86</v>
      </c>
      <c r="E66" s="54">
        <v>2.2000000000000002</v>
      </c>
      <c r="F66" s="54">
        <v>2.13</v>
      </c>
      <c r="G66" s="54">
        <v>2.14</v>
      </c>
      <c r="H66" s="54">
        <v>2.34</v>
      </c>
      <c r="I66" s="54">
        <v>2.29</v>
      </c>
      <c r="J66" s="54">
        <v>2.2599999999999998</v>
      </c>
      <c r="K66" s="54">
        <v>2.3199999999999998</v>
      </c>
      <c r="L66" s="54">
        <v>2.46</v>
      </c>
      <c r="M66" s="54">
        <v>2.4700000000000002</v>
      </c>
      <c r="N66" s="54">
        <v>2.4</v>
      </c>
      <c r="O66" s="54">
        <v>2.5099999999999998</v>
      </c>
      <c r="P66" s="54">
        <v>2.37</v>
      </c>
      <c r="Q66" s="54">
        <v>2.38</v>
      </c>
      <c r="R66" s="54">
        <v>2.5</v>
      </c>
      <c r="S66" s="54">
        <v>2.2999999999999998</v>
      </c>
      <c r="T66" s="54">
        <v>2.25</v>
      </c>
      <c r="U66" s="54">
        <v>2.4500000000000002</v>
      </c>
      <c r="V66" s="54">
        <v>2.25</v>
      </c>
      <c r="W66" s="54">
        <v>2.33</v>
      </c>
      <c r="X66" s="54">
        <v>2.35</v>
      </c>
      <c r="Y66" s="54">
        <v>2.17</v>
      </c>
      <c r="Z66" s="54">
        <v>2.27</v>
      </c>
      <c r="AA66" s="54">
        <v>2.27</v>
      </c>
      <c r="AB66" s="54">
        <v>2.21</v>
      </c>
      <c r="AC66" s="54">
        <v>2.25</v>
      </c>
      <c r="AD66" s="54">
        <v>2.36</v>
      </c>
      <c r="AE66" s="54">
        <v>2.2400000000000002</v>
      </c>
      <c r="AF66" s="54">
        <v>2.3199999999999998</v>
      </c>
      <c r="AG66" s="54">
        <v>2.39</v>
      </c>
      <c r="AH66" s="54">
        <v>2.2000000000000002</v>
      </c>
      <c r="AI66" s="54">
        <v>2.25</v>
      </c>
      <c r="AJ66" s="54">
        <v>2.2799999999999998</v>
      </c>
      <c r="AK66" s="54">
        <v>2.31</v>
      </c>
      <c r="AL66" s="54">
        <v>2.62</v>
      </c>
      <c r="AM66" s="54">
        <v>2.58</v>
      </c>
      <c r="AN66" s="54">
        <v>2.5099999999999998</v>
      </c>
      <c r="AO66" s="54">
        <v>3.07</v>
      </c>
      <c r="AP66" s="54">
        <v>2.83</v>
      </c>
      <c r="AQ66" s="54">
        <v>2.77</v>
      </c>
      <c r="AR66" s="54">
        <v>2.76</v>
      </c>
      <c r="AS66" s="54">
        <v>2.8</v>
      </c>
      <c r="AT66" s="54">
        <v>2.7959999999999998</v>
      </c>
      <c r="AU66" s="54">
        <v>2.72</v>
      </c>
      <c r="AV66" s="54">
        <v>2.87</v>
      </c>
      <c r="AW66" s="54">
        <v>2.78</v>
      </c>
      <c r="AX66" s="54">
        <v>2.61</v>
      </c>
      <c r="AY66" s="54">
        <v>2.76</v>
      </c>
      <c r="AZ66" s="54">
        <v>2.74</v>
      </c>
      <c r="BA66" s="54">
        <v>2.94</v>
      </c>
    </row>
    <row r="67" spans="1:53" x14ac:dyDescent="0.25">
      <c r="A67" t="s">
        <v>170</v>
      </c>
      <c r="B67">
        <v>1097</v>
      </c>
      <c r="C67" s="54">
        <v>2.2130999999999998</v>
      </c>
      <c r="D67" s="54">
        <v>1.78</v>
      </c>
      <c r="E67" s="54">
        <v>1.99</v>
      </c>
      <c r="F67" s="54">
        <v>2.02</v>
      </c>
      <c r="G67" s="54">
        <v>1.96</v>
      </c>
      <c r="H67" s="54">
        <v>2.13</v>
      </c>
      <c r="I67" s="54">
        <v>2.11</v>
      </c>
      <c r="J67" s="54">
        <v>2.0499999999999998</v>
      </c>
      <c r="K67" s="54">
        <v>2.12</v>
      </c>
      <c r="L67" s="54">
        <v>2.13</v>
      </c>
      <c r="M67" s="54">
        <v>2.08</v>
      </c>
      <c r="N67" s="54">
        <v>2.14</v>
      </c>
      <c r="O67" s="54">
        <v>2.09</v>
      </c>
      <c r="P67" s="54">
        <v>2.09</v>
      </c>
      <c r="Q67" s="54">
        <v>2.0699999999999998</v>
      </c>
      <c r="R67" s="54">
        <v>2.13</v>
      </c>
      <c r="S67" s="54">
        <v>2.06</v>
      </c>
      <c r="T67" s="54">
        <v>2.06</v>
      </c>
      <c r="U67" s="54">
        <v>2.1</v>
      </c>
      <c r="V67" s="54">
        <v>2.02</v>
      </c>
      <c r="W67" s="54">
        <v>2.0299999999999998</v>
      </c>
      <c r="X67" s="54">
        <v>2.09</v>
      </c>
      <c r="Y67" s="54">
        <v>2.0499999999999998</v>
      </c>
      <c r="Z67" s="54">
        <v>2.02</v>
      </c>
      <c r="AA67" s="54">
        <v>2.04</v>
      </c>
      <c r="AB67" s="54">
        <v>2.0499999999999998</v>
      </c>
      <c r="AC67" s="54">
        <v>2.08</v>
      </c>
      <c r="AD67" s="54">
        <v>2.16</v>
      </c>
      <c r="AE67" s="54">
        <v>2.14</v>
      </c>
      <c r="AF67" s="54">
        <v>2.17</v>
      </c>
      <c r="AG67" s="54">
        <v>2.1800000000000002</v>
      </c>
      <c r="AH67" s="54">
        <v>2.23</v>
      </c>
      <c r="AI67" s="54">
        <v>2.08</v>
      </c>
      <c r="AJ67" s="54">
        <v>2.12</v>
      </c>
      <c r="AK67" s="54">
        <v>2.13</v>
      </c>
      <c r="AL67" s="54">
        <v>2.1800000000000002</v>
      </c>
      <c r="AM67" s="54">
        <v>2.27</v>
      </c>
      <c r="AN67" s="54">
        <v>2.5499999999999998</v>
      </c>
      <c r="AO67" s="54">
        <v>2.78</v>
      </c>
      <c r="AP67" s="54">
        <v>2.5499999999999998</v>
      </c>
      <c r="AQ67" s="54">
        <v>2.54</v>
      </c>
      <c r="AR67" s="54">
        <v>2.62</v>
      </c>
      <c r="AS67" s="54">
        <v>2.59</v>
      </c>
      <c r="AT67" s="54">
        <v>2.5169999999999999</v>
      </c>
      <c r="AU67" s="54">
        <v>2.52</v>
      </c>
      <c r="AV67" s="54">
        <v>2.57</v>
      </c>
      <c r="AW67" s="54">
        <v>2.46</v>
      </c>
      <c r="AX67" s="54">
        <v>2.4500000000000002</v>
      </c>
      <c r="AY67" s="54">
        <v>2.4</v>
      </c>
      <c r="AZ67" s="54">
        <v>2.54</v>
      </c>
      <c r="BA67" s="54">
        <v>2.42</v>
      </c>
    </row>
  </sheetData>
  <autoFilter ref="A1:BC67" xr:uid="{00000000-0009-0000-0000-000013000000}"/>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FBFBF"/>
    <pageSetUpPr fitToPage="1"/>
  </sheetPr>
  <dimension ref="B2:B23"/>
  <sheetViews>
    <sheetView showGridLines="0" workbookViewId="0"/>
  </sheetViews>
  <sheetFormatPr baseColWidth="10" defaultColWidth="9.140625" defaultRowHeight="15" x14ac:dyDescent="0.25"/>
  <cols>
    <col min="1" max="1" width="2" customWidth="1"/>
    <col min="2" max="2" width="110" customWidth="1"/>
  </cols>
  <sheetData>
    <row r="2" spans="2:2" ht="27" customHeight="1" x14ac:dyDescent="0.45">
      <c r="B2" s="1" t="s">
        <v>4575</v>
      </c>
    </row>
    <row r="3" spans="2:2" x14ac:dyDescent="0.25">
      <c r="B3" s="99" t="s">
        <v>4576</v>
      </c>
    </row>
    <row r="5" spans="2:2" ht="42" customHeight="1" x14ac:dyDescent="0.25">
      <c r="B5" s="59" t="s">
        <v>4577</v>
      </c>
    </row>
    <row r="7" spans="2:2" ht="54.95" customHeight="1" x14ac:dyDescent="0.25">
      <c r="B7" s="59" t="s">
        <v>4578</v>
      </c>
    </row>
    <row r="9" spans="2:2" ht="15.95" customHeight="1" x14ac:dyDescent="0.25">
      <c r="B9" s="59" t="s">
        <v>4579</v>
      </c>
    </row>
    <row r="11" spans="2:2" ht="54.95" customHeight="1" x14ac:dyDescent="0.25">
      <c r="B11" s="59" t="s">
        <v>4580</v>
      </c>
    </row>
    <row r="13" spans="2:2" ht="81" customHeight="1" x14ac:dyDescent="0.25">
      <c r="B13" s="59" t="s">
        <v>4581</v>
      </c>
    </row>
    <row r="15" spans="2:2" ht="42" customHeight="1" x14ac:dyDescent="0.25">
      <c r="B15" s="59" t="s">
        <v>4582</v>
      </c>
    </row>
    <row r="17" spans="2:2" ht="29.1" customHeight="1" x14ac:dyDescent="0.25">
      <c r="B17" s="59" t="s">
        <v>4583</v>
      </c>
    </row>
    <row r="19" spans="2:2" ht="15.95" customHeight="1" x14ac:dyDescent="0.3">
      <c r="B19" s="60" t="s">
        <v>4584</v>
      </c>
    </row>
    <row r="21" spans="2:2" ht="54.95" customHeight="1" x14ac:dyDescent="0.25">
      <c r="B21" s="59" t="s">
        <v>4585</v>
      </c>
    </row>
    <row r="23" spans="2:2" ht="15.95" customHeight="1" x14ac:dyDescent="0.25">
      <c r="B23" s="59" t="s">
        <v>4586</v>
      </c>
    </row>
  </sheetData>
  <pageMargins left="0.6" right="0.6" top="0.75" bottom="0.75" header="0.3" footer="0.3"/>
  <pageSetup paperSize="9" fitToHeight="0" orientation="portrait"/>
  <headerFooter>
    <oddFooter>&amp;L&amp;8 DIHK-Konjunkturumfrage Herbst 2026&amp;R&amp;8 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FBFBF"/>
    <pageSetUpPr fitToPage="1"/>
  </sheetPr>
  <dimension ref="B2:D74"/>
  <sheetViews>
    <sheetView showGridLines="0" workbookViewId="0">
      <pane ySplit="5" topLeftCell="A6" activePane="bottomLeft" state="frozen"/>
      <selection pane="bottomLeft" activeCell="A6" sqref="A6"/>
    </sheetView>
  </sheetViews>
  <sheetFormatPr baseColWidth="10" defaultColWidth="9.140625" defaultRowHeight="15" x14ac:dyDescent="0.25"/>
  <cols>
    <col min="1" max="1" width="2" customWidth="1"/>
    <col min="2" max="2" width="48" customWidth="1"/>
    <col min="3" max="3" width="62" customWidth="1"/>
    <col min="4" max="4" width="18" customWidth="1"/>
  </cols>
  <sheetData>
    <row r="2" spans="2:4" ht="27" customHeight="1" x14ac:dyDescent="0.45">
      <c r="B2" s="1" t="s">
        <v>4587</v>
      </c>
    </row>
    <row r="3" spans="2:4" x14ac:dyDescent="0.25">
      <c r="B3" s="99" t="s">
        <v>4588</v>
      </c>
    </row>
    <row r="5" spans="2:4" ht="30" customHeight="1" x14ac:dyDescent="0.25">
      <c r="B5" s="97" t="s">
        <v>4589</v>
      </c>
      <c r="C5" s="97" t="s">
        <v>4590</v>
      </c>
      <c r="D5" s="97" t="s">
        <v>4591</v>
      </c>
    </row>
    <row r="6" spans="2:4" ht="24" x14ac:dyDescent="0.25">
      <c r="B6" s="98" t="s">
        <v>45</v>
      </c>
      <c r="C6" s="98" t="s">
        <v>4592</v>
      </c>
      <c r="D6" s="98" t="s">
        <v>4495</v>
      </c>
    </row>
    <row r="7" spans="2:4" x14ac:dyDescent="0.25">
      <c r="B7" s="98" t="s">
        <v>110</v>
      </c>
      <c r="C7" s="98" t="s">
        <v>36</v>
      </c>
      <c r="D7" s="98" t="s">
        <v>4496</v>
      </c>
    </row>
    <row r="8" spans="2:4" x14ac:dyDescent="0.25">
      <c r="B8" s="98" t="s">
        <v>111</v>
      </c>
      <c r="C8" s="98" t="s">
        <v>4593</v>
      </c>
      <c r="D8" s="98" t="s">
        <v>4497</v>
      </c>
    </row>
    <row r="9" spans="2:4" x14ac:dyDescent="0.25">
      <c r="B9" s="98" t="s">
        <v>112</v>
      </c>
      <c r="C9" s="98" t="s">
        <v>112</v>
      </c>
      <c r="D9" s="98" t="s">
        <v>4498</v>
      </c>
    </row>
    <row r="10" spans="2:4" x14ac:dyDescent="0.25">
      <c r="B10" s="98" t="s">
        <v>113</v>
      </c>
      <c r="C10" s="98" t="s">
        <v>113</v>
      </c>
      <c r="D10" s="98" t="s">
        <v>4499</v>
      </c>
    </row>
    <row r="11" spans="2:4" x14ac:dyDescent="0.25">
      <c r="B11" s="98" t="s">
        <v>114</v>
      </c>
      <c r="C11" s="98" t="s">
        <v>114</v>
      </c>
      <c r="D11" s="98" t="s">
        <v>4500</v>
      </c>
    </row>
    <row r="12" spans="2:4" x14ac:dyDescent="0.25">
      <c r="B12" s="98" t="s">
        <v>115</v>
      </c>
      <c r="C12" s="98" t="s">
        <v>4594</v>
      </c>
      <c r="D12" s="98" t="s">
        <v>4501</v>
      </c>
    </row>
    <row r="13" spans="2:4" x14ac:dyDescent="0.25">
      <c r="B13" s="98" t="s">
        <v>116</v>
      </c>
      <c r="C13" s="98" t="s">
        <v>4595</v>
      </c>
      <c r="D13" s="98" t="s">
        <v>4502</v>
      </c>
    </row>
    <row r="14" spans="2:4" x14ac:dyDescent="0.25">
      <c r="B14" s="98" t="s">
        <v>117</v>
      </c>
      <c r="C14" s="98" t="s">
        <v>4596</v>
      </c>
      <c r="D14" s="98" t="s">
        <v>4503</v>
      </c>
    </row>
    <row r="15" spans="2:4" x14ac:dyDescent="0.25">
      <c r="B15" s="98" t="s">
        <v>118</v>
      </c>
      <c r="C15" s="98" t="s">
        <v>118</v>
      </c>
      <c r="D15" s="98" t="s">
        <v>4504</v>
      </c>
    </row>
    <row r="16" spans="2:4" x14ac:dyDescent="0.25">
      <c r="B16" s="98" t="s">
        <v>119</v>
      </c>
      <c r="C16" s="98" t="s">
        <v>119</v>
      </c>
      <c r="D16" s="98" t="s">
        <v>4505</v>
      </c>
    </row>
    <row r="17" spans="2:4" x14ac:dyDescent="0.25">
      <c r="B17" s="98" t="s">
        <v>120</v>
      </c>
      <c r="C17" s="98" t="s">
        <v>120</v>
      </c>
      <c r="D17" s="98" t="s">
        <v>4506</v>
      </c>
    </row>
    <row r="18" spans="2:4" x14ac:dyDescent="0.25">
      <c r="B18" s="98" t="s">
        <v>121</v>
      </c>
      <c r="C18" s="98" t="s">
        <v>121</v>
      </c>
      <c r="D18" s="98" t="s">
        <v>4507</v>
      </c>
    </row>
    <row r="19" spans="2:4" x14ac:dyDescent="0.25">
      <c r="B19" s="98" t="s">
        <v>122</v>
      </c>
      <c r="C19" s="98" t="s">
        <v>122</v>
      </c>
      <c r="D19" s="98" t="s">
        <v>4508</v>
      </c>
    </row>
    <row r="20" spans="2:4" x14ac:dyDescent="0.25">
      <c r="B20" s="98" t="s">
        <v>123</v>
      </c>
      <c r="C20" s="98" t="s">
        <v>123</v>
      </c>
      <c r="D20" s="98" t="s">
        <v>4509</v>
      </c>
    </row>
    <row r="21" spans="2:4" x14ac:dyDescent="0.25">
      <c r="B21" s="98" t="s">
        <v>124</v>
      </c>
      <c r="C21" s="98" t="s">
        <v>124</v>
      </c>
      <c r="D21" s="98" t="s">
        <v>4510</v>
      </c>
    </row>
    <row r="22" spans="2:4" x14ac:dyDescent="0.25">
      <c r="B22" s="98" t="s">
        <v>125</v>
      </c>
      <c r="C22" s="98" t="s">
        <v>125</v>
      </c>
      <c r="D22" s="98" t="s">
        <v>4511</v>
      </c>
    </row>
    <row r="23" spans="2:4" ht="30" customHeight="1" x14ac:dyDescent="0.25">
      <c r="B23" s="98" t="s">
        <v>71</v>
      </c>
      <c r="C23" s="98" t="s">
        <v>4597</v>
      </c>
      <c r="D23" s="98" t="s">
        <v>4512</v>
      </c>
    </row>
    <row r="24" spans="2:4" x14ac:dyDescent="0.25">
      <c r="B24" s="98" t="s">
        <v>127</v>
      </c>
      <c r="C24" s="98" t="s">
        <v>127</v>
      </c>
      <c r="D24" s="98" t="s">
        <v>4513</v>
      </c>
    </row>
    <row r="25" spans="2:4" x14ac:dyDescent="0.25">
      <c r="B25" s="98" t="s">
        <v>128</v>
      </c>
      <c r="C25" s="98" t="s">
        <v>128</v>
      </c>
      <c r="D25" s="98" t="s">
        <v>4514</v>
      </c>
    </row>
    <row r="26" spans="2:4" x14ac:dyDescent="0.25">
      <c r="B26" s="98" t="s">
        <v>72</v>
      </c>
      <c r="C26" s="98" t="s">
        <v>72</v>
      </c>
      <c r="D26" s="98" t="s">
        <v>4515</v>
      </c>
    </row>
    <row r="27" spans="2:4" x14ac:dyDescent="0.25">
      <c r="B27" s="98" t="s">
        <v>240</v>
      </c>
      <c r="C27" s="98" t="s">
        <v>4598</v>
      </c>
      <c r="D27" s="98" t="s">
        <v>4516</v>
      </c>
    </row>
    <row r="28" spans="2:4" x14ac:dyDescent="0.25">
      <c r="B28" s="98" t="s">
        <v>129</v>
      </c>
      <c r="C28" s="98" t="s">
        <v>4599</v>
      </c>
      <c r="D28" s="98" t="s">
        <v>4517</v>
      </c>
    </row>
    <row r="29" spans="2:4" ht="30" customHeight="1" x14ac:dyDescent="0.25">
      <c r="B29" s="98" t="s">
        <v>241</v>
      </c>
      <c r="C29" s="98" t="s">
        <v>4600</v>
      </c>
      <c r="D29" s="98" t="s">
        <v>4518</v>
      </c>
    </row>
    <row r="30" spans="2:4" ht="30" customHeight="1" x14ac:dyDescent="0.25">
      <c r="B30" s="98" t="s">
        <v>242</v>
      </c>
      <c r="C30" s="98" t="s">
        <v>242</v>
      </c>
      <c r="D30" s="98" t="s">
        <v>4519</v>
      </c>
    </row>
    <row r="31" spans="2:4" x14ac:dyDescent="0.25">
      <c r="B31" s="98" t="s">
        <v>132</v>
      </c>
      <c r="C31" s="98" t="s">
        <v>132</v>
      </c>
      <c r="D31" s="98" t="s">
        <v>4520</v>
      </c>
    </row>
    <row r="32" spans="2:4" ht="30" customHeight="1" x14ac:dyDescent="0.25">
      <c r="B32" s="98" t="s">
        <v>243</v>
      </c>
      <c r="C32" s="98" t="s">
        <v>4601</v>
      </c>
      <c r="D32" s="98" t="s">
        <v>4521</v>
      </c>
    </row>
    <row r="33" spans="2:4" x14ac:dyDescent="0.25">
      <c r="B33" s="98" t="s">
        <v>37</v>
      </c>
      <c r="C33" s="98" t="s">
        <v>37</v>
      </c>
      <c r="D33" s="98" t="s">
        <v>4522</v>
      </c>
    </row>
    <row r="34" spans="2:4" x14ac:dyDescent="0.25">
      <c r="B34" s="98" t="s">
        <v>134</v>
      </c>
      <c r="C34" s="98" t="s">
        <v>134</v>
      </c>
      <c r="D34" s="98" t="s">
        <v>4523</v>
      </c>
    </row>
    <row r="35" spans="2:4" x14ac:dyDescent="0.25">
      <c r="B35" s="98" t="s">
        <v>135</v>
      </c>
      <c r="C35" s="98" t="s">
        <v>135</v>
      </c>
      <c r="D35" s="98" t="s">
        <v>4524</v>
      </c>
    </row>
    <row r="36" spans="2:4" x14ac:dyDescent="0.25">
      <c r="B36" s="98" t="s">
        <v>136</v>
      </c>
      <c r="C36" s="98" t="s">
        <v>136</v>
      </c>
      <c r="D36" s="98" t="s">
        <v>4525</v>
      </c>
    </row>
    <row r="37" spans="2:4" x14ac:dyDescent="0.25">
      <c r="B37" s="98" t="s">
        <v>38</v>
      </c>
      <c r="C37" s="98" t="s">
        <v>38</v>
      </c>
      <c r="D37" s="98" t="s">
        <v>4526</v>
      </c>
    </row>
    <row r="38" spans="2:4" x14ac:dyDescent="0.25">
      <c r="B38" s="98" t="s">
        <v>137</v>
      </c>
      <c r="C38" s="98" t="s">
        <v>4602</v>
      </c>
      <c r="D38" s="98" t="s">
        <v>4527</v>
      </c>
    </row>
    <row r="39" spans="2:4" x14ac:dyDescent="0.25">
      <c r="B39" s="98" t="s">
        <v>138</v>
      </c>
      <c r="C39" s="98" t="s">
        <v>138</v>
      </c>
      <c r="D39" s="98" t="s">
        <v>4528</v>
      </c>
    </row>
    <row r="40" spans="2:4" ht="24" x14ac:dyDescent="0.25">
      <c r="B40" s="98" t="s">
        <v>139</v>
      </c>
      <c r="C40" s="98" t="s">
        <v>39</v>
      </c>
      <c r="D40" s="98" t="s">
        <v>4529</v>
      </c>
    </row>
    <row r="41" spans="2:4" x14ac:dyDescent="0.25">
      <c r="B41" s="98" t="s">
        <v>140</v>
      </c>
      <c r="C41" s="98" t="s">
        <v>140</v>
      </c>
      <c r="D41" s="98" t="s">
        <v>4530</v>
      </c>
    </row>
    <row r="42" spans="2:4" x14ac:dyDescent="0.25">
      <c r="B42" s="98" t="s">
        <v>141</v>
      </c>
      <c r="C42" s="98" t="s">
        <v>141</v>
      </c>
      <c r="D42" s="98" t="s">
        <v>4531</v>
      </c>
    </row>
    <row r="43" spans="2:4" x14ac:dyDescent="0.25">
      <c r="B43" s="98" t="s">
        <v>142</v>
      </c>
      <c r="C43" s="98" t="s">
        <v>4603</v>
      </c>
      <c r="D43" s="98" t="s">
        <v>4532</v>
      </c>
    </row>
    <row r="44" spans="2:4" x14ac:dyDescent="0.25">
      <c r="B44" s="98" t="s">
        <v>143</v>
      </c>
      <c r="C44" s="98" t="s">
        <v>143</v>
      </c>
      <c r="D44" s="98" t="s">
        <v>4533</v>
      </c>
    </row>
    <row r="45" spans="2:4" x14ac:dyDescent="0.25">
      <c r="B45" s="98" t="s">
        <v>144</v>
      </c>
      <c r="C45" s="98" t="s">
        <v>144</v>
      </c>
      <c r="D45" s="98" t="s">
        <v>4534</v>
      </c>
    </row>
    <row r="46" spans="2:4" x14ac:dyDescent="0.25">
      <c r="B46" s="98" t="s">
        <v>145</v>
      </c>
      <c r="C46" s="98" t="s">
        <v>145</v>
      </c>
      <c r="D46" s="98" t="s">
        <v>4535</v>
      </c>
    </row>
    <row r="47" spans="2:4" x14ac:dyDescent="0.25">
      <c r="B47" s="98" t="s">
        <v>170</v>
      </c>
      <c r="C47" s="98" t="s">
        <v>170</v>
      </c>
      <c r="D47" s="98" t="s">
        <v>4560</v>
      </c>
    </row>
    <row r="48" spans="2:4" x14ac:dyDescent="0.25">
      <c r="B48" s="98" t="s">
        <v>146</v>
      </c>
      <c r="C48" s="98" t="s">
        <v>146</v>
      </c>
      <c r="D48" s="98" t="s">
        <v>4536</v>
      </c>
    </row>
    <row r="49" spans="2:4" x14ac:dyDescent="0.25">
      <c r="B49" s="98" t="s">
        <v>147</v>
      </c>
      <c r="C49" s="98" t="s">
        <v>147</v>
      </c>
      <c r="D49" s="98" t="s">
        <v>4537</v>
      </c>
    </row>
    <row r="50" spans="2:4" x14ac:dyDescent="0.25">
      <c r="B50" s="98" t="s">
        <v>148</v>
      </c>
      <c r="C50" s="98" t="s">
        <v>148</v>
      </c>
      <c r="D50" s="98" t="s">
        <v>4538</v>
      </c>
    </row>
    <row r="51" spans="2:4" x14ac:dyDescent="0.25">
      <c r="B51" s="98" t="s">
        <v>149</v>
      </c>
      <c r="C51" s="98" t="s">
        <v>4604</v>
      </c>
      <c r="D51" s="98" t="s">
        <v>4539</v>
      </c>
    </row>
    <row r="52" spans="2:4" x14ac:dyDescent="0.25">
      <c r="B52" s="98" t="s">
        <v>150</v>
      </c>
      <c r="C52" s="98" t="s">
        <v>150</v>
      </c>
      <c r="D52" s="98" t="s">
        <v>4540</v>
      </c>
    </row>
    <row r="53" spans="2:4" x14ac:dyDescent="0.25">
      <c r="B53" s="98" t="s">
        <v>151</v>
      </c>
      <c r="C53" s="98" t="s">
        <v>151</v>
      </c>
      <c r="D53" s="98" t="s">
        <v>4541</v>
      </c>
    </row>
    <row r="54" spans="2:4" x14ac:dyDescent="0.25">
      <c r="B54" s="98" t="s">
        <v>152</v>
      </c>
      <c r="C54" s="98" t="s">
        <v>4605</v>
      </c>
      <c r="D54" s="98" t="s">
        <v>4542</v>
      </c>
    </row>
    <row r="55" spans="2:4" x14ac:dyDescent="0.25">
      <c r="B55" s="98" t="s">
        <v>153</v>
      </c>
      <c r="C55" s="98" t="s">
        <v>4606</v>
      </c>
      <c r="D55" s="98" t="s">
        <v>4543</v>
      </c>
    </row>
    <row r="56" spans="2:4" x14ac:dyDescent="0.25">
      <c r="B56" s="98" t="s">
        <v>159</v>
      </c>
      <c r="C56" s="98" t="s">
        <v>159</v>
      </c>
      <c r="D56" s="98" t="s">
        <v>4549</v>
      </c>
    </row>
    <row r="57" spans="2:4" x14ac:dyDescent="0.25">
      <c r="B57" s="98" t="s">
        <v>160</v>
      </c>
      <c r="C57" s="98" t="s">
        <v>160</v>
      </c>
      <c r="D57" s="98" t="s">
        <v>4550</v>
      </c>
    </row>
    <row r="58" spans="2:4" ht="30" customHeight="1" x14ac:dyDescent="0.25">
      <c r="B58" s="98" t="s">
        <v>244</v>
      </c>
      <c r="C58" s="98" t="s">
        <v>4607</v>
      </c>
      <c r="D58" s="98" t="s">
        <v>4551</v>
      </c>
    </row>
    <row r="59" spans="2:4" x14ac:dyDescent="0.25">
      <c r="B59" s="98" t="s">
        <v>154</v>
      </c>
      <c r="C59" s="98" t="s">
        <v>154</v>
      </c>
      <c r="D59" s="98" t="s">
        <v>4544</v>
      </c>
    </row>
    <row r="60" spans="2:4" x14ac:dyDescent="0.25">
      <c r="B60" s="98" t="s">
        <v>155</v>
      </c>
      <c r="C60" s="98" t="s">
        <v>155</v>
      </c>
      <c r="D60" s="98" t="s">
        <v>4545</v>
      </c>
    </row>
    <row r="61" spans="2:4" ht="30" customHeight="1" x14ac:dyDescent="0.25">
      <c r="B61" s="98" t="s">
        <v>245</v>
      </c>
      <c r="C61" s="98" t="s">
        <v>4608</v>
      </c>
      <c r="D61" s="98" t="s">
        <v>4552</v>
      </c>
    </row>
    <row r="62" spans="2:4" x14ac:dyDescent="0.25">
      <c r="B62" s="98" t="s">
        <v>156</v>
      </c>
      <c r="C62" s="98" t="s">
        <v>156</v>
      </c>
      <c r="D62" s="98" t="s">
        <v>4546</v>
      </c>
    </row>
    <row r="63" spans="2:4" x14ac:dyDescent="0.25">
      <c r="B63" s="98" t="s">
        <v>157</v>
      </c>
      <c r="C63" s="98" t="s">
        <v>157</v>
      </c>
      <c r="D63" s="98" t="s">
        <v>4547</v>
      </c>
    </row>
    <row r="64" spans="2:4" x14ac:dyDescent="0.25">
      <c r="B64" s="98" t="s">
        <v>158</v>
      </c>
      <c r="C64" s="98" t="s">
        <v>158</v>
      </c>
      <c r="D64" s="98" t="s">
        <v>4548</v>
      </c>
    </row>
    <row r="65" spans="2:4" x14ac:dyDescent="0.25">
      <c r="B65" s="98" t="s">
        <v>164</v>
      </c>
      <c r="C65" s="98" t="s">
        <v>164</v>
      </c>
      <c r="D65" s="98" t="s">
        <v>4554</v>
      </c>
    </row>
    <row r="66" spans="2:4" x14ac:dyDescent="0.25">
      <c r="B66" s="98" t="s">
        <v>165</v>
      </c>
      <c r="C66" s="98" t="s">
        <v>165</v>
      </c>
      <c r="D66" s="98" t="s">
        <v>4555</v>
      </c>
    </row>
    <row r="67" spans="2:4" x14ac:dyDescent="0.25">
      <c r="B67" s="98" t="s">
        <v>246</v>
      </c>
      <c r="C67" s="98" t="s">
        <v>4609</v>
      </c>
      <c r="D67" s="98" t="s">
        <v>4553</v>
      </c>
    </row>
    <row r="68" spans="2:4" x14ac:dyDescent="0.25">
      <c r="B68" s="98" t="s">
        <v>166</v>
      </c>
      <c r="C68" s="98" t="s">
        <v>4610</v>
      </c>
      <c r="D68" s="98" t="s">
        <v>4556</v>
      </c>
    </row>
    <row r="69" spans="2:4" x14ac:dyDescent="0.25">
      <c r="B69" s="98" t="s">
        <v>167</v>
      </c>
      <c r="C69" s="98" t="s">
        <v>4611</v>
      </c>
      <c r="D69" s="98" t="s">
        <v>4557</v>
      </c>
    </row>
    <row r="70" spans="2:4" x14ac:dyDescent="0.25">
      <c r="B70" s="98" t="s">
        <v>247</v>
      </c>
      <c r="C70" s="98" t="s">
        <v>4612</v>
      </c>
      <c r="D70" s="98" t="s">
        <v>4558</v>
      </c>
    </row>
    <row r="71" spans="2:4" x14ac:dyDescent="0.25">
      <c r="B71" s="98" t="s">
        <v>169</v>
      </c>
      <c r="C71" s="98" t="s">
        <v>169</v>
      </c>
      <c r="D71" s="98" t="s">
        <v>4559</v>
      </c>
    </row>
    <row r="73" spans="2:4" x14ac:dyDescent="0.25">
      <c r="B73" s="99" t="s">
        <v>4613</v>
      </c>
    </row>
    <row r="74" spans="2:4" x14ac:dyDescent="0.25">
      <c r="B74" s="100" t="s">
        <v>4614</v>
      </c>
    </row>
  </sheetData>
  <autoFilter ref="B5:D71" xr:uid="{00000000-0009-0000-0000-000009000000}"/>
  <hyperlinks>
    <hyperlink ref="B74" r:id="rId1" tooltip="Klassifikation der Wirtschaftszweige, Ausgabe 2025, auf dem Klassifikationsserver öffnen" xr:uid="{00000000-0004-0000-0900-000000000000}"/>
  </hyperlinks>
  <pageMargins left="0.6" right="0.6" top="0.75" bottom="0.75" header="0.3" footer="0.3"/>
  <pageSetup paperSize="9" fitToHeight="0" orientation="portrait"/>
  <headerFooter>
    <oddFooter>&amp;L&amp;8 DIHK-Konjunkturumfrage Herbst 2026&amp;R&amp;8 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BFBFBF"/>
    <pageSetUpPr fitToPage="1"/>
  </sheetPr>
  <dimension ref="B2:E7"/>
  <sheetViews>
    <sheetView showGridLines="0" workbookViewId="0"/>
  </sheetViews>
  <sheetFormatPr baseColWidth="10" defaultColWidth="9.140625" defaultRowHeight="15" x14ac:dyDescent="0.25"/>
  <cols>
    <col min="1" max="1" width="2" customWidth="1"/>
    <col min="2" max="2" width="24" customWidth="1"/>
    <col min="3" max="3" width="46" customWidth="1"/>
    <col min="4" max="4" width="30" customWidth="1"/>
    <col min="5" max="5" width="20" customWidth="1"/>
  </cols>
  <sheetData>
    <row r="2" spans="2:5" ht="27" customHeight="1" x14ac:dyDescent="0.45">
      <c r="B2" s="1" t="s">
        <v>4615</v>
      </c>
    </row>
    <row r="3" spans="2:5" x14ac:dyDescent="0.25">
      <c r="B3" s="99" t="s">
        <v>4616</v>
      </c>
    </row>
    <row r="5" spans="2:5" ht="20.100000000000001" customHeight="1" x14ac:dyDescent="0.25">
      <c r="B5" s="97" t="s">
        <v>4617</v>
      </c>
      <c r="C5" s="97" t="s">
        <v>4618</v>
      </c>
      <c r="D5" s="97" t="s">
        <v>4619</v>
      </c>
      <c r="E5" s="97" t="s">
        <v>4620</v>
      </c>
    </row>
    <row r="6" spans="2:5" ht="30" customHeight="1" x14ac:dyDescent="0.25">
      <c r="B6" s="98" t="s">
        <v>4621</v>
      </c>
      <c r="C6" s="98" t="s">
        <v>4622</v>
      </c>
      <c r="D6" s="100" t="s">
        <v>4623</v>
      </c>
      <c r="E6" s="98" t="s">
        <v>4624</v>
      </c>
    </row>
    <row r="7" spans="2:5" ht="30" customHeight="1" x14ac:dyDescent="0.25">
      <c r="B7" s="98" t="s">
        <v>4625</v>
      </c>
      <c r="C7" s="98" t="s">
        <v>4626</v>
      </c>
      <c r="D7" s="100" t="s">
        <v>4627</v>
      </c>
      <c r="E7" s="98" t="s">
        <v>4628</v>
      </c>
    </row>
  </sheetData>
  <hyperlinks>
    <hyperlink ref="D6" r:id="rId1" tooltip="E-Mail an Dr. Jupp Zenzen schreiben" xr:uid="{00000000-0004-0000-0A00-000000000000}"/>
    <hyperlink ref="D7" r:id="rId2" tooltip="E-Mail an Sebastian Titze schreiben" xr:uid="{00000000-0004-0000-0A00-000001000000}"/>
  </hyperlinks>
  <pageMargins left="0.6" right="0.6" top="0.75" bottom="0.75" header="0.3" footer="0.3"/>
  <pageSetup paperSize="9" fitToHeight="0" orientation="portrait"/>
  <headerFooter>
    <oddFooter>&amp;L&amp;8 DIHK-Konjunkturumfrage Herbst 2026&amp;R&amp;8 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1B3B4"/>
  </sheetPr>
  <dimension ref="A1:K71"/>
  <sheetViews>
    <sheetView workbookViewId="0"/>
  </sheetViews>
  <sheetFormatPr baseColWidth="10" defaultColWidth="9.140625" defaultRowHeight="15" x14ac:dyDescent="0.25"/>
  <cols>
    <col min="1" max="1" width="48" customWidth="1"/>
    <col min="2" max="2" width="16" customWidth="1"/>
    <col min="3" max="3" width="30" customWidth="1"/>
    <col min="4" max="4" width="7" customWidth="1"/>
    <col min="5" max="5" width="20" customWidth="1"/>
    <col min="6" max="8" width="3" customWidth="1"/>
    <col min="9" max="9" width="20" customWidth="1"/>
    <col min="10" max="10" width="3" customWidth="1"/>
    <col min="11" max="11" width="48" customWidth="1"/>
  </cols>
  <sheetData>
    <row r="1" spans="1:11" ht="28.5" x14ac:dyDescent="0.25">
      <c r="A1" s="55" t="s">
        <v>69</v>
      </c>
      <c r="B1" s="55" t="s">
        <v>259</v>
      </c>
      <c r="C1" s="55" t="s">
        <v>260</v>
      </c>
      <c r="D1" s="55" t="s">
        <v>261</v>
      </c>
      <c r="E1" s="55" t="s">
        <v>4494</v>
      </c>
      <c r="I1" s="55" t="s">
        <v>262</v>
      </c>
      <c r="K1" s="55" t="s">
        <v>263</v>
      </c>
    </row>
    <row r="2" spans="1:11" x14ac:dyDescent="0.25">
      <c r="A2" t="s">
        <v>45</v>
      </c>
      <c r="B2" t="s">
        <v>264</v>
      </c>
      <c r="C2" s="56" t="s">
        <v>45</v>
      </c>
      <c r="D2">
        <v>0</v>
      </c>
      <c r="E2" t="s">
        <v>4495</v>
      </c>
      <c r="I2" t="s">
        <v>173</v>
      </c>
      <c r="K2" t="s">
        <v>265</v>
      </c>
    </row>
    <row r="3" spans="1:11" x14ac:dyDescent="0.25">
      <c r="A3" t="s">
        <v>110</v>
      </c>
      <c r="B3" t="s">
        <v>36</v>
      </c>
      <c r="C3" s="56" t="s">
        <v>36</v>
      </c>
      <c r="D3">
        <v>0</v>
      </c>
      <c r="E3" t="s">
        <v>4496</v>
      </c>
      <c r="I3" t="s">
        <v>174</v>
      </c>
      <c r="K3" t="s">
        <v>45</v>
      </c>
    </row>
    <row r="4" spans="1:11" x14ac:dyDescent="0.25">
      <c r="A4" t="s">
        <v>111</v>
      </c>
      <c r="B4" t="s">
        <v>36</v>
      </c>
      <c r="C4" s="56" t="s">
        <v>266</v>
      </c>
      <c r="D4">
        <v>1</v>
      </c>
      <c r="E4" t="s">
        <v>4497</v>
      </c>
      <c r="I4" t="s">
        <v>175</v>
      </c>
      <c r="K4" t="s">
        <v>110</v>
      </c>
    </row>
    <row r="5" spans="1:11" x14ac:dyDescent="0.25">
      <c r="A5" t="s">
        <v>112</v>
      </c>
      <c r="B5" t="s">
        <v>36</v>
      </c>
      <c r="C5" s="56" t="s">
        <v>267</v>
      </c>
      <c r="D5">
        <v>2</v>
      </c>
      <c r="E5" t="s">
        <v>4498</v>
      </c>
      <c r="I5" t="s">
        <v>176</v>
      </c>
      <c r="K5" t="s">
        <v>111</v>
      </c>
    </row>
    <row r="6" spans="1:11" x14ac:dyDescent="0.25">
      <c r="A6" t="s">
        <v>113</v>
      </c>
      <c r="B6" t="s">
        <v>36</v>
      </c>
      <c r="C6" s="56" t="s">
        <v>113</v>
      </c>
      <c r="D6">
        <v>2</v>
      </c>
      <c r="E6" t="s">
        <v>4499</v>
      </c>
      <c r="I6" t="s">
        <v>177</v>
      </c>
      <c r="K6" t="s">
        <v>112</v>
      </c>
    </row>
    <row r="7" spans="1:11" x14ac:dyDescent="0.25">
      <c r="A7" t="s">
        <v>114</v>
      </c>
      <c r="B7" t="s">
        <v>36</v>
      </c>
      <c r="C7" s="56" t="s">
        <v>268</v>
      </c>
      <c r="D7">
        <v>1</v>
      </c>
      <c r="E7" t="s">
        <v>4500</v>
      </c>
      <c r="I7" t="s">
        <v>178</v>
      </c>
      <c r="K7" t="s">
        <v>113</v>
      </c>
    </row>
    <row r="8" spans="1:11" x14ac:dyDescent="0.25">
      <c r="A8" t="s">
        <v>115</v>
      </c>
      <c r="B8" t="s">
        <v>36</v>
      </c>
      <c r="C8" s="56" t="s">
        <v>115</v>
      </c>
      <c r="D8">
        <v>2</v>
      </c>
      <c r="E8" t="s">
        <v>4501</v>
      </c>
      <c r="I8" t="s">
        <v>179</v>
      </c>
      <c r="K8" t="s">
        <v>114</v>
      </c>
    </row>
    <row r="9" spans="1:11" x14ac:dyDescent="0.25">
      <c r="A9" t="s">
        <v>116</v>
      </c>
      <c r="B9" t="s">
        <v>36</v>
      </c>
      <c r="C9" s="56" t="s">
        <v>116</v>
      </c>
      <c r="D9">
        <v>2</v>
      </c>
      <c r="E9" t="s">
        <v>4502</v>
      </c>
      <c r="I9" t="s">
        <v>180</v>
      </c>
      <c r="K9" t="s">
        <v>115</v>
      </c>
    </row>
    <row r="10" spans="1:11" x14ac:dyDescent="0.25">
      <c r="A10" t="s">
        <v>117</v>
      </c>
      <c r="B10" t="s">
        <v>36</v>
      </c>
      <c r="C10" s="56" t="s">
        <v>117</v>
      </c>
      <c r="D10">
        <v>2</v>
      </c>
      <c r="E10" t="s">
        <v>4503</v>
      </c>
      <c r="I10" t="s">
        <v>181</v>
      </c>
      <c r="K10" t="s">
        <v>116</v>
      </c>
    </row>
    <row r="11" spans="1:11" x14ac:dyDescent="0.25">
      <c r="A11" t="s">
        <v>118</v>
      </c>
      <c r="B11" t="s">
        <v>36</v>
      </c>
      <c r="C11" s="56" t="s">
        <v>118</v>
      </c>
      <c r="D11">
        <v>2</v>
      </c>
      <c r="E11" t="s">
        <v>4504</v>
      </c>
      <c r="I11" t="s">
        <v>182</v>
      </c>
      <c r="K11" t="s">
        <v>117</v>
      </c>
    </row>
    <row r="12" spans="1:11" x14ac:dyDescent="0.25">
      <c r="A12" t="s">
        <v>119</v>
      </c>
      <c r="B12" t="s">
        <v>36</v>
      </c>
      <c r="C12" s="56" t="s">
        <v>119</v>
      </c>
      <c r="D12">
        <v>2</v>
      </c>
      <c r="E12" t="s">
        <v>4505</v>
      </c>
      <c r="I12" t="s">
        <v>43</v>
      </c>
      <c r="K12" t="s">
        <v>118</v>
      </c>
    </row>
    <row r="13" spans="1:11" x14ac:dyDescent="0.25">
      <c r="A13" t="s">
        <v>120</v>
      </c>
      <c r="B13" t="s">
        <v>36</v>
      </c>
      <c r="C13" s="56" t="s">
        <v>120</v>
      </c>
      <c r="D13">
        <v>2</v>
      </c>
      <c r="E13" t="s">
        <v>4506</v>
      </c>
      <c r="I13" t="s">
        <v>183</v>
      </c>
      <c r="K13" t="s">
        <v>119</v>
      </c>
    </row>
    <row r="14" spans="1:11" x14ac:dyDescent="0.25">
      <c r="A14" t="s">
        <v>121</v>
      </c>
      <c r="B14" t="s">
        <v>36</v>
      </c>
      <c r="C14" s="56" t="s">
        <v>121</v>
      </c>
      <c r="D14">
        <v>2</v>
      </c>
      <c r="E14" t="s">
        <v>4507</v>
      </c>
      <c r="I14" t="s">
        <v>184</v>
      </c>
      <c r="K14" t="s">
        <v>120</v>
      </c>
    </row>
    <row r="15" spans="1:11" x14ac:dyDescent="0.25">
      <c r="A15" t="s">
        <v>122</v>
      </c>
      <c r="B15" t="s">
        <v>36</v>
      </c>
      <c r="C15" s="56" t="s">
        <v>269</v>
      </c>
      <c r="D15">
        <v>2</v>
      </c>
      <c r="E15" t="s">
        <v>4508</v>
      </c>
      <c r="I15" t="s">
        <v>185</v>
      </c>
      <c r="K15" t="s">
        <v>121</v>
      </c>
    </row>
    <row r="16" spans="1:11" x14ac:dyDescent="0.25">
      <c r="A16" t="s">
        <v>123</v>
      </c>
      <c r="B16" t="s">
        <v>36</v>
      </c>
      <c r="C16" s="56" t="s">
        <v>270</v>
      </c>
      <c r="D16">
        <v>2</v>
      </c>
      <c r="E16" t="s">
        <v>4509</v>
      </c>
      <c r="I16" t="s">
        <v>186</v>
      </c>
      <c r="K16" t="s">
        <v>122</v>
      </c>
    </row>
    <row r="17" spans="1:11" x14ac:dyDescent="0.25">
      <c r="A17" t="s">
        <v>124</v>
      </c>
      <c r="B17" t="s">
        <v>36</v>
      </c>
      <c r="C17" s="56" t="s">
        <v>124</v>
      </c>
      <c r="D17">
        <v>2</v>
      </c>
      <c r="E17" t="s">
        <v>4510</v>
      </c>
      <c r="I17" t="s">
        <v>187</v>
      </c>
      <c r="K17" t="s">
        <v>123</v>
      </c>
    </row>
    <row r="18" spans="1:11" x14ac:dyDescent="0.25">
      <c r="A18" t="s">
        <v>125</v>
      </c>
      <c r="B18" t="s">
        <v>36</v>
      </c>
      <c r="C18" s="56" t="s">
        <v>125</v>
      </c>
      <c r="D18">
        <v>1</v>
      </c>
      <c r="E18" t="s">
        <v>4511</v>
      </c>
      <c r="I18" t="s">
        <v>188</v>
      </c>
      <c r="K18" t="s">
        <v>124</v>
      </c>
    </row>
    <row r="19" spans="1:11" x14ac:dyDescent="0.25">
      <c r="A19" t="s">
        <v>71</v>
      </c>
      <c r="B19" t="s">
        <v>36</v>
      </c>
      <c r="C19" s="56" t="s">
        <v>126</v>
      </c>
      <c r="D19">
        <v>2</v>
      </c>
      <c r="E19" t="s">
        <v>4512</v>
      </c>
      <c r="I19" t="s">
        <v>189</v>
      </c>
      <c r="K19" t="s">
        <v>125</v>
      </c>
    </row>
    <row r="20" spans="1:11" x14ac:dyDescent="0.25">
      <c r="A20" t="s">
        <v>127</v>
      </c>
      <c r="B20" t="s">
        <v>36</v>
      </c>
      <c r="C20" s="56" t="s">
        <v>127</v>
      </c>
      <c r="D20">
        <v>2</v>
      </c>
      <c r="E20" t="s">
        <v>4513</v>
      </c>
      <c r="I20" t="s">
        <v>190</v>
      </c>
      <c r="K20" t="s">
        <v>71</v>
      </c>
    </row>
    <row r="21" spans="1:11" x14ac:dyDescent="0.25">
      <c r="A21" t="s">
        <v>128</v>
      </c>
      <c r="B21" t="s">
        <v>36</v>
      </c>
      <c r="C21" s="56" t="s">
        <v>128</v>
      </c>
      <c r="D21">
        <v>2</v>
      </c>
      <c r="E21" t="s">
        <v>4514</v>
      </c>
      <c r="I21" t="s">
        <v>191</v>
      </c>
      <c r="K21" t="s">
        <v>127</v>
      </c>
    </row>
    <row r="22" spans="1:11" x14ac:dyDescent="0.25">
      <c r="A22" t="s">
        <v>72</v>
      </c>
      <c r="B22" t="s">
        <v>36</v>
      </c>
      <c r="C22" s="56" t="s">
        <v>72</v>
      </c>
      <c r="D22">
        <v>2</v>
      </c>
      <c r="E22" t="s">
        <v>4515</v>
      </c>
      <c r="I22" t="s">
        <v>192</v>
      </c>
      <c r="K22" t="s">
        <v>128</v>
      </c>
    </row>
    <row r="23" spans="1:11" x14ac:dyDescent="0.25">
      <c r="A23" t="s">
        <v>240</v>
      </c>
      <c r="B23" t="s">
        <v>36</v>
      </c>
      <c r="C23" s="56" t="s">
        <v>240</v>
      </c>
      <c r="D23">
        <v>2</v>
      </c>
      <c r="E23" t="s">
        <v>4516</v>
      </c>
      <c r="I23" t="s">
        <v>193</v>
      </c>
      <c r="K23" t="s">
        <v>72</v>
      </c>
    </row>
    <row r="24" spans="1:11" x14ac:dyDescent="0.25">
      <c r="A24" t="s">
        <v>129</v>
      </c>
      <c r="B24" t="s">
        <v>36</v>
      </c>
      <c r="C24" s="56" t="s">
        <v>129</v>
      </c>
      <c r="D24">
        <v>2</v>
      </c>
      <c r="E24" t="s">
        <v>4517</v>
      </c>
      <c r="I24" t="s">
        <v>194</v>
      </c>
      <c r="K24" t="s">
        <v>240</v>
      </c>
    </row>
    <row r="25" spans="1:11" x14ac:dyDescent="0.25">
      <c r="A25" t="s">
        <v>241</v>
      </c>
      <c r="B25" t="s">
        <v>36</v>
      </c>
      <c r="C25" s="56" t="s">
        <v>130</v>
      </c>
      <c r="D25">
        <v>2</v>
      </c>
      <c r="E25" t="s">
        <v>4518</v>
      </c>
      <c r="I25" t="s">
        <v>195</v>
      </c>
      <c r="K25" t="s">
        <v>129</v>
      </c>
    </row>
    <row r="26" spans="1:11" x14ac:dyDescent="0.25">
      <c r="A26" t="s">
        <v>242</v>
      </c>
      <c r="B26" t="s">
        <v>36</v>
      </c>
      <c r="C26" s="56" t="s">
        <v>131</v>
      </c>
      <c r="D26">
        <v>2</v>
      </c>
      <c r="E26" t="s">
        <v>4519</v>
      </c>
      <c r="I26" t="s">
        <v>196</v>
      </c>
      <c r="K26" t="s">
        <v>241</v>
      </c>
    </row>
    <row r="27" spans="1:11" x14ac:dyDescent="0.25">
      <c r="A27" t="s">
        <v>132</v>
      </c>
      <c r="B27" t="s">
        <v>36</v>
      </c>
      <c r="C27" s="56" t="s">
        <v>132</v>
      </c>
      <c r="D27">
        <v>2</v>
      </c>
      <c r="E27" t="s">
        <v>4520</v>
      </c>
      <c r="I27" t="s">
        <v>197</v>
      </c>
      <c r="K27" t="s">
        <v>242</v>
      </c>
    </row>
    <row r="28" spans="1:11" x14ac:dyDescent="0.25">
      <c r="A28" t="s">
        <v>243</v>
      </c>
      <c r="B28" t="s">
        <v>36</v>
      </c>
      <c r="C28" s="56" t="s">
        <v>133</v>
      </c>
      <c r="D28">
        <v>2</v>
      </c>
      <c r="E28" t="s">
        <v>4521</v>
      </c>
      <c r="I28" t="s">
        <v>198</v>
      </c>
      <c r="K28" t="s">
        <v>132</v>
      </c>
    </row>
    <row r="29" spans="1:11" x14ac:dyDescent="0.25">
      <c r="A29" t="s">
        <v>37</v>
      </c>
      <c r="B29" t="s">
        <v>271</v>
      </c>
      <c r="C29" s="56" t="s">
        <v>37</v>
      </c>
      <c r="D29">
        <v>1</v>
      </c>
      <c r="E29" t="s">
        <v>4522</v>
      </c>
      <c r="I29" t="s">
        <v>199</v>
      </c>
      <c r="K29" t="s">
        <v>243</v>
      </c>
    </row>
    <row r="30" spans="1:11" x14ac:dyDescent="0.25">
      <c r="A30" t="s">
        <v>134</v>
      </c>
      <c r="B30" t="s">
        <v>271</v>
      </c>
      <c r="C30" s="56" t="s">
        <v>134</v>
      </c>
      <c r="D30">
        <v>2</v>
      </c>
      <c r="E30" t="s">
        <v>4523</v>
      </c>
      <c r="I30" t="s">
        <v>200</v>
      </c>
      <c r="K30" t="s">
        <v>37</v>
      </c>
    </row>
    <row r="31" spans="1:11" x14ac:dyDescent="0.25">
      <c r="A31" t="s">
        <v>135</v>
      </c>
      <c r="B31" t="s">
        <v>271</v>
      </c>
      <c r="C31" s="56" t="s">
        <v>135</v>
      </c>
      <c r="D31">
        <v>2</v>
      </c>
      <c r="E31" t="s">
        <v>4524</v>
      </c>
      <c r="I31" t="s">
        <v>201</v>
      </c>
      <c r="K31" t="s">
        <v>134</v>
      </c>
    </row>
    <row r="32" spans="1:11" x14ac:dyDescent="0.25">
      <c r="A32" t="s">
        <v>136</v>
      </c>
      <c r="B32" t="s">
        <v>271</v>
      </c>
      <c r="C32" s="56" t="s">
        <v>136</v>
      </c>
      <c r="D32">
        <v>2</v>
      </c>
      <c r="E32" t="s">
        <v>4525</v>
      </c>
      <c r="I32" t="s">
        <v>202</v>
      </c>
      <c r="K32" t="s">
        <v>135</v>
      </c>
    </row>
    <row r="33" spans="1:11" x14ac:dyDescent="0.25">
      <c r="A33" t="s">
        <v>38</v>
      </c>
      <c r="B33" t="s">
        <v>38</v>
      </c>
      <c r="C33" s="56" t="s">
        <v>38</v>
      </c>
      <c r="D33">
        <v>1</v>
      </c>
      <c r="E33" t="s">
        <v>4526</v>
      </c>
      <c r="I33" t="s">
        <v>203</v>
      </c>
      <c r="K33" t="s">
        <v>136</v>
      </c>
    </row>
    <row r="34" spans="1:11" x14ac:dyDescent="0.25">
      <c r="A34" t="s">
        <v>137</v>
      </c>
      <c r="B34" t="s">
        <v>38</v>
      </c>
      <c r="C34" s="56" t="s">
        <v>272</v>
      </c>
      <c r="D34">
        <v>2</v>
      </c>
      <c r="E34" t="s">
        <v>4527</v>
      </c>
      <c r="I34" t="s">
        <v>204</v>
      </c>
      <c r="K34" t="s">
        <v>38</v>
      </c>
    </row>
    <row r="35" spans="1:11" x14ac:dyDescent="0.25">
      <c r="A35" t="s">
        <v>138</v>
      </c>
      <c r="B35" t="s">
        <v>38</v>
      </c>
      <c r="C35" s="56" t="s">
        <v>138</v>
      </c>
      <c r="D35">
        <v>2</v>
      </c>
      <c r="E35" t="s">
        <v>4528</v>
      </c>
      <c r="I35" t="s">
        <v>205</v>
      </c>
      <c r="K35" t="s">
        <v>137</v>
      </c>
    </row>
    <row r="36" spans="1:11" x14ac:dyDescent="0.25">
      <c r="A36" t="s">
        <v>139</v>
      </c>
      <c r="B36" t="s">
        <v>273</v>
      </c>
      <c r="C36" s="56" t="s">
        <v>273</v>
      </c>
      <c r="D36">
        <v>1</v>
      </c>
      <c r="E36" t="s">
        <v>4529</v>
      </c>
      <c r="I36" t="s">
        <v>206</v>
      </c>
      <c r="K36" t="s">
        <v>138</v>
      </c>
    </row>
    <row r="37" spans="1:11" x14ac:dyDescent="0.25">
      <c r="A37" t="s">
        <v>140</v>
      </c>
      <c r="B37" t="s">
        <v>273</v>
      </c>
      <c r="C37" s="56" t="s">
        <v>140</v>
      </c>
      <c r="D37">
        <v>1</v>
      </c>
      <c r="E37" t="s">
        <v>4530</v>
      </c>
      <c r="I37" t="s">
        <v>207</v>
      </c>
      <c r="K37" t="s">
        <v>139</v>
      </c>
    </row>
    <row r="38" spans="1:11" x14ac:dyDescent="0.25">
      <c r="A38" t="s">
        <v>141</v>
      </c>
      <c r="B38" t="s">
        <v>273</v>
      </c>
      <c r="C38" s="56" t="s">
        <v>141</v>
      </c>
      <c r="D38">
        <v>2</v>
      </c>
      <c r="E38" t="s">
        <v>4531</v>
      </c>
      <c r="I38" t="s">
        <v>208</v>
      </c>
      <c r="K38" t="s">
        <v>140</v>
      </c>
    </row>
    <row r="39" spans="1:11" x14ac:dyDescent="0.25">
      <c r="A39" t="s">
        <v>142</v>
      </c>
      <c r="B39" t="s">
        <v>273</v>
      </c>
      <c r="C39" s="56" t="s">
        <v>274</v>
      </c>
      <c r="D39">
        <v>2</v>
      </c>
      <c r="E39" t="s">
        <v>4532</v>
      </c>
      <c r="I39" t="s">
        <v>209</v>
      </c>
      <c r="K39" t="s">
        <v>141</v>
      </c>
    </row>
    <row r="40" spans="1:11" x14ac:dyDescent="0.25">
      <c r="A40" t="s">
        <v>143</v>
      </c>
      <c r="B40" t="s">
        <v>273</v>
      </c>
      <c r="C40" s="56" t="s">
        <v>143</v>
      </c>
      <c r="D40">
        <v>1</v>
      </c>
      <c r="E40" t="s">
        <v>4533</v>
      </c>
      <c r="I40" t="s">
        <v>210</v>
      </c>
      <c r="K40" t="s">
        <v>142</v>
      </c>
    </row>
    <row r="41" spans="1:11" x14ac:dyDescent="0.25">
      <c r="A41" t="s">
        <v>144</v>
      </c>
      <c r="B41" t="s">
        <v>273</v>
      </c>
      <c r="C41" s="56" t="s">
        <v>144</v>
      </c>
      <c r="D41">
        <v>2</v>
      </c>
      <c r="E41" t="s">
        <v>4534</v>
      </c>
      <c r="I41" t="s">
        <v>211</v>
      </c>
      <c r="K41" t="s">
        <v>143</v>
      </c>
    </row>
    <row r="42" spans="1:11" x14ac:dyDescent="0.25">
      <c r="A42" t="s">
        <v>145</v>
      </c>
      <c r="B42" t="s">
        <v>273</v>
      </c>
      <c r="C42" s="56" t="s">
        <v>145</v>
      </c>
      <c r="D42">
        <v>2</v>
      </c>
      <c r="E42" t="s">
        <v>4535</v>
      </c>
      <c r="I42" t="s">
        <v>212</v>
      </c>
      <c r="K42" t="s">
        <v>144</v>
      </c>
    </row>
    <row r="43" spans="1:11" x14ac:dyDescent="0.25">
      <c r="A43" t="s">
        <v>146</v>
      </c>
      <c r="B43" t="s">
        <v>273</v>
      </c>
      <c r="C43" s="56" t="s">
        <v>146</v>
      </c>
      <c r="D43">
        <v>2</v>
      </c>
      <c r="E43" t="s">
        <v>4536</v>
      </c>
      <c r="I43" t="s">
        <v>213</v>
      </c>
      <c r="K43" t="s">
        <v>145</v>
      </c>
    </row>
    <row r="44" spans="1:11" x14ac:dyDescent="0.25">
      <c r="A44" t="s">
        <v>147</v>
      </c>
      <c r="B44" t="s">
        <v>273</v>
      </c>
      <c r="C44" s="56" t="s">
        <v>147</v>
      </c>
      <c r="D44">
        <v>1</v>
      </c>
      <c r="E44" t="s">
        <v>4537</v>
      </c>
      <c r="I44" t="s">
        <v>214</v>
      </c>
      <c r="K44" t="s">
        <v>146</v>
      </c>
    </row>
    <row r="45" spans="1:11" x14ac:dyDescent="0.25">
      <c r="A45" t="s">
        <v>148</v>
      </c>
      <c r="B45" t="s">
        <v>273</v>
      </c>
      <c r="C45" s="56" t="s">
        <v>148</v>
      </c>
      <c r="D45">
        <v>2</v>
      </c>
      <c r="E45" t="s">
        <v>4538</v>
      </c>
      <c r="I45" t="s">
        <v>215</v>
      </c>
      <c r="K45" t="s">
        <v>147</v>
      </c>
    </row>
    <row r="46" spans="1:11" x14ac:dyDescent="0.25">
      <c r="A46" t="s">
        <v>149</v>
      </c>
      <c r="B46" t="s">
        <v>273</v>
      </c>
      <c r="C46" s="56" t="s">
        <v>149</v>
      </c>
      <c r="D46">
        <v>2</v>
      </c>
      <c r="E46" t="s">
        <v>4539</v>
      </c>
      <c r="I46" t="s">
        <v>216</v>
      </c>
      <c r="K46" t="s">
        <v>148</v>
      </c>
    </row>
    <row r="47" spans="1:11" x14ac:dyDescent="0.25">
      <c r="A47" t="s">
        <v>150</v>
      </c>
      <c r="B47" t="s">
        <v>273</v>
      </c>
      <c r="C47" s="56" t="s">
        <v>275</v>
      </c>
      <c r="D47">
        <v>1</v>
      </c>
      <c r="E47" t="s">
        <v>4540</v>
      </c>
      <c r="I47" t="s">
        <v>217</v>
      </c>
      <c r="K47" t="s">
        <v>149</v>
      </c>
    </row>
    <row r="48" spans="1:11" x14ac:dyDescent="0.25">
      <c r="A48" t="s">
        <v>151</v>
      </c>
      <c r="B48" t="s">
        <v>273</v>
      </c>
      <c r="C48" s="56" t="s">
        <v>151</v>
      </c>
      <c r="D48">
        <v>2</v>
      </c>
      <c r="E48" t="s">
        <v>4541</v>
      </c>
      <c r="I48" t="s">
        <v>218</v>
      </c>
      <c r="K48" t="s">
        <v>150</v>
      </c>
    </row>
    <row r="49" spans="1:11" x14ac:dyDescent="0.25">
      <c r="A49" t="s">
        <v>152</v>
      </c>
      <c r="B49" t="s">
        <v>273</v>
      </c>
      <c r="C49" s="56" t="s">
        <v>152</v>
      </c>
      <c r="D49">
        <v>2</v>
      </c>
      <c r="E49" t="s">
        <v>4542</v>
      </c>
      <c r="I49" t="s">
        <v>219</v>
      </c>
      <c r="K49" t="s">
        <v>151</v>
      </c>
    </row>
    <row r="50" spans="1:11" x14ac:dyDescent="0.25">
      <c r="A50" t="s">
        <v>153</v>
      </c>
      <c r="B50" t="s">
        <v>273</v>
      </c>
      <c r="C50" s="56" t="s">
        <v>153</v>
      </c>
      <c r="D50">
        <v>2</v>
      </c>
      <c r="E50" t="s">
        <v>4543</v>
      </c>
      <c r="I50" t="s">
        <v>220</v>
      </c>
      <c r="K50" t="s">
        <v>152</v>
      </c>
    </row>
    <row r="51" spans="1:11" x14ac:dyDescent="0.25">
      <c r="A51" t="s">
        <v>154</v>
      </c>
      <c r="B51" t="s">
        <v>273</v>
      </c>
      <c r="C51" s="56" t="s">
        <v>154</v>
      </c>
      <c r="D51">
        <v>2</v>
      </c>
      <c r="E51" t="s">
        <v>4544</v>
      </c>
      <c r="I51" t="s">
        <v>221</v>
      </c>
      <c r="K51" t="s">
        <v>153</v>
      </c>
    </row>
    <row r="52" spans="1:11" x14ac:dyDescent="0.25">
      <c r="A52" t="s">
        <v>155</v>
      </c>
      <c r="B52" t="s">
        <v>273</v>
      </c>
      <c r="C52" s="56" t="s">
        <v>155</v>
      </c>
      <c r="D52">
        <v>2</v>
      </c>
      <c r="E52" t="s">
        <v>4545</v>
      </c>
      <c r="I52" t="s">
        <v>104</v>
      </c>
      <c r="K52" t="s">
        <v>154</v>
      </c>
    </row>
    <row r="53" spans="1:11" x14ac:dyDescent="0.25">
      <c r="A53" t="s">
        <v>156</v>
      </c>
      <c r="B53" t="s">
        <v>273</v>
      </c>
      <c r="C53" s="56" t="s">
        <v>156</v>
      </c>
      <c r="D53">
        <v>2</v>
      </c>
      <c r="E53" t="s">
        <v>4546</v>
      </c>
      <c r="I53" t="s">
        <v>222</v>
      </c>
      <c r="K53" t="s">
        <v>155</v>
      </c>
    </row>
    <row r="54" spans="1:11" x14ac:dyDescent="0.25">
      <c r="A54" t="s">
        <v>157</v>
      </c>
      <c r="B54" t="s">
        <v>273</v>
      </c>
      <c r="C54" s="56" t="s">
        <v>276</v>
      </c>
      <c r="D54">
        <v>2</v>
      </c>
      <c r="E54" t="s">
        <v>4547</v>
      </c>
      <c r="I54" t="s">
        <v>223</v>
      </c>
      <c r="K54" t="s">
        <v>156</v>
      </c>
    </row>
    <row r="55" spans="1:11" x14ac:dyDescent="0.25">
      <c r="A55" t="s">
        <v>158</v>
      </c>
      <c r="B55" t="s">
        <v>273</v>
      </c>
      <c r="C55" s="56" t="s">
        <v>158</v>
      </c>
      <c r="D55">
        <v>2</v>
      </c>
      <c r="E55" t="s">
        <v>4548</v>
      </c>
      <c r="I55" t="s">
        <v>224</v>
      </c>
      <c r="K55" t="s">
        <v>157</v>
      </c>
    </row>
    <row r="56" spans="1:11" x14ac:dyDescent="0.25">
      <c r="A56" t="s">
        <v>159</v>
      </c>
      <c r="B56" t="s">
        <v>273</v>
      </c>
      <c r="C56" s="56" t="s">
        <v>277</v>
      </c>
      <c r="D56">
        <v>2</v>
      </c>
      <c r="E56" t="s">
        <v>4549</v>
      </c>
      <c r="I56" t="s">
        <v>225</v>
      </c>
      <c r="K56" t="s">
        <v>158</v>
      </c>
    </row>
    <row r="57" spans="1:11" x14ac:dyDescent="0.25">
      <c r="A57" t="s">
        <v>160</v>
      </c>
      <c r="B57" t="s">
        <v>273</v>
      </c>
      <c r="C57" s="56" t="s">
        <v>160</v>
      </c>
      <c r="D57">
        <v>2</v>
      </c>
      <c r="E57" t="s">
        <v>4550</v>
      </c>
      <c r="I57" t="s">
        <v>226</v>
      </c>
      <c r="K57" t="s">
        <v>159</v>
      </c>
    </row>
    <row r="58" spans="1:11" x14ac:dyDescent="0.25">
      <c r="A58" t="s">
        <v>244</v>
      </c>
      <c r="B58" t="s">
        <v>273</v>
      </c>
      <c r="C58" s="56" t="s">
        <v>161</v>
      </c>
      <c r="D58">
        <v>2</v>
      </c>
      <c r="E58" t="s">
        <v>4551</v>
      </c>
      <c r="I58" t="s">
        <v>227</v>
      </c>
      <c r="K58" t="s">
        <v>160</v>
      </c>
    </row>
    <row r="59" spans="1:11" x14ac:dyDescent="0.25">
      <c r="A59" t="s">
        <v>245</v>
      </c>
      <c r="B59" t="s">
        <v>273</v>
      </c>
      <c r="C59" s="56" t="s">
        <v>162</v>
      </c>
      <c r="D59">
        <v>2</v>
      </c>
      <c r="E59" t="s">
        <v>4552</v>
      </c>
      <c r="I59" t="s">
        <v>228</v>
      </c>
      <c r="K59" t="s">
        <v>244</v>
      </c>
    </row>
    <row r="60" spans="1:11" x14ac:dyDescent="0.25">
      <c r="A60" t="s">
        <v>246</v>
      </c>
      <c r="B60" t="s">
        <v>273</v>
      </c>
      <c r="C60" s="56" t="s">
        <v>163</v>
      </c>
      <c r="D60">
        <v>2</v>
      </c>
      <c r="E60" t="s">
        <v>4553</v>
      </c>
      <c r="I60" t="s">
        <v>229</v>
      </c>
      <c r="K60" t="s">
        <v>245</v>
      </c>
    </row>
    <row r="61" spans="1:11" x14ac:dyDescent="0.25">
      <c r="A61" t="s">
        <v>164</v>
      </c>
      <c r="B61" t="s">
        <v>273</v>
      </c>
      <c r="C61" s="56" t="s">
        <v>164</v>
      </c>
      <c r="D61">
        <v>2</v>
      </c>
      <c r="E61" t="s">
        <v>4554</v>
      </c>
      <c r="I61" t="s">
        <v>230</v>
      </c>
      <c r="K61" t="s">
        <v>246</v>
      </c>
    </row>
    <row r="62" spans="1:11" x14ac:dyDescent="0.25">
      <c r="A62" t="s">
        <v>165</v>
      </c>
      <c r="B62" t="s">
        <v>273</v>
      </c>
      <c r="C62" s="56" t="s">
        <v>278</v>
      </c>
      <c r="D62">
        <v>2</v>
      </c>
      <c r="E62" t="s">
        <v>4555</v>
      </c>
      <c r="I62" t="s">
        <v>231</v>
      </c>
      <c r="K62" t="s">
        <v>164</v>
      </c>
    </row>
    <row r="63" spans="1:11" x14ac:dyDescent="0.25">
      <c r="A63" t="s">
        <v>166</v>
      </c>
      <c r="B63" t="s">
        <v>273</v>
      </c>
      <c r="C63" s="56" t="s">
        <v>166</v>
      </c>
      <c r="D63">
        <v>2</v>
      </c>
      <c r="E63" t="s">
        <v>4556</v>
      </c>
      <c r="I63" t="s">
        <v>232</v>
      </c>
      <c r="K63" t="s">
        <v>165</v>
      </c>
    </row>
    <row r="64" spans="1:11" x14ac:dyDescent="0.25">
      <c r="A64" t="s">
        <v>167</v>
      </c>
      <c r="B64" t="s">
        <v>273</v>
      </c>
      <c r="C64" s="56" t="s">
        <v>279</v>
      </c>
      <c r="D64">
        <v>2</v>
      </c>
      <c r="E64" t="s">
        <v>4557</v>
      </c>
      <c r="I64" t="s">
        <v>233</v>
      </c>
      <c r="K64" t="s">
        <v>166</v>
      </c>
    </row>
    <row r="65" spans="1:11" x14ac:dyDescent="0.25">
      <c r="A65" t="s">
        <v>247</v>
      </c>
      <c r="B65" t="s">
        <v>273</v>
      </c>
      <c r="C65" s="56" t="s">
        <v>168</v>
      </c>
      <c r="D65">
        <v>1</v>
      </c>
      <c r="E65" t="s">
        <v>4558</v>
      </c>
      <c r="I65" t="s">
        <v>234</v>
      </c>
      <c r="K65" t="s">
        <v>167</v>
      </c>
    </row>
    <row r="66" spans="1:11" x14ac:dyDescent="0.25">
      <c r="A66" t="s">
        <v>169</v>
      </c>
      <c r="B66" t="s">
        <v>273</v>
      </c>
      <c r="C66" s="56" t="s">
        <v>281</v>
      </c>
      <c r="D66">
        <v>2</v>
      </c>
      <c r="E66" t="s">
        <v>4559</v>
      </c>
      <c r="I66" t="s">
        <v>235</v>
      </c>
      <c r="K66" t="s">
        <v>247</v>
      </c>
    </row>
    <row r="67" spans="1:11" x14ac:dyDescent="0.25">
      <c r="A67" t="s">
        <v>170</v>
      </c>
      <c r="B67" t="s">
        <v>280</v>
      </c>
      <c r="C67" s="56" t="s">
        <v>170</v>
      </c>
      <c r="D67">
        <v>1</v>
      </c>
      <c r="E67" t="s">
        <v>4560</v>
      </c>
      <c r="I67" t="s">
        <v>236</v>
      </c>
      <c r="K67" t="s">
        <v>169</v>
      </c>
    </row>
    <row r="68" spans="1:11" x14ac:dyDescent="0.25">
      <c r="I68" t="s">
        <v>237</v>
      </c>
      <c r="K68" t="s">
        <v>170</v>
      </c>
    </row>
    <row r="69" spans="1:11" x14ac:dyDescent="0.25">
      <c r="I69" t="s">
        <v>238</v>
      </c>
    </row>
    <row r="70" spans="1:11" x14ac:dyDescent="0.25">
      <c r="I70" t="s">
        <v>239</v>
      </c>
    </row>
    <row r="71" spans="1:11" x14ac:dyDescent="0.25">
      <c r="I71" t="s">
        <v>47</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160"/>
  <sheetViews>
    <sheetView workbookViewId="0"/>
  </sheetViews>
  <sheetFormatPr baseColWidth="10" defaultColWidth="9.140625" defaultRowHeight="15" x14ac:dyDescent="0.25"/>
  <cols>
    <col min="1" max="1" width="24" customWidth="1"/>
    <col min="2" max="16" width="16" customWidth="1"/>
  </cols>
  <sheetData>
    <row r="1" spans="1:5" x14ac:dyDescent="0.25">
      <c r="A1" t="s">
        <v>282</v>
      </c>
    </row>
    <row r="2" spans="1:5" x14ac:dyDescent="0.25">
      <c r="A2" t="s">
        <v>70</v>
      </c>
      <c r="B2" t="str">
        <f>Dashboard!$N$6</f>
        <v>Herbst 2026</v>
      </c>
      <c r="D2" t="s">
        <v>283</v>
      </c>
      <c r="E2">
        <f>IFERROR(MIN(MATCH(Dashboard!$N$5,$A$91:$A$160,0),MATCH(Dashboard!$N$6,$A$91:$A$160,0)),1)</f>
        <v>11</v>
      </c>
    </row>
    <row r="3" spans="1:5" x14ac:dyDescent="0.25">
      <c r="A3" t="s">
        <v>74</v>
      </c>
      <c r="B3" t="str">
        <f>IFERROR(INDEX(Listen!$I$2:$I$71,MATCH(B2,Listen!$I$2:$I$71,0)-1),"")</f>
        <v>Frühsommer 2026</v>
      </c>
      <c r="D3" t="s">
        <v>284</v>
      </c>
      <c r="E3">
        <f>IFERROR(MAX(MATCH(Dashboard!$N$5,$A$91:$A$160,0),MATCH(Dashboard!$N$6,$A$91:$A$160,0)),70)</f>
        <v>70</v>
      </c>
    </row>
    <row r="4" spans="1:5" x14ac:dyDescent="0.25">
      <c r="A4" t="s">
        <v>75</v>
      </c>
      <c r="B4" t="str">
        <f>LEFT(B2,LEN(B2)-4)&amp;(VALUE(RIGHT(B2,4))-1)</f>
        <v>Herbst 2025</v>
      </c>
    </row>
    <row r="5" spans="1:5" x14ac:dyDescent="0.25">
      <c r="A5" t="s">
        <v>285</v>
      </c>
      <c r="B5">
        <f>IFERROR(MATCH(B2,Daten_Salden!$1:$1,0),-1)</f>
        <v>74</v>
      </c>
    </row>
    <row r="6" spans="1:5" x14ac:dyDescent="0.25">
      <c r="A6" t="s">
        <v>286</v>
      </c>
      <c r="B6">
        <f>IFERROR(MATCH(B3,Daten_Salden!$1:$1,0),-1)</f>
        <v>73</v>
      </c>
    </row>
    <row r="7" spans="1:5" x14ac:dyDescent="0.25">
      <c r="A7" t="s">
        <v>287</v>
      </c>
      <c r="B7">
        <f>IFERROR(MATCH(B4,Daten_Salden!$1:$1,0),-1)</f>
        <v>71</v>
      </c>
    </row>
    <row r="8" spans="1:5" x14ac:dyDescent="0.25">
      <c r="A8" t="s">
        <v>288</v>
      </c>
      <c r="B8">
        <f>IFERROR(MATCH(B2,Daten_Risiken!$1:$1,0),-1)</f>
        <v>55</v>
      </c>
    </row>
    <row r="9" spans="1:5" x14ac:dyDescent="0.25">
      <c r="A9" t="s">
        <v>289</v>
      </c>
      <c r="B9">
        <f>IFERROR(MATCH(B3,Daten_Risiken!$1:$1,0),-1)</f>
        <v>54</v>
      </c>
    </row>
    <row r="10" spans="1:5" x14ac:dyDescent="0.25">
      <c r="A10" t="s">
        <v>290</v>
      </c>
      <c r="B10">
        <f>IFERROR(MATCH(B2,Daten_Motive!$1:$1,0),-1)</f>
        <v>56</v>
      </c>
    </row>
    <row r="11" spans="1:5" x14ac:dyDescent="0.25">
      <c r="A11" t="s">
        <v>291</v>
      </c>
      <c r="B11">
        <f>IFERROR(MATCH(B3,Daten_Motive!$1:$1,0),-1)</f>
        <v>55</v>
      </c>
    </row>
    <row r="12" spans="1:5" x14ac:dyDescent="0.25">
      <c r="A12" t="s">
        <v>292</v>
      </c>
      <c r="B12" t="str">
        <f>Dashboard!$C$5</f>
        <v>Alle Branchen</v>
      </c>
    </row>
    <row r="13" spans="1:5" x14ac:dyDescent="0.25">
      <c r="A13" t="s">
        <v>293</v>
      </c>
      <c r="B13" t="str">
        <f>IF(Dashboard!$C$6="(kein Vergleich)","-",Dashboard!$C$6)</f>
        <v>Industrie (ohne Baugewerbe)</v>
      </c>
    </row>
    <row r="14" spans="1:5" x14ac:dyDescent="0.25">
      <c r="A14" t="s">
        <v>294</v>
      </c>
      <c r="B14" t="str">
        <f>IFERROR(INDEX(Listen!$C$2:$C$67,MATCH(Dashboard!$C$5,Listen!$A$2:$A$67,0)),Dashboard!$C$5)</f>
        <v>Alle Branchen</v>
      </c>
    </row>
    <row r="15" spans="1:5" x14ac:dyDescent="0.25">
      <c r="A15" t="s">
        <v>295</v>
      </c>
      <c r="B15" t="str">
        <f>IF(Dashboard!$C$6="(kein Vergleich)","",IFERROR(INDEX(Listen!$C$2:$C$67,MATCH(Dashboard!$C$6,Listen!$A$2:$A$67,0)),Dashboard!$C$6))</f>
        <v>Industrie</v>
      </c>
    </row>
    <row r="16" spans="1:5" x14ac:dyDescent="0.25">
      <c r="A16" t="s">
        <v>296</v>
      </c>
      <c r="B16" t="str">
        <f>IF(LEFT(B2,6)="Herbst","HB",IF(LEFT(B2,4)="Früh","FS","JB"))&amp;" "&amp;RIGHT(B2,2)</f>
        <v>HB 26</v>
      </c>
    </row>
    <row r="17" spans="1:16" x14ac:dyDescent="0.25">
      <c r="A17" t="s">
        <v>297</v>
      </c>
      <c r="B17" t="str">
        <f>IF(B3="","",IF(LEFT(B3,6)="Herbst","HB",IF(LEFT(B3,4)="Früh","FS","JB"))&amp;" "&amp;RIGHT(B3,2))</f>
        <v>FS 26</v>
      </c>
    </row>
    <row r="18" spans="1:16" x14ac:dyDescent="0.25">
      <c r="A18" t="s">
        <v>298</v>
      </c>
      <c r="B18" t="str">
        <f>IF(LEFT(B4,6)="Herbst","HB",IF(LEFT(B4,4)="Früh","FS","JB"))&amp;" "&amp;RIGHT(B4,2)</f>
        <v>HB 25</v>
      </c>
    </row>
    <row r="20" spans="1:16" x14ac:dyDescent="0.25">
      <c r="A20" t="s">
        <v>172</v>
      </c>
      <c r="B20" t="s">
        <v>299</v>
      </c>
      <c r="C20" t="s">
        <v>300</v>
      </c>
    </row>
    <row r="21" spans="1:16" x14ac:dyDescent="0.25">
      <c r="A21" t="s">
        <v>31</v>
      </c>
      <c r="B21">
        <f>IFERROR(MATCH(B12&amp;"|Lage",Daten_Salden!$A$1:$A$331,0),-1)</f>
        <v>2</v>
      </c>
      <c r="C21">
        <f>IFERROR(MATCH(B13&amp;"|Lage",Daten_Salden!$A$1:$A$331,0),-1)</f>
        <v>3</v>
      </c>
    </row>
    <row r="22" spans="1:16" x14ac:dyDescent="0.25">
      <c r="A22" t="s">
        <v>100</v>
      </c>
      <c r="B22">
        <f>IFERROR(MATCH(B12&amp;"|Erwartungen",Daten_Salden!$A$1:$A$331,0),-1)</f>
        <v>68</v>
      </c>
      <c r="C22">
        <f>IFERROR(MATCH(B13&amp;"|Erwartungen",Daten_Salden!$A$1:$A$331,0),-1)</f>
        <v>69</v>
      </c>
    </row>
    <row r="23" spans="1:16" x14ac:dyDescent="0.25">
      <c r="A23" t="s">
        <v>101</v>
      </c>
      <c r="B23">
        <f>IFERROR(MATCH(B12&amp;"|Export",Daten_Salden!$A$1:$A$331,0),-1)</f>
        <v>134</v>
      </c>
      <c r="C23">
        <f>IFERROR(MATCH(B13&amp;"|Export",Daten_Salden!$A$1:$A$331,0),-1)</f>
        <v>135</v>
      </c>
    </row>
    <row r="24" spans="1:16" x14ac:dyDescent="0.25">
      <c r="A24" t="s">
        <v>102</v>
      </c>
      <c r="B24">
        <f>IFERROR(MATCH(B12&amp;"|Investitionen",Daten_Salden!$A$1:$A$331,0),-1)</f>
        <v>200</v>
      </c>
      <c r="C24">
        <f>IFERROR(MATCH(B13&amp;"|Investitionen",Daten_Salden!$A$1:$A$331,0),-1)</f>
        <v>201</v>
      </c>
    </row>
    <row r="25" spans="1:16" x14ac:dyDescent="0.25">
      <c r="A25" t="s">
        <v>103</v>
      </c>
      <c r="B25">
        <f>IFERROR(MATCH(B12&amp;"|Beschäftigung",Daten_Salden!$A$1:$A$331,0),-1)</f>
        <v>266</v>
      </c>
      <c r="C25">
        <f>IFERROR(MATCH(B13&amp;"|Beschäftigung",Daten_Salden!$A$1:$A$331,0),-1)</f>
        <v>267</v>
      </c>
    </row>
    <row r="31" spans="1:16" x14ac:dyDescent="0.25">
      <c r="A31" t="s">
        <v>70</v>
      </c>
      <c r="B31" t="str">
        <f>Berechnung!$B$14</f>
        <v>Alle Branchen</v>
      </c>
      <c r="C31" t="str">
        <f>Berechnung!$B$15</f>
        <v>Industrie</v>
      </c>
      <c r="D31" t="s">
        <v>56</v>
      </c>
      <c r="E31" t="str">
        <f>Berechnung!$B$14</f>
        <v>Alle Branchen</v>
      </c>
      <c r="F31" t="str">
        <f>Berechnung!$B$15</f>
        <v>Industrie</v>
      </c>
      <c r="G31" t="s">
        <v>56</v>
      </c>
      <c r="H31" t="str">
        <f>Berechnung!$B$14</f>
        <v>Alle Branchen</v>
      </c>
      <c r="I31" t="str">
        <f>Berechnung!$B$15</f>
        <v>Industrie</v>
      </c>
      <c r="J31" t="s">
        <v>56</v>
      </c>
      <c r="K31" t="str">
        <f>Berechnung!$B$14</f>
        <v>Alle Branchen</v>
      </c>
      <c r="L31" t="str">
        <f>Berechnung!$B$15</f>
        <v>Industrie</v>
      </c>
      <c r="M31" t="s">
        <v>56</v>
      </c>
      <c r="N31" t="str">
        <f>Berechnung!$B$14</f>
        <v>Alle Branchen</v>
      </c>
      <c r="O31" t="str">
        <f>Berechnung!$B$15</f>
        <v>Industrie</v>
      </c>
      <c r="P31" t="s">
        <v>56</v>
      </c>
    </row>
    <row r="32" spans="1:16" x14ac:dyDescent="0.25">
      <c r="A32" t="str">
        <f>IF((Berechnung!$B$5-19)&lt;6,"",IF(OR(LEFT(INDEX(Daten_Salden!$1:$1,(Berechnung!$B$5-19)),12)="Jahresbeginn",0=0),RIGHT(INDEX(Daten_Salden!$1:$1,(Berechnung!$B$5-19)),4),""))</f>
        <v>2020</v>
      </c>
      <c r="B32">
        <f>IF((Berechnung!$B$5-19)&lt;6,NA(),IFERROR(IF(INDEX(Daten_Salden!$A:$ZZ,Berechnung!$B$21,(Berechnung!$B$5-19))="",NA(),INDEX(Daten_Salden!$A:$ZZ,Berechnung!$B$21,(Berechnung!$B$5-19))),NA()))</f>
        <v>-26</v>
      </c>
      <c r="C32">
        <f>IF((Berechnung!$B$5-19)&lt;6,NA(),IFERROR(IF(INDEX(Daten_Salden!$A:$ZZ,Berechnung!$C$21,(Berechnung!$B$5-19))="",NA(),INDEX(Daten_Salden!$A:$ZZ,Berechnung!$C$21,(Berechnung!$B$5-19))),NA()))</f>
        <v>-23</v>
      </c>
      <c r="D32">
        <f>IFERROR(IF(INDEX(Daten_Salden!$A:$ZZ,Berechnung!$B$21,4)="",NA(),INDEX(Daten_Salden!$A:$ZZ,Berechnung!$B$21,4)),NA())</f>
        <v>18.585999999999999</v>
      </c>
      <c r="E32">
        <f>IF((Berechnung!$B$5-19)&lt;6,NA(),IFERROR(IF(INDEX(Daten_Salden!$A:$ZZ,Berechnung!$B$22,(Berechnung!$B$5-19))="",NA(),INDEX(Daten_Salden!$A:$ZZ,Berechnung!$B$22,(Berechnung!$B$5-19))),NA()))</f>
        <v>-44</v>
      </c>
      <c r="F32">
        <f>IF((Berechnung!$B$5-19)&lt;6,NA(),IFERROR(IF(INDEX(Daten_Salden!$A:$ZZ,Berechnung!$C$22,(Berechnung!$B$5-19))="",NA(),INDEX(Daten_Salden!$A:$ZZ,Berechnung!$C$22,(Berechnung!$B$5-19))),NA()))</f>
        <v>-43</v>
      </c>
      <c r="G32">
        <f>IFERROR(IF(INDEX(Daten_Salden!$A:$ZZ,Berechnung!$B$22,4)="",NA(),INDEX(Daten_Salden!$A:$ZZ,Berechnung!$B$22,4)),NA())</f>
        <v>1.986</v>
      </c>
      <c r="H32" t="e">
        <f>IF((Berechnung!$B$5-19)&lt;6,NA(),IFERROR(IF(INDEX(Daten_Salden!$A:$ZZ,Berechnung!$B$23,(Berechnung!$B$5-19))="",NA(),INDEX(Daten_Salden!$A:$ZZ,Berechnung!$B$23,(Berechnung!$B$5-19))),NA()))</f>
        <v>#N/A</v>
      </c>
      <c r="I32">
        <f>IF((Berechnung!$B$5-19)&lt;6,NA(),IFERROR(IF(INDEX(Daten_Salden!$A:$ZZ,Berechnung!$C$23,(Berechnung!$B$5-19))="",NA(),INDEX(Daten_Salden!$A:$ZZ,Berechnung!$C$23,(Berechnung!$B$5-19))),NA()))</f>
        <v>-56</v>
      </c>
      <c r="J32" t="e">
        <f>IFERROR(IF(INDEX(Daten_Salden!$A:$ZZ,Berechnung!$B$23,4)="",NA(),INDEX(Daten_Salden!$A:$ZZ,Berechnung!$B$23,4)),NA())</f>
        <v>#N/A</v>
      </c>
      <c r="K32">
        <f>IF((Berechnung!$B$5-19)&lt;6,NA(),IFERROR(IF(INDEX(Daten_Salden!$A:$ZZ,Berechnung!$B$24,(Berechnung!$B$5-19))="",NA(),INDEX(Daten_Salden!$A:$ZZ,Berechnung!$B$24,(Berechnung!$B$5-19))),NA()))</f>
        <v>-37</v>
      </c>
      <c r="L32">
        <f>IF((Berechnung!$B$5-19)&lt;6,NA(),IFERROR(IF(INDEX(Daten_Salden!$A:$ZZ,Berechnung!$C$24,(Berechnung!$B$5-19))="",NA(),INDEX(Daten_Salden!$A:$ZZ,Berechnung!$C$24,(Berechnung!$B$5-19))),NA()))</f>
        <v>-41</v>
      </c>
      <c r="M32">
        <f>IFERROR(IF(INDEX(Daten_Salden!$A:$ZZ,Berechnung!$B$24,4)="",NA(),INDEX(Daten_Salden!$A:$ZZ,Berechnung!$B$24,4)),NA())</f>
        <v>2.2429999999999999</v>
      </c>
      <c r="N32">
        <f>IF((Berechnung!$B$5-19)&lt;6,NA(),IFERROR(IF(INDEX(Daten_Salden!$A:$ZZ,Berechnung!$B$25,(Berechnung!$B$5-19))="",NA(),INDEX(Daten_Salden!$A:$ZZ,Berechnung!$B$25,(Berechnung!$B$5-19))),NA()))</f>
        <v>-28</v>
      </c>
      <c r="O32">
        <f>IF((Berechnung!$B$5-19)&lt;6,NA(),IFERROR(IF(INDEX(Daten_Salden!$A:$ZZ,Berechnung!$C$25,(Berechnung!$B$5-19))="",NA(),INDEX(Daten_Salden!$A:$ZZ,Berechnung!$C$25,(Berechnung!$B$5-19))),NA()))</f>
        <v>-33</v>
      </c>
      <c r="P32">
        <f>IFERROR(IF(INDEX(Daten_Salden!$A:$ZZ,Berechnung!$B$25,4)="",NA(),INDEX(Daten_Salden!$A:$ZZ,Berechnung!$B$25,4)),NA())</f>
        <v>-1.4</v>
      </c>
    </row>
    <row r="33" spans="1:16" x14ac:dyDescent="0.25">
      <c r="A33" t="str">
        <f>IF((Berechnung!$B$5-18)&lt;6,"",IF(OR(LEFT(INDEX(Daten_Salden!$1:$1,(Berechnung!$B$5-18)),12)="Jahresbeginn",1=0),RIGHT(INDEX(Daten_Salden!$1:$1,(Berechnung!$B$5-18)),4),""))</f>
        <v/>
      </c>
      <c r="B33">
        <f>IF((Berechnung!$B$5-18)&lt;6,NA(),IFERROR(IF(INDEX(Daten_Salden!$A:$ZZ,Berechnung!$B$21,(Berechnung!$B$5-18))="",NA(),INDEX(Daten_Salden!$A:$ZZ,Berechnung!$B$21,(Berechnung!$B$5-18))),NA()))</f>
        <v>-1</v>
      </c>
      <c r="C33">
        <f>IF((Berechnung!$B$5-18)&lt;6,NA(),IFERROR(IF(INDEX(Daten_Salden!$A:$ZZ,Berechnung!$C$21,(Berechnung!$B$5-18))="",NA(),INDEX(Daten_Salden!$A:$ZZ,Berechnung!$C$21,(Berechnung!$B$5-18))),NA()))</f>
        <v>-10</v>
      </c>
      <c r="D33">
        <f>IFERROR(IF(INDEX(Daten_Salden!$A:$ZZ,Berechnung!$B$21,4)="",NA(),INDEX(Daten_Salden!$A:$ZZ,Berechnung!$B$21,4)),NA())</f>
        <v>18.585999999999999</v>
      </c>
      <c r="E33">
        <f>IF((Berechnung!$B$5-18)&lt;6,NA(),IFERROR(IF(INDEX(Daten_Salden!$A:$ZZ,Berechnung!$B$22,(Berechnung!$B$5-18))="",NA(),INDEX(Daten_Salden!$A:$ZZ,Berechnung!$B$22,(Berechnung!$B$5-18))),NA()))</f>
        <v>-7</v>
      </c>
      <c r="F33">
        <f>IF((Berechnung!$B$5-18)&lt;6,NA(),IFERROR(IF(INDEX(Daten_Salden!$A:$ZZ,Berechnung!$C$22,(Berechnung!$B$5-18))="",NA(),INDEX(Daten_Salden!$A:$ZZ,Berechnung!$C$22,(Berechnung!$B$5-18))),NA()))</f>
        <v>5</v>
      </c>
      <c r="G33">
        <f>IFERROR(IF(INDEX(Daten_Salden!$A:$ZZ,Berechnung!$B$22,4)="",NA(),INDEX(Daten_Salden!$A:$ZZ,Berechnung!$B$22,4)),NA())</f>
        <v>1.986</v>
      </c>
      <c r="H33" t="e">
        <f>IF((Berechnung!$B$5-18)&lt;6,NA(),IFERROR(IF(INDEX(Daten_Salden!$A:$ZZ,Berechnung!$B$23,(Berechnung!$B$5-18))="",NA(),INDEX(Daten_Salden!$A:$ZZ,Berechnung!$B$23,(Berechnung!$B$5-18))),NA()))</f>
        <v>#N/A</v>
      </c>
      <c r="I33">
        <f>IF((Berechnung!$B$5-18)&lt;6,NA(),IFERROR(IF(INDEX(Daten_Salden!$A:$ZZ,Berechnung!$C$23,(Berechnung!$B$5-18))="",NA(),INDEX(Daten_Salden!$A:$ZZ,Berechnung!$C$23,(Berechnung!$B$5-18))),NA()))</f>
        <v>-4</v>
      </c>
      <c r="J33" t="e">
        <f>IFERROR(IF(INDEX(Daten_Salden!$A:$ZZ,Berechnung!$B$23,4)="",NA(),INDEX(Daten_Salden!$A:$ZZ,Berechnung!$B$23,4)),NA())</f>
        <v>#N/A</v>
      </c>
      <c r="K33">
        <f>IF((Berechnung!$B$5-18)&lt;6,NA(),IFERROR(IF(INDEX(Daten_Salden!$A:$ZZ,Berechnung!$B$24,(Berechnung!$B$5-18))="",NA(),INDEX(Daten_Salden!$A:$ZZ,Berechnung!$B$24,(Berechnung!$B$5-18))),NA()))</f>
        <v>-15</v>
      </c>
      <c r="L33">
        <f>IF((Berechnung!$B$5-18)&lt;6,NA(),IFERROR(IF(INDEX(Daten_Salden!$A:$ZZ,Berechnung!$C$24,(Berechnung!$B$5-18))="",NA(),INDEX(Daten_Salden!$A:$ZZ,Berechnung!$C$24,(Berechnung!$B$5-18))),NA()))</f>
        <v>-17</v>
      </c>
      <c r="M33">
        <f>IFERROR(IF(INDEX(Daten_Salden!$A:$ZZ,Berechnung!$B$24,4)="",NA(),INDEX(Daten_Salden!$A:$ZZ,Berechnung!$B$24,4)),NA())</f>
        <v>2.2429999999999999</v>
      </c>
      <c r="N33">
        <f>IF((Berechnung!$B$5-18)&lt;6,NA(),IFERROR(IF(INDEX(Daten_Salden!$A:$ZZ,Berechnung!$B$25,(Berechnung!$B$5-18))="",NA(),INDEX(Daten_Salden!$A:$ZZ,Berechnung!$B$25,(Berechnung!$B$5-18))),NA()))</f>
        <v>-13</v>
      </c>
      <c r="O33">
        <f>IF((Berechnung!$B$5-18)&lt;6,NA(),IFERROR(IF(INDEX(Daten_Salden!$A:$ZZ,Berechnung!$C$25,(Berechnung!$B$5-18))="",NA(),INDEX(Daten_Salden!$A:$ZZ,Berechnung!$C$25,(Berechnung!$B$5-18))),NA()))</f>
        <v>-21</v>
      </c>
      <c r="P33">
        <f>IFERROR(IF(INDEX(Daten_Salden!$A:$ZZ,Berechnung!$B$25,4)="",NA(),INDEX(Daten_Salden!$A:$ZZ,Berechnung!$B$25,4)),NA())</f>
        <v>-1.4</v>
      </c>
    </row>
    <row r="34" spans="1:16" x14ac:dyDescent="0.25">
      <c r="A34" t="str">
        <f>IF((Berechnung!$B$5-17)&lt;6,"",IF(OR(LEFT(INDEX(Daten_Salden!$1:$1,(Berechnung!$B$5-17)),12)="Jahresbeginn",2=0),RIGHT(INDEX(Daten_Salden!$1:$1,(Berechnung!$B$5-17)),4),""))</f>
        <v>2021</v>
      </c>
      <c r="B34">
        <f>IF((Berechnung!$B$5-17)&lt;6,NA(),IFERROR(IF(INDEX(Daten_Salden!$A:$ZZ,Berechnung!$B$21,(Berechnung!$B$5-17))="",NA(),INDEX(Daten_Salden!$A:$ZZ,Berechnung!$B$21,(Berechnung!$B$5-17))),NA()))</f>
        <v>-3</v>
      </c>
      <c r="C34">
        <f>IF((Berechnung!$B$5-17)&lt;6,NA(),IFERROR(IF(INDEX(Daten_Salden!$A:$ZZ,Berechnung!$C$21,(Berechnung!$B$5-17))="",NA(),INDEX(Daten_Salden!$A:$ZZ,Berechnung!$C$21,(Berechnung!$B$5-17))),NA()))</f>
        <v>6</v>
      </c>
      <c r="D34">
        <f>IFERROR(IF(INDEX(Daten_Salden!$A:$ZZ,Berechnung!$B$21,4)="",NA(),INDEX(Daten_Salden!$A:$ZZ,Berechnung!$B$21,4)),NA())</f>
        <v>18.585999999999999</v>
      </c>
      <c r="E34">
        <f>IF((Berechnung!$B$5-17)&lt;6,NA(),IFERROR(IF(INDEX(Daten_Salden!$A:$ZZ,Berechnung!$B$22,(Berechnung!$B$5-17))="",NA(),INDEX(Daten_Salden!$A:$ZZ,Berechnung!$B$22,(Berechnung!$B$5-17))),NA()))</f>
        <v>-9</v>
      </c>
      <c r="F34">
        <f>IF((Berechnung!$B$5-17)&lt;6,NA(),IFERROR(IF(INDEX(Daten_Salden!$A:$ZZ,Berechnung!$C$22,(Berechnung!$B$5-17))="",NA(),INDEX(Daten_Salden!$A:$ZZ,Berechnung!$C$22,(Berechnung!$B$5-17))),NA()))</f>
        <v>8</v>
      </c>
      <c r="G34">
        <f>IFERROR(IF(INDEX(Daten_Salden!$A:$ZZ,Berechnung!$B$22,4)="",NA(),INDEX(Daten_Salden!$A:$ZZ,Berechnung!$B$22,4)),NA())</f>
        <v>1.986</v>
      </c>
      <c r="H34" t="e">
        <f>IF((Berechnung!$B$5-17)&lt;6,NA(),IFERROR(IF(INDEX(Daten_Salden!$A:$ZZ,Berechnung!$B$23,(Berechnung!$B$5-17))="",NA(),INDEX(Daten_Salden!$A:$ZZ,Berechnung!$B$23,(Berechnung!$B$5-17))),NA()))</f>
        <v>#N/A</v>
      </c>
      <c r="I34">
        <f>IF((Berechnung!$B$5-17)&lt;6,NA(),IFERROR(IF(INDEX(Daten_Salden!$A:$ZZ,Berechnung!$C$23,(Berechnung!$B$5-17))="",NA(),INDEX(Daten_Salden!$A:$ZZ,Berechnung!$C$23,(Berechnung!$B$5-17))),NA()))</f>
        <v>9</v>
      </c>
      <c r="J34" t="e">
        <f>IFERROR(IF(INDEX(Daten_Salden!$A:$ZZ,Berechnung!$B$23,4)="",NA(),INDEX(Daten_Salden!$A:$ZZ,Berechnung!$B$23,4)),NA())</f>
        <v>#N/A</v>
      </c>
      <c r="K34">
        <f>IF((Berechnung!$B$5-17)&lt;6,NA(),IFERROR(IF(INDEX(Daten_Salden!$A:$ZZ,Berechnung!$B$24,(Berechnung!$B$5-17))="",NA(),INDEX(Daten_Salden!$A:$ZZ,Berechnung!$B$24,(Berechnung!$B$5-17))),NA()))</f>
        <v>-8</v>
      </c>
      <c r="L34">
        <f>IF((Berechnung!$B$5-17)&lt;6,NA(),IFERROR(IF(INDEX(Daten_Salden!$A:$ZZ,Berechnung!$C$24,(Berechnung!$B$5-17))="",NA(),INDEX(Daten_Salden!$A:$ZZ,Berechnung!$C$24,(Berechnung!$B$5-17))),NA()))</f>
        <v>-1</v>
      </c>
      <c r="M34">
        <f>IFERROR(IF(INDEX(Daten_Salden!$A:$ZZ,Berechnung!$B$24,4)="",NA(),INDEX(Daten_Salden!$A:$ZZ,Berechnung!$B$24,4)),NA())</f>
        <v>2.2429999999999999</v>
      </c>
      <c r="N34">
        <f>IF((Berechnung!$B$5-17)&lt;6,NA(),IFERROR(IF(INDEX(Daten_Salden!$A:$ZZ,Berechnung!$B$25,(Berechnung!$B$5-17))="",NA(),INDEX(Daten_Salden!$A:$ZZ,Berechnung!$B$25,(Berechnung!$B$5-17))),NA()))</f>
        <v>-9</v>
      </c>
      <c r="O34">
        <f>IF((Berechnung!$B$5-17)&lt;6,NA(),IFERROR(IF(INDEX(Daten_Salden!$A:$ZZ,Berechnung!$C$25,(Berechnung!$B$5-17))="",NA(),INDEX(Daten_Salden!$A:$ZZ,Berechnung!$C$25,(Berechnung!$B$5-17))),NA()))</f>
        <v>-9</v>
      </c>
      <c r="P34">
        <f>IFERROR(IF(INDEX(Daten_Salden!$A:$ZZ,Berechnung!$B$25,4)="",NA(),INDEX(Daten_Salden!$A:$ZZ,Berechnung!$B$25,4)),NA())</f>
        <v>-1.4</v>
      </c>
    </row>
    <row r="35" spans="1:16" x14ac:dyDescent="0.25">
      <c r="A35" t="str">
        <f>IF((Berechnung!$B$5-16)&lt;6,"",IF(OR(LEFT(INDEX(Daten_Salden!$1:$1,(Berechnung!$B$5-16)),12)="Jahresbeginn",3=0),RIGHT(INDEX(Daten_Salden!$1:$1,(Berechnung!$B$5-16)),4),""))</f>
        <v/>
      </c>
      <c r="B35">
        <f>IF((Berechnung!$B$5-16)&lt;6,NA(),IFERROR(IF(INDEX(Daten_Salden!$A:$ZZ,Berechnung!$B$21,(Berechnung!$B$5-16))="",NA(),INDEX(Daten_Salden!$A:$ZZ,Berechnung!$B$21,(Berechnung!$B$5-16))),NA()))</f>
        <v>2</v>
      </c>
      <c r="C35">
        <f>IF((Berechnung!$B$5-16)&lt;6,NA(),IFERROR(IF(INDEX(Daten_Salden!$A:$ZZ,Berechnung!$C$21,(Berechnung!$B$5-16))="",NA(),INDEX(Daten_Salden!$A:$ZZ,Berechnung!$C$21,(Berechnung!$B$5-16))),NA()))</f>
        <v>25</v>
      </c>
      <c r="D35">
        <f>IFERROR(IF(INDEX(Daten_Salden!$A:$ZZ,Berechnung!$B$21,4)="",NA(),INDEX(Daten_Salden!$A:$ZZ,Berechnung!$B$21,4)),NA())</f>
        <v>18.585999999999999</v>
      </c>
      <c r="E35">
        <f>IF((Berechnung!$B$5-16)&lt;6,NA(),IFERROR(IF(INDEX(Daten_Salden!$A:$ZZ,Berechnung!$B$22,(Berechnung!$B$5-16))="",NA(),INDEX(Daten_Salden!$A:$ZZ,Berechnung!$B$22,(Berechnung!$B$5-16))),NA()))</f>
        <v>1</v>
      </c>
      <c r="F35">
        <f>IF((Berechnung!$B$5-16)&lt;6,NA(),IFERROR(IF(INDEX(Daten_Salden!$A:$ZZ,Berechnung!$C$22,(Berechnung!$B$5-16))="",NA(),INDEX(Daten_Salden!$A:$ZZ,Berechnung!$C$22,(Berechnung!$B$5-16))),NA()))</f>
        <v>16</v>
      </c>
      <c r="G35">
        <f>IFERROR(IF(INDEX(Daten_Salden!$A:$ZZ,Berechnung!$B$22,4)="",NA(),INDEX(Daten_Salden!$A:$ZZ,Berechnung!$B$22,4)),NA())</f>
        <v>1.986</v>
      </c>
      <c r="H35" t="e">
        <f>IF((Berechnung!$B$5-16)&lt;6,NA(),IFERROR(IF(INDEX(Daten_Salden!$A:$ZZ,Berechnung!$B$23,(Berechnung!$B$5-16))="",NA(),INDEX(Daten_Salden!$A:$ZZ,Berechnung!$B$23,(Berechnung!$B$5-16))),NA()))</f>
        <v>#N/A</v>
      </c>
      <c r="I35">
        <f>IF((Berechnung!$B$5-16)&lt;6,NA(),IFERROR(IF(INDEX(Daten_Salden!$A:$ZZ,Berechnung!$C$23,(Berechnung!$B$5-16))="",NA(),INDEX(Daten_Salden!$A:$ZZ,Berechnung!$C$23,(Berechnung!$B$5-16))),NA()))</f>
        <v>17</v>
      </c>
      <c r="J35" t="e">
        <f>IFERROR(IF(INDEX(Daten_Salden!$A:$ZZ,Berechnung!$B$23,4)="",NA(),INDEX(Daten_Salden!$A:$ZZ,Berechnung!$B$23,4)),NA())</f>
        <v>#N/A</v>
      </c>
      <c r="K35">
        <f>IF((Berechnung!$B$5-16)&lt;6,NA(),IFERROR(IF(INDEX(Daten_Salden!$A:$ZZ,Berechnung!$B$24,(Berechnung!$B$5-16))="",NA(),INDEX(Daten_Salden!$A:$ZZ,Berechnung!$B$24,(Berechnung!$B$5-16))),NA()))</f>
        <v>0</v>
      </c>
      <c r="L35">
        <f>IF((Berechnung!$B$5-16)&lt;6,NA(),IFERROR(IF(INDEX(Daten_Salden!$A:$ZZ,Berechnung!$C$24,(Berechnung!$B$5-16))="",NA(),INDEX(Daten_Salden!$A:$ZZ,Berechnung!$C$24,(Berechnung!$B$5-16))),NA()))</f>
        <v>13</v>
      </c>
      <c r="M35">
        <f>IFERROR(IF(INDEX(Daten_Salden!$A:$ZZ,Berechnung!$B$24,4)="",NA(),INDEX(Daten_Salden!$A:$ZZ,Berechnung!$B$24,4)),NA())</f>
        <v>2.2429999999999999</v>
      </c>
      <c r="N35">
        <f>IF((Berechnung!$B$5-16)&lt;6,NA(),IFERROR(IF(INDEX(Daten_Salden!$A:$ZZ,Berechnung!$B$25,(Berechnung!$B$5-16))="",NA(),INDEX(Daten_Salden!$A:$ZZ,Berechnung!$B$25,(Berechnung!$B$5-16))),NA()))</f>
        <v>-3</v>
      </c>
      <c r="O35">
        <f>IF((Berechnung!$B$5-16)&lt;6,NA(),IFERROR(IF(INDEX(Daten_Salden!$A:$ZZ,Berechnung!$C$25,(Berechnung!$B$5-16))="",NA(),INDEX(Daten_Salden!$A:$ZZ,Berechnung!$C$25,(Berechnung!$B$5-16))),NA()))</f>
        <v>3</v>
      </c>
      <c r="P35">
        <f>IFERROR(IF(INDEX(Daten_Salden!$A:$ZZ,Berechnung!$B$25,4)="",NA(),INDEX(Daten_Salden!$A:$ZZ,Berechnung!$B$25,4)),NA())</f>
        <v>-1.4</v>
      </c>
    </row>
    <row r="36" spans="1:16" x14ac:dyDescent="0.25">
      <c r="A36" t="str">
        <f>IF((Berechnung!$B$5-15)&lt;6,"",IF(OR(LEFT(INDEX(Daten_Salden!$1:$1,(Berechnung!$B$5-15)),12)="Jahresbeginn",4=0),RIGHT(INDEX(Daten_Salden!$1:$1,(Berechnung!$B$5-15)),4),""))</f>
        <v/>
      </c>
      <c r="B36">
        <f>IF((Berechnung!$B$5-15)&lt;6,NA(),IFERROR(IF(INDEX(Daten_Salden!$A:$ZZ,Berechnung!$B$21,(Berechnung!$B$5-15))="",NA(),INDEX(Daten_Salden!$A:$ZZ,Berechnung!$B$21,(Berechnung!$B$5-15))),NA()))</f>
        <v>29</v>
      </c>
      <c r="C36">
        <f>IF((Berechnung!$B$5-15)&lt;6,NA(),IFERROR(IF(INDEX(Daten_Salden!$A:$ZZ,Berechnung!$C$21,(Berechnung!$B$5-15))="",NA(),INDEX(Daten_Salden!$A:$ZZ,Berechnung!$C$21,(Berechnung!$B$5-15))),NA()))</f>
        <v>35</v>
      </c>
      <c r="D36">
        <f>IFERROR(IF(INDEX(Daten_Salden!$A:$ZZ,Berechnung!$B$21,4)="",NA(),INDEX(Daten_Salden!$A:$ZZ,Berechnung!$B$21,4)),NA())</f>
        <v>18.585999999999999</v>
      </c>
      <c r="E36">
        <f>IF((Berechnung!$B$5-15)&lt;6,NA(),IFERROR(IF(INDEX(Daten_Salden!$A:$ZZ,Berechnung!$B$22,(Berechnung!$B$5-15))="",NA(),INDEX(Daten_Salden!$A:$ZZ,Berechnung!$B$22,(Berechnung!$B$5-15))),NA()))</f>
        <v>10</v>
      </c>
      <c r="F36">
        <f>IF((Berechnung!$B$5-15)&lt;6,NA(),IFERROR(IF(INDEX(Daten_Salden!$A:$ZZ,Berechnung!$C$22,(Berechnung!$B$5-15))="",NA(),INDEX(Daten_Salden!$A:$ZZ,Berechnung!$C$22,(Berechnung!$B$5-15))),NA()))</f>
        <v>17</v>
      </c>
      <c r="G36">
        <f>IFERROR(IF(INDEX(Daten_Salden!$A:$ZZ,Berechnung!$B$22,4)="",NA(),INDEX(Daten_Salden!$A:$ZZ,Berechnung!$B$22,4)),NA())</f>
        <v>1.986</v>
      </c>
      <c r="H36" t="e">
        <f>IF((Berechnung!$B$5-15)&lt;6,NA(),IFERROR(IF(INDEX(Daten_Salden!$A:$ZZ,Berechnung!$B$23,(Berechnung!$B$5-15))="",NA(),INDEX(Daten_Salden!$A:$ZZ,Berechnung!$B$23,(Berechnung!$B$5-15))),NA()))</f>
        <v>#N/A</v>
      </c>
      <c r="I36">
        <f>IF((Berechnung!$B$5-15)&lt;6,NA(),IFERROR(IF(INDEX(Daten_Salden!$A:$ZZ,Berechnung!$C$23,(Berechnung!$B$5-15))="",NA(),INDEX(Daten_Salden!$A:$ZZ,Berechnung!$C$23,(Berechnung!$B$5-15))),NA()))</f>
        <v>21</v>
      </c>
      <c r="J36" t="e">
        <f>IFERROR(IF(INDEX(Daten_Salden!$A:$ZZ,Berechnung!$B$23,4)="",NA(),INDEX(Daten_Salden!$A:$ZZ,Berechnung!$B$23,4)),NA())</f>
        <v>#N/A</v>
      </c>
      <c r="K36">
        <f>IF((Berechnung!$B$5-15)&lt;6,NA(),IFERROR(IF(INDEX(Daten_Salden!$A:$ZZ,Berechnung!$B$24,(Berechnung!$B$5-15))="",NA(),INDEX(Daten_Salden!$A:$ZZ,Berechnung!$B$24,(Berechnung!$B$5-15))),NA()))</f>
        <v>13</v>
      </c>
      <c r="L36">
        <f>IF((Berechnung!$B$5-15)&lt;6,NA(),IFERROR(IF(INDEX(Daten_Salden!$A:$ZZ,Berechnung!$C$24,(Berechnung!$B$5-15))="",NA(),INDEX(Daten_Salden!$A:$ZZ,Berechnung!$C$24,(Berechnung!$B$5-15))),NA()))</f>
        <v>21</v>
      </c>
      <c r="M36">
        <f>IFERROR(IF(INDEX(Daten_Salden!$A:$ZZ,Berechnung!$B$24,4)="",NA(),INDEX(Daten_Salden!$A:$ZZ,Berechnung!$B$24,4)),NA())</f>
        <v>2.2429999999999999</v>
      </c>
      <c r="N36">
        <f>IF((Berechnung!$B$5-15)&lt;6,NA(),IFERROR(IF(INDEX(Daten_Salden!$A:$ZZ,Berechnung!$B$25,(Berechnung!$B$5-15))="",NA(),INDEX(Daten_Salden!$A:$ZZ,Berechnung!$B$25,(Berechnung!$B$5-15))),NA()))</f>
        <v>9</v>
      </c>
      <c r="O36">
        <f>IF((Berechnung!$B$5-15)&lt;6,NA(),IFERROR(IF(INDEX(Daten_Salden!$A:$ZZ,Berechnung!$C$25,(Berechnung!$B$5-15))="",NA(),INDEX(Daten_Salden!$A:$ZZ,Berechnung!$C$25,(Berechnung!$B$5-15))),NA()))</f>
        <v>14</v>
      </c>
      <c r="P36">
        <f>IFERROR(IF(INDEX(Daten_Salden!$A:$ZZ,Berechnung!$B$25,4)="",NA(),INDEX(Daten_Salden!$A:$ZZ,Berechnung!$B$25,4)),NA())</f>
        <v>-1.4</v>
      </c>
    </row>
    <row r="37" spans="1:16" x14ac:dyDescent="0.25">
      <c r="A37" t="str">
        <f>IF((Berechnung!$B$5-14)&lt;6,"",IF(OR(LEFT(INDEX(Daten_Salden!$1:$1,(Berechnung!$B$5-14)),12)="Jahresbeginn",5=0),RIGHT(INDEX(Daten_Salden!$1:$1,(Berechnung!$B$5-14)),4),""))</f>
        <v>2022</v>
      </c>
      <c r="B37">
        <f>IF((Berechnung!$B$5-14)&lt;6,NA(),IFERROR(IF(INDEX(Daten_Salden!$A:$ZZ,Berechnung!$B$21,(Berechnung!$B$5-14))="",NA(),INDEX(Daten_Salden!$A:$ZZ,Berechnung!$B$21,(Berechnung!$B$5-14))),NA()))</f>
        <v>18</v>
      </c>
      <c r="C37">
        <f>IF((Berechnung!$B$5-14)&lt;6,NA(),IFERROR(IF(INDEX(Daten_Salden!$A:$ZZ,Berechnung!$C$21,(Berechnung!$B$5-14))="",NA(),INDEX(Daten_Salden!$A:$ZZ,Berechnung!$C$21,(Berechnung!$B$5-14))),NA()))</f>
        <v>35</v>
      </c>
      <c r="D37">
        <f>IFERROR(IF(INDEX(Daten_Salden!$A:$ZZ,Berechnung!$B$21,4)="",NA(),INDEX(Daten_Salden!$A:$ZZ,Berechnung!$B$21,4)),NA())</f>
        <v>18.585999999999999</v>
      </c>
      <c r="E37">
        <f>IF((Berechnung!$B$5-14)&lt;6,NA(),IFERROR(IF(INDEX(Daten_Salden!$A:$ZZ,Berechnung!$B$22,(Berechnung!$B$5-14))="",NA(),INDEX(Daten_Salden!$A:$ZZ,Berechnung!$B$22,(Berechnung!$B$5-14))),NA()))</f>
        <v>5</v>
      </c>
      <c r="F37">
        <f>IF((Berechnung!$B$5-14)&lt;6,NA(),IFERROR(IF(INDEX(Daten_Salden!$A:$ZZ,Berechnung!$C$22,(Berechnung!$B$5-14))="",NA(),INDEX(Daten_Salden!$A:$ZZ,Berechnung!$C$22,(Berechnung!$B$5-14))),NA()))</f>
        <v>12</v>
      </c>
      <c r="G37">
        <f>IFERROR(IF(INDEX(Daten_Salden!$A:$ZZ,Berechnung!$B$22,4)="",NA(),INDEX(Daten_Salden!$A:$ZZ,Berechnung!$B$22,4)),NA())</f>
        <v>1.986</v>
      </c>
      <c r="H37" t="e">
        <f>IF((Berechnung!$B$5-14)&lt;6,NA(),IFERROR(IF(INDEX(Daten_Salden!$A:$ZZ,Berechnung!$B$23,(Berechnung!$B$5-14))="",NA(),INDEX(Daten_Salden!$A:$ZZ,Berechnung!$B$23,(Berechnung!$B$5-14))),NA()))</f>
        <v>#N/A</v>
      </c>
      <c r="I37">
        <f>IF((Berechnung!$B$5-14)&lt;6,NA(),IFERROR(IF(INDEX(Daten_Salden!$A:$ZZ,Berechnung!$C$23,(Berechnung!$B$5-14))="",NA(),INDEX(Daten_Salden!$A:$ZZ,Berechnung!$C$23,(Berechnung!$B$5-14))),NA()))</f>
        <v>20</v>
      </c>
      <c r="J37" t="e">
        <f>IFERROR(IF(INDEX(Daten_Salden!$A:$ZZ,Berechnung!$B$23,4)="",NA(),INDEX(Daten_Salden!$A:$ZZ,Berechnung!$B$23,4)),NA())</f>
        <v>#N/A</v>
      </c>
      <c r="K37">
        <f>IF((Berechnung!$B$5-14)&lt;6,NA(),IFERROR(IF(INDEX(Daten_Salden!$A:$ZZ,Berechnung!$B$24,(Berechnung!$B$5-14))="",NA(),INDEX(Daten_Salden!$A:$ZZ,Berechnung!$B$24,(Berechnung!$B$5-14))),NA()))</f>
        <v>12</v>
      </c>
      <c r="L37">
        <f>IF((Berechnung!$B$5-14)&lt;6,NA(),IFERROR(IF(INDEX(Daten_Salden!$A:$ZZ,Berechnung!$C$24,(Berechnung!$B$5-14))="",NA(),INDEX(Daten_Salden!$A:$ZZ,Berechnung!$C$24,(Berechnung!$B$5-14))),NA()))</f>
        <v>23</v>
      </c>
      <c r="M37">
        <f>IFERROR(IF(INDEX(Daten_Salden!$A:$ZZ,Berechnung!$B$24,4)="",NA(),INDEX(Daten_Salden!$A:$ZZ,Berechnung!$B$24,4)),NA())</f>
        <v>2.2429999999999999</v>
      </c>
      <c r="N37">
        <f>IF((Berechnung!$B$5-14)&lt;6,NA(),IFERROR(IF(INDEX(Daten_Salden!$A:$ZZ,Berechnung!$B$25,(Berechnung!$B$5-14))="",NA(),INDEX(Daten_Salden!$A:$ZZ,Berechnung!$B$25,(Berechnung!$B$5-14))),NA()))</f>
        <v>8</v>
      </c>
      <c r="O37">
        <f>IF((Berechnung!$B$5-14)&lt;6,NA(),IFERROR(IF(INDEX(Daten_Salden!$A:$ZZ,Berechnung!$C$25,(Berechnung!$B$5-14))="",NA(),INDEX(Daten_Salden!$A:$ZZ,Berechnung!$C$25,(Berechnung!$B$5-14))),NA()))</f>
        <v>15</v>
      </c>
      <c r="P37">
        <f>IFERROR(IF(INDEX(Daten_Salden!$A:$ZZ,Berechnung!$B$25,4)="",NA(),INDEX(Daten_Salden!$A:$ZZ,Berechnung!$B$25,4)),NA())</f>
        <v>-1.4</v>
      </c>
    </row>
    <row r="38" spans="1:16" x14ac:dyDescent="0.25">
      <c r="A38" t="str">
        <f>IF((Berechnung!$B$5-13)&lt;6,"",IF(OR(LEFT(INDEX(Daten_Salden!$1:$1,(Berechnung!$B$5-13)),12)="Jahresbeginn",6=0),RIGHT(INDEX(Daten_Salden!$1:$1,(Berechnung!$B$5-13)),4),""))</f>
        <v/>
      </c>
      <c r="B38">
        <f>IF((Berechnung!$B$5-13)&lt;6,NA(),IFERROR(IF(INDEX(Daten_Salden!$A:$ZZ,Berechnung!$B$21,(Berechnung!$B$5-13))="",NA(),INDEX(Daten_Salden!$A:$ZZ,Berechnung!$B$21,(Berechnung!$B$5-13))),NA()))</f>
        <v>19</v>
      </c>
      <c r="C38">
        <f>IF((Berechnung!$B$5-13)&lt;6,NA(),IFERROR(IF(INDEX(Daten_Salden!$A:$ZZ,Berechnung!$C$21,(Berechnung!$B$5-13))="",NA(),INDEX(Daten_Salden!$A:$ZZ,Berechnung!$C$21,(Berechnung!$B$5-13))),NA()))</f>
        <v>29</v>
      </c>
      <c r="D38">
        <f>IFERROR(IF(INDEX(Daten_Salden!$A:$ZZ,Berechnung!$B$21,4)="",NA(),INDEX(Daten_Salden!$A:$ZZ,Berechnung!$B$21,4)),NA())</f>
        <v>18.585999999999999</v>
      </c>
      <c r="E38">
        <f>IF((Berechnung!$B$5-13)&lt;6,NA(),IFERROR(IF(INDEX(Daten_Salden!$A:$ZZ,Berechnung!$B$22,(Berechnung!$B$5-13))="",NA(),INDEX(Daten_Salden!$A:$ZZ,Berechnung!$B$22,(Berechnung!$B$5-13))),NA()))</f>
        <v>-14</v>
      </c>
      <c r="F38">
        <f>IF((Berechnung!$B$5-13)&lt;6,NA(),IFERROR(IF(INDEX(Daten_Salden!$A:$ZZ,Berechnung!$C$22,(Berechnung!$B$5-13))="",NA(),INDEX(Daten_Salden!$A:$ZZ,Berechnung!$C$22,(Berechnung!$B$5-13))),NA()))</f>
        <v>-23</v>
      </c>
      <c r="G38">
        <f>IFERROR(IF(INDEX(Daten_Salden!$A:$ZZ,Berechnung!$B$22,4)="",NA(),INDEX(Daten_Salden!$A:$ZZ,Berechnung!$B$22,4)),NA())</f>
        <v>1.986</v>
      </c>
      <c r="H38" t="e">
        <f>IF((Berechnung!$B$5-13)&lt;6,NA(),IFERROR(IF(INDEX(Daten_Salden!$A:$ZZ,Berechnung!$B$23,(Berechnung!$B$5-13))="",NA(),INDEX(Daten_Salden!$A:$ZZ,Berechnung!$B$23,(Berechnung!$B$5-13))),NA()))</f>
        <v>#N/A</v>
      </c>
      <c r="I38">
        <f>IF((Berechnung!$B$5-13)&lt;6,NA(),IFERROR(IF(INDEX(Daten_Salden!$A:$ZZ,Berechnung!$C$23,(Berechnung!$B$5-13))="",NA(),INDEX(Daten_Salden!$A:$ZZ,Berechnung!$C$23,(Berechnung!$B$5-13))),NA()))</f>
        <v>-9</v>
      </c>
      <c r="J38" t="e">
        <f>IFERROR(IF(INDEX(Daten_Salden!$A:$ZZ,Berechnung!$B$23,4)="",NA(),INDEX(Daten_Salden!$A:$ZZ,Berechnung!$B$23,4)),NA())</f>
        <v>#N/A</v>
      </c>
      <c r="K38">
        <f>IF((Berechnung!$B$5-13)&lt;6,NA(),IFERROR(IF(INDEX(Daten_Salden!$A:$ZZ,Berechnung!$B$24,(Berechnung!$B$5-13))="",NA(),INDEX(Daten_Salden!$A:$ZZ,Berechnung!$B$24,(Berechnung!$B$5-13))),NA()))</f>
        <v>6</v>
      </c>
      <c r="L38">
        <f>IF((Berechnung!$B$5-13)&lt;6,NA(),IFERROR(IF(INDEX(Daten_Salden!$A:$ZZ,Berechnung!$C$24,(Berechnung!$B$5-13))="",NA(),INDEX(Daten_Salden!$A:$ZZ,Berechnung!$C$24,(Berechnung!$B$5-13))),NA()))</f>
        <v>9</v>
      </c>
      <c r="M38">
        <f>IFERROR(IF(INDEX(Daten_Salden!$A:$ZZ,Berechnung!$B$24,4)="",NA(),INDEX(Daten_Salden!$A:$ZZ,Berechnung!$B$24,4)),NA())</f>
        <v>2.2429999999999999</v>
      </c>
      <c r="N38">
        <f>IF((Berechnung!$B$5-13)&lt;6,NA(),IFERROR(IF(INDEX(Daten_Salden!$A:$ZZ,Berechnung!$B$25,(Berechnung!$B$5-13))="",NA(),INDEX(Daten_Salden!$A:$ZZ,Berechnung!$B$25,(Berechnung!$B$5-13))),NA()))</f>
        <v>5</v>
      </c>
      <c r="O38">
        <f>IF((Berechnung!$B$5-13)&lt;6,NA(),IFERROR(IF(INDEX(Daten_Salden!$A:$ZZ,Berechnung!$C$25,(Berechnung!$B$5-13))="",NA(),INDEX(Daten_Salden!$A:$ZZ,Berechnung!$C$25,(Berechnung!$B$5-13))),NA()))</f>
        <v>8</v>
      </c>
      <c r="P38">
        <f>IFERROR(IF(INDEX(Daten_Salden!$A:$ZZ,Berechnung!$B$25,4)="",NA(),INDEX(Daten_Salden!$A:$ZZ,Berechnung!$B$25,4)),NA())</f>
        <v>-1.4</v>
      </c>
    </row>
    <row r="39" spans="1:16" x14ac:dyDescent="0.25">
      <c r="A39" t="str">
        <f>IF((Berechnung!$B$5-12)&lt;6,"",IF(OR(LEFT(INDEX(Daten_Salden!$1:$1,(Berechnung!$B$5-12)),12)="Jahresbeginn",7=0),RIGHT(INDEX(Daten_Salden!$1:$1,(Berechnung!$B$5-12)),4),""))</f>
        <v/>
      </c>
      <c r="B39">
        <f>IF((Berechnung!$B$5-12)&lt;6,NA(),IFERROR(IF(INDEX(Daten_Salden!$A:$ZZ,Berechnung!$B$21,(Berechnung!$B$5-12))="",NA(),INDEX(Daten_Salden!$A:$ZZ,Berechnung!$B$21,(Berechnung!$B$5-12))),NA()))</f>
        <v>13</v>
      </c>
      <c r="C39">
        <f>IF((Berechnung!$B$5-12)&lt;6,NA(),IFERROR(IF(INDEX(Daten_Salden!$A:$ZZ,Berechnung!$C$21,(Berechnung!$B$5-12))="",NA(),INDEX(Daten_Salden!$A:$ZZ,Berechnung!$C$21,(Berechnung!$B$5-12))),NA()))</f>
        <v>14</v>
      </c>
      <c r="D39">
        <f>IFERROR(IF(INDEX(Daten_Salden!$A:$ZZ,Berechnung!$B$21,4)="",NA(),INDEX(Daten_Salden!$A:$ZZ,Berechnung!$B$21,4)),NA())</f>
        <v>18.585999999999999</v>
      </c>
      <c r="E39">
        <f>IF((Berechnung!$B$5-12)&lt;6,NA(),IFERROR(IF(INDEX(Daten_Salden!$A:$ZZ,Berechnung!$B$22,(Berechnung!$B$5-12))="",NA(),INDEX(Daten_Salden!$A:$ZZ,Berechnung!$B$22,(Berechnung!$B$5-12))),NA()))</f>
        <v>-44</v>
      </c>
      <c r="F39">
        <f>IF((Berechnung!$B$5-12)&lt;6,NA(),IFERROR(IF(INDEX(Daten_Salden!$A:$ZZ,Berechnung!$C$22,(Berechnung!$B$5-12))="",NA(),INDEX(Daten_Salden!$A:$ZZ,Berechnung!$C$22,(Berechnung!$B$5-12))),NA()))</f>
        <v>-46</v>
      </c>
      <c r="G39">
        <f>IFERROR(IF(INDEX(Daten_Salden!$A:$ZZ,Berechnung!$B$22,4)="",NA(),INDEX(Daten_Salden!$A:$ZZ,Berechnung!$B$22,4)),NA())</f>
        <v>1.986</v>
      </c>
      <c r="H39" t="e">
        <f>IF((Berechnung!$B$5-12)&lt;6,NA(),IFERROR(IF(INDEX(Daten_Salden!$A:$ZZ,Berechnung!$B$23,(Berechnung!$B$5-12))="",NA(),INDEX(Daten_Salden!$A:$ZZ,Berechnung!$B$23,(Berechnung!$B$5-12))),NA()))</f>
        <v>#N/A</v>
      </c>
      <c r="I39">
        <f>IF((Berechnung!$B$5-12)&lt;6,NA(),IFERROR(IF(INDEX(Daten_Salden!$A:$ZZ,Berechnung!$C$23,(Berechnung!$B$5-12))="",NA(),INDEX(Daten_Salden!$A:$ZZ,Berechnung!$C$23,(Berechnung!$B$5-12))),NA()))</f>
        <v>-24</v>
      </c>
      <c r="J39" t="e">
        <f>IFERROR(IF(INDEX(Daten_Salden!$A:$ZZ,Berechnung!$B$23,4)="",NA(),INDEX(Daten_Salden!$A:$ZZ,Berechnung!$B$23,4)),NA())</f>
        <v>#N/A</v>
      </c>
      <c r="K39">
        <f>IF((Berechnung!$B$5-12)&lt;6,NA(),IFERROR(IF(INDEX(Daten_Salden!$A:$ZZ,Berechnung!$B$24,(Berechnung!$B$5-12))="",NA(),INDEX(Daten_Salden!$A:$ZZ,Berechnung!$B$24,(Berechnung!$B$5-12))),NA()))</f>
        <v>-10</v>
      </c>
      <c r="L39">
        <f>IF((Berechnung!$B$5-12)&lt;6,NA(),IFERROR(IF(INDEX(Daten_Salden!$A:$ZZ,Berechnung!$C$24,(Berechnung!$B$5-12))="",NA(),INDEX(Daten_Salden!$A:$ZZ,Berechnung!$C$24,(Berechnung!$B$5-12))),NA()))</f>
        <v>-10</v>
      </c>
      <c r="M39">
        <f>IFERROR(IF(INDEX(Daten_Salden!$A:$ZZ,Berechnung!$B$24,4)="",NA(),INDEX(Daten_Salden!$A:$ZZ,Berechnung!$B$24,4)),NA())</f>
        <v>2.2429999999999999</v>
      </c>
      <c r="N39">
        <f>IF((Berechnung!$B$5-12)&lt;6,NA(),IFERROR(IF(INDEX(Daten_Salden!$A:$ZZ,Berechnung!$B$25,(Berechnung!$B$5-12))="",NA(),INDEX(Daten_Salden!$A:$ZZ,Berechnung!$B$25,(Berechnung!$B$5-12))),NA()))</f>
        <v>-7</v>
      </c>
      <c r="O39">
        <f>IF((Berechnung!$B$5-12)&lt;6,NA(),IFERROR(IF(INDEX(Daten_Salden!$A:$ZZ,Berechnung!$C$25,(Berechnung!$B$5-12))="",NA(),INDEX(Daten_Salden!$A:$ZZ,Berechnung!$C$25,(Berechnung!$B$5-12))),NA()))</f>
        <v>-7</v>
      </c>
      <c r="P39">
        <f>IFERROR(IF(INDEX(Daten_Salden!$A:$ZZ,Berechnung!$B$25,4)="",NA(),INDEX(Daten_Salden!$A:$ZZ,Berechnung!$B$25,4)),NA())</f>
        <v>-1.4</v>
      </c>
    </row>
    <row r="40" spans="1:16" x14ac:dyDescent="0.25">
      <c r="A40" t="str">
        <f>IF((Berechnung!$B$5-11)&lt;6,"",IF(OR(LEFT(INDEX(Daten_Salden!$1:$1,(Berechnung!$B$5-11)),12)="Jahresbeginn",8=0),RIGHT(INDEX(Daten_Salden!$1:$1,(Berechnung!$B$5-11)),4),""))</f>
        <v>2023</v>
      </c>
      <c r="B40">
        <f>IF((Berechnung!$B$5-11)&lt;6,NA(),IFERROR(IF(INDEX(Daten_Salden!$A:$ZZ,Berechnung!$B$21,(Berechnung!$B$5-11))="",NA(),INDEX(Daten_Salden!$A:$ZZ,Berechnung!$B$21,(Berechnung!$B$5-11))),NA()))</f>
        <v>19</v>
      </c>
      <c r="C40">
        <f>IF((Berechnung!$B$5-11)&lt;6,NA(),IFERROR(IF(INDEX(Daten_Salden!$A:$ZZ,Berechnung!$C$21,(Berechnung!$B$5-11))="",NA(),INDEX(Daten_Salden!$A:$ZZ,Berechnung!$C$21,(Berechnung!$B$5-11))),NA()))</f>
        <v>21</v>
      </c>
      <c r="D40">
        <f>IFERROR(IF(INDEX(Daten_Salden!$A:$ZZ,Berechnung!$B$21,4)="",NA(),INDEX(Daten_Salden!$A:$ZZ,Berechnung!$B$21,4)),NA())</f>
        <v>18.585999999999999</v>
      </c>
      <c r="E40">
        <f>IF((Berechnung!$B$5-11)&lt;6,NA(),IFERROR(IF(INDEX(Daten_Salden!$A:$ZZ,Berechnung!$B$22,(Berechnung!$B$5-11))="",NA(),INDEX(Daten_Salden!$A:$ZZ,Berechnung!$B$22,(Berechnung!$B$5-11))),NA()))</f>
        <v>-14</v>
      </c>
      <c r="F40">
        <f>IF((Berechnung!$B$5-11)&lt;6,NA(),IFERROR(IF(INDEX(Daten_Salden!$A:$ZZ,Berechnung!$C$22,(Berechnung!$B$5-11))="",NA(),INDEX(Daten_Salden!$A:$ZZ,Berechnung!$C$22,(Berechnung!$B$5-11))),NA()))</f>
        <v>-12</v>
      </c>
      <c r="G40">
        <f>IFERROR(IF(INDEX(Daten_Salden!$A:$ZZ,Berechnung!$B$22,4)="",NA(),INDEX(Daten_Salden!$A:$ZZ,Berechnung!$B$22,4)),NA())</f>
        <v>1.986</v>
      </c>
      <c r="H40" t="e">
        <f>IF((Berechnung!$B$5-11)&lt;6,NA(),IFERROR(IF(INDEX(Daten_Salden!$A:$ZZ,Berechnung!$B$23,(Berechnung!$B$5-11))="",NA(),INDEX(Daten_Salden!$A:$ZZ,Berechnung!$B$23,(Berechnung!$B$5-11))),NA()))</f>
        <v>#N/A</v>
      </c>
      <c r="I40">
        <f>IF((Berechnung!$B$5-11)&lt;6,NA(),IFERROR(IF(INDEX(Daten_Salden!$A:$ZZ,Berechnung!$C$23,(Berechnung!$B$5-11))="",NA(),INDEX(Daten_Salden!$A:$ZZ,Berechnung!$C$23,(Berechnung!$B$5-11))),NA()))</f>
        <v>-1</v>
      </c>
      <c r="J40" t="e">
        <f>IFERROR(IF(INDEX(Daten_Salden!$A:$ZZ,Berechnung!$B$23,4)="",NA(),INDEX(Daten_Salden!$A:$ZZ,Berechnung!$B$23,4)),NA())</f>
        <v>#N/A</v>
      </c>
      <c r="K40">
        <f>IF((Berechnung!$B$5-11)&lt;6,NA(),IFERROR(IF(INDEX(Daten_Salden!$A:$ZZ,Berechnung!$B$24,(Berechnung!$B$5-11))="",NA(),INDEX(Daten_Salden!$A:$ZZ,Berechnung!$B$24,(Berechnung!$B$5-11))),NA()))</f>
        <v>1</v>
      </c>
      <c r="L40">
        <f>IF((Berechnung!$B$5-11)&lt;6,NA(),IFERROR(IF(INDEX(Daten_Salden!$A:$ZZ,Berechnung!$C$24,(Berechnung!$B$5-11))="",NA(),INDEX(Daten_Salden!$A:$ZZ,Berechnung!$C$24,(Berechnung!$B$5-11))),NA()))</f>
        <v>3</v>
      </c>
      <c r="M40">
        <f>IFERROR(IF(INDEX(Daten_Salden!$A:$ZZ,Berechnung!$B$24,4)="",NA(),INDEX(Daten_Salden!$A:$ZZ,Berechnung!$B$24,4)),NA())</f>
        <v>2.2429999999999999</v>
      </c>
      <c r="N40">
        <f>IF((Berechnung!$B$5-11)&lt;6,NA(),IFERROR(IF(INDEX(Daten_Salden!$A:$ZZ,Berechnung!$B$25,(Berechnung!$B$5-11))="",NA(),INDEX(Daten_Salden!$A:$ZZ,Berechnung!$B$25,(Berechnung!$B$5-11))),NA()))</f>
        <v>2</v>
      </c>
      <c r="O40">
        <f>IF((Berechnung!$B$5-11)&lt;6,NA(),IFERROR(IF(INDEX(Daten_Salden!$A:$ZZ,Berechnung!$C$25,(Berechnung!$B$5-11))="",NA(),INDEX(Daten_Salden!$A:$ZZ,Berechnung!$C$25,(Berechnung!$B$5-11))),NA()))</f>
        <v>4</v>
      </c>
      <c r="P40">
        <f>IFERROR(IF(INDEX(Daten_Salden!$A:$ZZ,Berechnung!$B$25,4)="",NA(),INDEX(Daten_Salden!$A:$ZZ,Berechnung!$B$25,4)),NA())</f>
        <v>-1.4</v>
      </c>
    </row>
    <row r="41" spans="1:16" x14ac:dyDescent="0.25">
      <c r="A41" t="str">
        <f>IF((Berechnung!$B$5-10)&lt;6,"",IF(OR(LEFT(INDEX(Daten_Salden!$1:$1,(Berechnung!$B$5-10)),12)="Jahresbeginn",9=0),RIGHT(INDEX(Daten_Salden!$1:$1,(Berechnung!$B$5-10)),4),""))</f>
        <v/>
      </c>
      <c r="B41">
        <f>IF((Berechnung!$B$5-10)&lt;6,NA(),IFERROR(IF(INDEX(Daten_Salden!$A:$ZZ,Berechnung!$B$21,(Berechnung!$B$5-10))="",NA(),INDEX(Daten_Salden!$A:$ZZ,Berechnung!$B$21,(Berechnung!$B$5-10))),NA()))</f>
        <v>19</v>
      </c>
      <c r="C41">
        <f>IF((Berechnung!$B$5-10)&lt;6,NA(),IFERROR(IF(INDEX(Daten_Salden!$A:$ZZ,Berechnung!$C$21,(Berechnung!$B$5-10))="",NA(),INDEX(Daten_Salden!$A:$ZZ,Berechnung!$C$21,(Berechnung!$B$5-10))),NA()))</f>
        <v>19</v>
      </c>
      <c r="D41">
        <f>IFERROR(IF(INDEX(Daten_Salden!$A:$ZZ,Berechnung!$B$21,4)="",NA(),INDEX(Daten_Salden!$A:$ZZ,Berechnung!$B$21,4)),NA())</f>
        <v>18.585999999999999</v>
      </c>
      <c r="E41">
        <f>IF((Berechnung!$B$5-10)&lt;6,NA(),IFERROR(IF(INDEX(Daten_Salden!$A:$ZZ,Berechnung!$B$22,(Berechnung!$B$5-10))="",NA(),INDEX(Daten_Salden!$A:$ZZ,Berechnung!$B$22,(Berechnung!$B$5-10))),NA()))</f>
        <v>-5</v>
      </c>
      <c r="F41">
        <f>IF((Berechnung!$B$5-10)&lt;6,NA(),IFERROR(IF(INDEX(Daten_Salden!$A:$ZZ,Berechnung!$C$22,(Berechnung!$B$5-10))="",NA(),INDEX(Daten_Salden!$A:$ZZ,Berechnung!$C$22,(Berechnung!$B$5-10))),NA()))</f>
        <v>-6</v>
      </c>
      <c r="G41">
        <f>IFERROR(IF(INDEX(Daten_Salden!$A:$ZZ,Berechnung!$B$22,4)="",NA(),INDEX(Daten_Salden!$A:$ZZ,Berechnung!$B$22,4)),NA())</f>
        <v>1.986</v>
      </c>
      <c r="H41" t="e">
        <f>IF((Berechnung!$B$5-10)&lt;6,NA(),IFERROR(IF(INDEX(Daten_Salden!$A:$ZZ,Berechnung!$B$23,(Berechnung!$B$5-10))="",NA(),INDEX(Daten_Salden!$A:$ZZ,Berechnung!$B$23,(Berechnung!$B$5-10))),NA()))</f>
        <v>#N/A</v>
      </c>
      <c r="I41">
        <f>IF((Berechnung!$B$5-10)&lt;6,NA(),IFERROR(IF(INDEX(Daten_Salden!$A:$ZZ,Berechnung!$C$23,(Berechnung!$B$5-10))="",NA(),INDEX(Daten_Salden!$A:$ZZ,Berechnung!$C$23,(Berechnung!$B$5-10))),NA()))</f>
        <v>1</v>
      </c>
      <c r="J41" t="e">
        <f>IFERROR(IF(INDEX(Daten_Salden!$A:$ZZ,Berechnung!$B$23,4)="",NA(),INDEX(Daten_Salden!$A:$ZZ,Berechnung!$B$23,4)),NA())</f>
        <v>#N/A</v>
      </c>
      <c r="K41">
        <f>IF((Berechnung!$B$5-10)&lt;6,NA(),IFERROR(IF(INDEX(Daten_Salden!$A:$ZZ,Berechnung!$B$24,(Berechnung!$B$5-10))="",NA(),INDEX(Daten_Salden!$A:$ZZ,Berechnung!$B$24,(Berechnung!$B$5-10))),NA()))</f>
        <v>4</v>
      </c>
      <c r="L41">
        <f>IF((Berechnung!$B$5-10)&lt;6,NA(),IFERROR(IF(INDEX(Daten_Salden!$A:$ZZ,Berechnung!$C$24,(Berechnung!$B$5-10))="",NA(),INDEX(Daten_Salden!$A:$ZZ,Berechnung!$C$24,(Berechnung!$B$5-10))),NA()))</f>
        <v>7</v>
      </c>
      <c r="M41">
        <f>IFERROR(IF(INDEX(Daten_Salden!$A:$ZZ,Berechnung!$B$24,4)="",NA(),INDEX(Daten_Salden!$A:$ZZ,Berechnung!$B$24,4)),NA())</f>
        <v>2.2429999999999999</v>
      </c>
      <c r="N41">
        <f>IF((Berechnung!$B$5-10)&lt;6,NA(),IFERROR(IF(INDEX(Daten_Salden!$A:$ZZ,Berechnung!$B$25,(Berechnung!$B$5-10))="",NA(),INDEX(Daten_Salden!$A:$ZZ,Berechnung!$B$25,(Berechnung!$B$5-10))),NA()))</f>
        <v>2</v>
      </c>
      <c r="O41">
        <f>IF((Berechnung!$B$5-10)&lt;6,NA(),IFERROR(IF(INDEX(Daten_Salden!$A:$ZZ,Berechnung!$C$25,(Berechnung!$B$5-10))="",NA(),INDEX(Daten_Salden!$A:$ZZ,Berechnung!$C$25,(Berechnung!$B$5-10))),NA()))</f>
        <v>2</v>
      </c>
      <c r="P41">
        <f>IFERROR(IF(INDEX(Daten_Salden!$A:$ZZ,Berechnung!$B$25,4)="",NA(),INDEX(Daten_Salden!$A:$ZZ,Berechnung!$B$25,4)),NA())</f>
        <v>-1.4</v>
      </c>
    </row>
    <row r="42" spans="1:16" x14ac:dyDescent="0.25">
      <c r="A42" t="str">
        <f>IF((Berechnung!$B$5-9)&lt;6,"",IF(OR(LEFT(INDEX(Daten_Salden!$1:$1,(Berechnung!$B$5-9)),12)="Jahresbeginn",10=0),RIGHT(INDEX(Daten_Salden!$1:$1,(Berechnung!$B$5-9)),4),""))</f>
        <v/>
      </c>
      <c r="B42">
        <f>IF((Berechnung!$B$5-9)&lt;6,NA(),IFERROR(IF(INDEX(Daten_Salden!$A:$ZZ,Berechnung!$B$21,(Berechnung!$B$5-9))="",NA(),INDEX(Daten_Salden!$A:$ZZ,Berechnung!$B$21,(Berechnung!$B$5-9))),NA()))</f>
        <v>9</v>
      </c>
      <c r="C42">
        <f>IF((Berechnung!$B$5-9)&lt;6,NA(),IFERROR(IF(INDEX(Daten_Salden!$A:$ZZ,Berechnung!$C$21,(Berechnung!$B$5-9))="",NA(),INDEX(Daten_Salden!$A:$ZZ,Berechnung!$C$21,(Berechnung!$B$5-9))),NA()))</f>
        <v>0</v>
      </c>
      <c r="D42">
        <f>IFERROR(IF(INDEX(Daten_Salden!$A:$ZZ,Berechnung!$B$21,4)="",NA(),INDEX(Daten_Salden!$A:$ZZ,Berechnung!$B$21,4)),NA())</f>
        <v>18.585999999999999</v>
      </c>
      <c r="E42">
        <f>IF((Berechnung!$B$5-9)&lt;6,NA(),IFERROR(IF(INDEX(Daten_Salden!$A:$ZZ,Berechnung!$B$22,(Berechnung!$B$5-9))="",NA(),INDEX(Daten_Salden!$A:$ZZ,Berechnung!$B$22,(Berechnung!$B$5-9))),NA()))</f>
        <v>-22</v>
      </c>
      <c r="F42">
        <f>IF((Berechnung!$B$5-9)&lt;6,NA(),IFERROR(IF(INDEX(Daten_Salden!$A:$ZZ,Berechnung!$C$22,(Berechnung!$B$5-9))="",NA(),INDEX(Daten_Salden!$A:$ZZ,Berechnung!$C$22,(Berechnung!$B$5-9))),NA()))</f>
        <v>-26</v>
      </c>
      <c r="G42">
        <f>IFERROR(IF(INDEX(Daten_Salden!$A:$ZZ,Berechnung!$B$22,4)="",NA(),INDEX(Daten_Salden!$A:$ZZ,Berechnung!$B$22,4)),NA())</f>
        <v>1.986</v>
      </c>
      <c r="H42" t="e">
        <f>IF((Berechnung!$B$5-9)&lt;6,NA(),IFERROR(IF(INDEX(Daten_Salden!$A:$ZZ,Berechnung!$B$23,(Berechnung!$B$5-9))="",NA(),INDEX(Daten_Salden!$A:$ZZ,Berechnung!$B$23,(Berechnung!$B$5-9))),NA()))</f>
        <v>#N/A</v>
      </c>
      <c r="I42">
        <f>IF((Berechnung!$B$5-9)&lt;6,NA(),IFERROR(IF(INDEX(Daten_Salden!$A:$ZZ,Berechnung!$C$23,(Berechnung!$B$5-9))="",NA(),INDEX(Daten_Salden!$A:$ZZ,Berechnung!$C$23,(Berechnung!$B$5-9))),NA()))</f>
        <v>-15</v>
      </c>
      <c r="J42" t="e">
        <f>IFERROR(IF(INDEX(Daten_Salden!$A:$ZZ,Berechnung!$B$23,4)="",NA(),INDEX(Daten_Salden!$A:$ZZ,Berechnung!$B$23,4)),NA())</f>
        <v>#N/A</v>
      </c>
      <c r="K42">
        <f>IF((Berechnung!$B$5-9)&lt;6,NA(),IFERROR(IF(INDEX(Daten_Salden!$A:$ZZ,Berechnung!$B$24,(Berechnung!$B$5-9))="",NA(),INDEX(Daten_Salden!$A:$ZZ,Berechnung!$B$24,(Berechnung!$B$5-9))),NA()))</f>
        <v>-7</v>
      </c>
      <c r="L42">
        <f>IF((Berechnung!$B$5-9)&lt;6,NA(),IFERROR(IF(INDEX(Daten_Salden!$A:$ZZ,Berechnung!$C$24,(Berechnung!$B$5-9))="",NA(),INDEX(Daten_Salden!$A:$ZZ,Berechnung!$C$24,(Berechnung!$B$5-9))),NA()))</f>
        <v>-12</v>
      </c>
      <c r="M42">
        <f>IFERROR(IF(INDEX(Daten_Salden!$A:$ZZ,Berechnung!$B$24,4)="",NA(),INDEX(Daten_Salden!$A:$ZZ,Berechnung!$B$24,4)),NA())</f>
        <v>2.2429999999999999</v>
      </c>
      <c r="N42">
        <f>IF((Berechnung!$B$5-9)&lt;6,NA(),IFERROR(IF(INDEX(Daten_Salden!$A:$ZZ,Berechnung!$B$25,(Berechnung!$B$5-9))="",NA(),INDEX(Daten_Salden!$A:$ZZ,Berechnung!$B$25,(Berechnung!$B$5-9))),NA()))</f>
        <v>-9</v>
      </c>
      <c r="O42">
        <f>IF((Berechnung!$B$5-9)&lt;6,NA(),IFERROR(IF(INDEX(Daten_Salden!$A:$ZZ,Berechnung!$C$25,(Berechnung!$B$5-9))="",NA(),INDEX(Daten_Salden!$A:$ZZ,Berechnung!$C$25,(Berechnung!$B$5-9))),NA()))</f>
        <v>-12</v>
      </c>
      <c r="P42">
        <f>IFERROR(IF(INDEX(Daten_Salden!$A:$ZZ,Berechnung!$B$25,4)="",NA(),INDEX(Daten_Salden!$A:$ZZ,Berechnung!$B$25,4)),NA())</f>
        <v>-1.4</v>
      </c>
    </row>
    <row r="43" spans="1:16" x14ac:dyDescent="0.25">
      <c r="A43" t="str">
        <f>IF((Berechnung!$B$5-8)&lt;6,"",IF(OR(LEFT(INDEX(Daten_Salden!$1:$1,(Berechnung!$B$5-8)),12)="Jahresbeginn",11=0),RIGHT(INDEX(Daten_Salden!$1:$1,(Berechnung!$B$5-8)),4),""))</f>
        <v>2024</v>
      </c>
      <c r="B43">
        <f>IF((Berechnung!$B$5-8)&lt;6,NA(),IFERROR(IF(INDEX(Daten_Salden!$A:$ZZ,Berechnung!$B$21,(Berechnung!$B$5-8))="",NA(),INDEX(Daten_Salden!$A:$ZZ,Berechnung!$B$21,(Berechnung!$B$5-8))),NA()))</f>
        <v>7</v>
      </c>
      <c r="C43">
        <f>IF((Berechnung!$B$5-8)&lt;6,NA(),IFERROR(IF(INDEX(Daten_Salden!$A:$ZZ,Berechnung!$C$21,(Berechnung!$B$5-8))="",NA(),INDEX(Daten_Salden!$A:$ZZ,Berechnung!$C$21,(Berechnung!$B$5-8))),NA()))</f>
        <v>-1</v>
      </c>
      <c r="D43">
        <f>IFERROR(IF(INDEX(Daten_Salden!$A:$ZZ,Berechnung!$B$21,4)="",NA(),INDEX(Daten_Salden!$A:$ZZ,Berechnung!$B$21,4)),NA())</f>
        <v>18.585999999999999</v>
      </c>
      <c r="E43">
        <f>IF((Berechnung!$B$5-8)&lt;6,NA(),IFERROR(IF(INDEX(Daten_Salden!$A:$ZZ,Berechnung!$B$22,(Berechnung!$B$5-8))="",NA(),INDEX(Daten_Salden!$A:$ZZ,Berechnung!$B$22,(Berechnung!$B$5-8))),NA()))</f>
        <v>-21</v>
      </c>
      <c r="F43">
        <f>IF((Berechnung!$B$5-8)&lt;6,NA(),IFERROR(IF(INDEX(Daten_Salden!$A:$ZZ,Berechnung!$C$22,(Berechnung!$B$5-8))="",NA(),INDEX(Daten_Salden!$A:$ZZ,Berechnung!$C$22,(Berechnung!$B$5-8))),NA()))</f>
        <v>-21</v>
      </c>
      <c r="G43">
        <f>IFERROR(IF(INDEX(Daten_Salden!$A:$ZZ,Berechnung!$B$22,4)="",NA(),INDEX(Daten_Salden!$A:$ZZ,Berechnung!$B$22,4)),NA())</f>
        <v>1.986</v>
      </c>
      <c r="H43" t="e">
        <f>IF((Berechnung!$B$5-8)&lt;6,NA(),IFERROR(IF(INDEX(Daten_Salden!$A:$ZZ,Berechnung!$B$23,(Berechnung!$B$5-8))="",NA(),INDEX(Daten_Salden!$A:$ZZ,Berechnung!$B$23,(Berechnung!$B$5-8))),NA()))</f>
        <v>#N/A</v>
      </c>
      <c r="I43">
        <f>IF((Berechnung!$B$5-8)&lt;6,NA(),IFERROR(IF(INDEX(Daten_Salden!$A:$ZZ,Berechnung!$C$23,(Berechnung!$B$5-8))="",NA(),INDEX(Daten_Salden!$A:$ZZ,Berechnung!$C$23,(Berechnung!$B$5-8))),NA()))</f>
        <v>-7</v>
      </c>
      <c r="J43" t="e">
        <f>IFERROR(IF(INDEX(Daten_Salden!$A:$ZZ,Berechnung!$B$23,4)="",NA(),INDEX(Daten_Salden!$A:$ZZ,Berechnung!$B$23,4)),NA())</f>
        <v>#N/A</v>
      </c>
      <c r="K43">
        <f>IF((Berechnung!$B$5-8)&lt;6,NA(),IFERROR(IF(INDEX(Daten_Salden!$A:$ZZ,Berechnung!$B$24,(Berechnung!$B$5-8))="",NA(),INDEX(Daten_Salden!$A:$ZZ,Berechnung!$B$24,(Berechnung!$B$5-8))),NA()))</f>
        <v>-9</v>
      </c>
      <c r="L43">
        <f>IF((Berechnung!$B$5-8)&lt;6,NA(),IFERROR(IF(INDEX(Daten_Salden!$A:$ZZ,Berechnung!$C$24,(Berechnung!$B$5-8))="",NA(),INDEX(Daten_Salden!$A:$ZZ,Berechnung!$C$24,(Berechnung!$B$5-8))),NA()))</f>
        <v>-11</v>
      </c>
      <c r="M43">
        <f>IFERROR(IF(INDEX(Daten_Salden!$A:$ZZ,Berechnung!$B$24,4)="",NA(),INDEX(Daten_Salden!$A:$ZZ,Berechnung!$B$24,4)),NA())</f>
        <v>2.2429999999999999</v>
      </c>
      <c r="N43">
        <f>IF((Berechnung!$B$5-8)&lt;6,NA(),IFERROR(IF(INDEX(Daten_Salden!$A:$ZZ,Berechnung!$B$25,(Berechnung!$B$5-8))="",NA(),INDEX(Daten_Salden!$A:$ZZ,Berechnung!$B$25,(Berechnung!$B$5-8))),NA()))</f>
        <v>-8</v>
      </c>
      <c r="O43">
        <f>IF((Berechnung!$B$5-8)&lt;6,NA(),IFERROR(IF(INDEX(Daten_Salden!$A:$ZZ,Berechnung!$C$25,(Berechnung!$B$5-8))="",NA(),INDEX(Daten_Salden!$A:$ZZ,Berechnung!$C$25,(Berechnung!$B$5-8))),NA()))</f>
        <v>-13</v>
      </c>
      <c r="P43">
        <f>IFERROR(IF(INDEX(Daten_Salden!$A:$ZZ,Berechnung!$B$25,4)="",NA(),INDEX(Daten_Salden!$A:$ZZ,Berechnung!$B$25,4)),NA())</f>
        <v>-1.4</v>
      </c>
    </row>
    <row r="44" spans="1:16" x14ac:dyDescent="0.25">
      <c r="A44" t="str">
        <f>IF((Berechnung!$B$5-7)&lt;6,"",IF(OR(LEFT(INDEX(Daten_Salden!$1:$1,(Berechnung!$B$5-7)),12)="Jahresbeginn",12=0),RIGHT(INDEX(Daten_Salden!$1:$1,(Berechnung!$B$5-7)),4),""))</f>
        <v/>
      </c>
      <c r="B44">
        <f>IF((Berechnung!$B$5-7)&lt;6,NA(),IFERROR(IF(INDEX(Daten_Salden!$A:$ZZ,Berechnung!$B$21,(Berechnung!$B$5-7))="",NA(),INDEX(Daten_Salden!$A:$ZZ,Berechnung!$B$21,(Berechnung!$B$5-7))),NA()))</f>
        <v>5</v>
      </c>
      <c r="C44">
        <f>IF((Berechnung!$B$5-7)&lt;6,NA(),IFERROR(IF(INDEX(Daten_Salden!$A:$ZZ,Berechnung!$C$21,(Berechnung!$B$5-7))="",NA(),INDEX(Daten_Salden!$A:$ZZ,Berechnung!$C$21,(Berechnung!$B$5-7))),NA()))</f>
        <v>-5</v>
      </c>
      <c r="D44">
        <f>IFERROR(IF(INDEX(Daten_Salden!$A:$ZZ,Berechnung!$B$21,4)="",NA(),INDEX(Daten_Salden!$A:$ZZ,Berechnung!$B$21,4)),NA())</f>
        <v>18.585999999999999</v>
      </c>
      <c r="E44">
        <f>IF((Berechnung!$B$5-7)&lt;6,NA(),IFERROR(IF(INDEX(Daten_Salden!$A:$ZZ,Berechnung!$B$22,(Berechnung!$B$5-7))="",NA(),INDEX(Daten_Salden!$A:$ZZ,Berechnung!$B$22,(Berechnung!$B$5-7))),NA()))</f>
        <v>-10</v>
      </c>
      <c r="F44">
        <f>IF((Berechnung!$B$5-7)&lt;6,NA(),IFERROR(IF(INDEX(Daten_Salden!$A:$ZZ,Berechnung!$C$22,(Berechnung!$B$5-7))="",NA(),INDEX(Daten_Salden!$A:$ZZ,Berechnung!$C$22,(Berechnung!$B$5-7))),NA()))</f>
        <v>-11</v>
      </c>
      <c r="G44">
        <f>IFERROR(IF(INDEX(Daten_Salden!$A:$ZZ,Berechnung!$B$22,4)="",NA(),INDEX(Daten_Salden!$A:$ZZ,Berechnung!$B$22,4)),NA())</f>
        <v>1.986</v>
      </c>
      <c r="H44" t="e">
        <f>IF((Berechnung!$B$5-7)&lt;6,NA(),IFERROR(IF(INDEX(Daten_Salden!$A:$ZZ,Berechnung!$B$23,(Berechnung!$B$5-7))="",NA(),INDEX(Daten_Salden!$A:$ZZ,Berechnung!$B$23,(Berechnung!$B$5-7))),NA()))</f>
        <v>#N/A</v>
      </c>
      <c r="I44">
        <f>IF((Berechnung!$B$5-7)&lt;6,NA(),IFERROR(IF(INDEX(Daten_Salden!$A:$ZZ,Berechnung!$C$23,(Berechnung!$B$5-7))="",NA(),INDEX(Daten_Salden!$A:$ZZ,Berechnung!$C$23,(Berechnung!$B$5-7))),NA()))</f>
        <v>-5</v>
      </c>
      <c r="J44" t="e">
        <f>IFERROR(IF(INDEX(Daten_Salden!$A:$ZZ,Berechnung!$B$23,4)="",NA(),INDEX(Daten_Salden!$A:$ZZ,Berechnung!$B$23,4)),NA())</f>
        <v>#N/A</v>
      </c>
      <c r="K44">
        <f>IF((Berechnung!$B$5-7)&lt;6,NA(),IFERROR(IF(INDEX(Daten_Salden!$A:$ZZ,Berechnung!$B$24,(Berechnung!$B$5-7))="",NA(),INDEX(Daten_Salden!$A:$ZZ,Berechnung!$B$24,(Berechnung!$B$5-7))),NA()))</f>
        <v>-7</v>
      </c>
      <c r="L44">
        <f>IF((Berechnung!$B$5-7)&lt;6,NA(),IFERROR(IF(INDEX(Daten_Salden!$A:$ZZ,Berechnung!$C$24,(Berechnung!$B$5-7))="",NA(),INDEX(Daten_Salden!$A:$ZZ,Berechnung!$C$24,(Berechnung!$B$5-7))),NA()))</f>
        <v>-10</v>
      </c>
      <c r="M44">
        <f>IFERROR(IF(INDEX(Daten_Salden!$A:$ZZ,Berechnung!$B$24,4)="",NA(),INDEX(Daten_Salden!$A:$ZZ,Berechnung!$B$24,4)),NA())</f>
        <v>2.2429999999999999</v>
      </c>
      <c r="N44">
        <f>IF((Berechnung!$B$5-7)&lt;6,NA(),IFERROR(IF(INDEX(Daten_Salden!$A:$ZZ,Berechnung!$B$25,(Berechnung!$B$5-7))="",NA(),INDEX(Daten_Salden!$A:$ZZ,Berechnung!$B$25,(Berechnung!$B$5-7))),NA()))</f>
        <v>-7</v>
      </c>
      <c r="O44">
        <f>IF((Berechnung!$B$5-7)&lt;6,NA(),IFERROR(IF(INDEX(Daten_Salden!$A:$ZZ,Berechnung!$C$25,(Berechnung!$B$5-7))="",NA(),INDEX(Daten_Salden!$A:$ZZ,Berechnung!$C$25,(Berechnung!$B$5-7))),NA()))</f>
        <v>-14</v>
      </c>
      <c r="P44">
        <f>IFERROR(IF(INDEX(Daten_Salden!$A:$ZZ,Berechnung!$B$25,4)="",NA(),INDEX(Daten_Salden!$A:$ZZ,Berechnung!$B$25,4)),NA())</f>
        <v>-1.4</v>
      </c>
    </row>
    <row r="45" spans="1:16" x14ac:dyDescent="0.25">
      <c r="A45" t="str">
        <f>IF((Berechnung!$B$5-6)&lt;6,"",IF(OR(LEFT(INDEX(Daten_Salden!$1:$1,(Berechnung!$B$5-6)),12)="Jahresbeginn",13=0),RIGHT(INDEX(Daten_Salden!$1:$1,(Berechnung!$B$5-6)),4),""))</f>
        <v/>
      </c>
      <c r="B45">
        <f>IF((Berechnung!$B$5-6)&lt;6,NA(),IFERROR(IF(INDEX(Daten_Salden!$A:$ZZ,Berechnung!$B$21,(Berechnung!$B$5-6))="",NA(),INDEX(Daten_Salden!$A:$ZZ,Berechnung!$B$21,(Berechnung!$B$5-6))),NA()))</f>
        <v>1</v>
      </c>
      <c r="C45">
        <f>IF((Berechnung!$B$5-6)&lt;6,NA(),IFERROR(IF(INDEX(Daten_Salden!$A:$ZZ,Berechnung!$C$21,(Berechnung!$B$5-6))="",NA(),INDEX(Daten_Salden!$A:$ZZ,Berechnung!$C$21,(Berechnung!$B$5-6))),NA()))</f>
        <v>-16</v>
      </c>
      <c r="D45">
        <f>IFERROR(IF(INDEX(Daten_Salden!$A:$ZZ,Berechnung!$B$21,4)="",NA(),INDEX(Daten_Salden!$A:$ZZ,Berechnung!$B$21,4)),NA())</f>
        <v>18.585999999999999</v>
      </c>
      <c r="E45">
        <f>IF((Berechnung!$B$5-6)&lt;6,NA(),IFERROR(IF(INDEX(Daten_Salden!$A:$ZZ,Berechnung!$B$22,(Berechnung!$B$5-6))="",NA(),INDEX(Daten_Salden!$A:$ZZ,Berechnung!$B$22,(Berechnung!$B$5-6))),NA()))</f>
        <v>-18</v>
      </c>
      <c r="F45">
        <f>IF((Berechnung!$B$5-6)&lt;6,NA(),IFERROR(IF(INDEX(Daten_Salden!$A:$ZZ,Berechnung!$C$22,(Berechnung!$B$5-6))="",NA(),INDEX(Daten_Salden!$A:$ZZ,Berechnung!$C$22,(Berechnung!$B$5-6))),NA()))</f>
        <v>-19</v>
      </c>
      <c r="G45">
        <f>IFERROR(IF(INDEX(Daten_Salden!$A:$ZZ,Berechnung!$B$22,4)="",NA(),INDEX(Daten_Salden!$A:$ZZ,Berechnung!$B$22,4)),NA())</f>
        <v>1.986</v>
      </c>
      <c r="H45" t="e">
        <f>IF((Berechnung!$B$5-6)&lt;6,NA(),IFERROR(IF(INDEX(Daten_Salden!$A:$ZZ,Berechnung!$B$23,(Berechnung!$B$5-6))="",NA(),INDEX(Daten_Salden!$A:$ZZ,Berechnung!$B$23,(Berechnung!$B$5-6))),NA()))</f>
        <v>#N/A</v>
      </c>
      <c r="I45">
        <f>IF((Berechnung!$B$5-6)&lt;6,NA(),IFERROR(IF(INDEX(Daten_Salden!$A:$ZZ,Berechnung!$C$23,(Berechnung!$B$5-6))="",NA(),INDEX(Daten_Salden!$A:$ZZ,Berechnung!$C$23,(Berechnung!$B$5-6))),NA()))</f>
        <v>-12</v>
      </c>
      <c r="J45" t="e">
        <f>IFERROR(IF(INDEX(Daten_Salden!$A:$ZZ,Berechnung!$B$23,4)="",NA(),INDEX(Daten_Salden!$A:$ZZ,Berechnung!$B$23,4)),NA())</f>
        <v>#N/A</v>
      </c>
      <c r="K45">
        <f>IF((Berechnung!$B$5-6)&lt;6,NA(),IFERROR(IF(INDEX(Daten_Salden!$A:$ZZ,Berechnung!$B$24,(Berechnung!$B$5-6))="",NA(),INDEX(Daten_Salden!$A:$ZZ,Berechnung!$B$24,(Berechnung!$B$5-6))),NA()))</f>
        <v>-10</v>
      </c>
      <c r="L45">
        <f>IF((Berechnung!$B$5-6)&lt;6,NA(),IFERROR(IF(INDEX(Daten_Salden!$A:$ZZ,Berechnung!$C$24,(Berechnung!$B$5-6))="",NA(),INDEX(Daten_Salden!$A:$ZZ,Berechnung!$C$24,(Berechnung!$B$5-6))),NA()))</f>
        <v>-17</v>
      </c>
      <c r="M45">
        <f>IFERROR(IF(INDEX(Daten_Salden!$A:$ZZ,Berechnung!$B$24,4)="",NA(),INDEX(Daten_Salden!$A:$ZZ,Berechnung!$B$24,4)),NA())</f>
        <v>2.2429999999999999</v>
      </c>
      <c r="N45">
        <f>IF((Berechnung!$B$5-6)&lt;6,NA(),IFERROR(IF(INDEX(Daten_Salden!$A:$ZZ,Berechnung!$B$25,(Berechnung!$B$5-6))="",NA(),INDEX(Daten_Salden!$A:$ZZ,Berechnung!$B$25,(Berechnung!$B$5-6))),NA()))</f>
        <v>-12</v>
      </c>
      <c r="O45">
        <f>IF((Berechnung!$B$5-6)&lt;6,NA(),IFERROR(IF(INDEX(Daten_Salden!$A:$ZZ,Berechnung!$C$25,(Berechnung!$B$5-6))="",NA(),INDEX(Daten_Salden!$A:$ZZ,Berechnung!$C$25,(Berechnung!$B$5-6))),NA()))</f>
        <v>-20</v>
      </c>
      <c r="P45">
        <f>IFERROR(IF(INDEX(Daten_Salden!$A:$ZZ,Berechnung!$B$25,4)="",NA(),INDEX(Daten_Salden!$A:$ZZ,Berechnung!$B$25,4)),NA())</f>
        <v>-1.4</v>
      </c>
    </row>
    <row r="46" spans="1:16" x14ac:dyDescent="0.25">
      <c r="A46" t="str">
        <f>IF((Berechnung!$B$5-5)&lt;6,"",IF(OR(LEFT(INDEX(Daten_Salden!$1:$1,(Berechnung!$B$5-5)),12)="Jahresbeginn",14=0),RIGHT(INDEX(Daten_Salden!$1:$1,(Berechnung!$B$5-5)),4),""))</f>
        <v>2025</v>
      </c>
      <c r="B46">
        <f>IF((Berechnung!$B$5-5)&lt;6,NA(),IFERROR(IF(INDEX(Daten_Salden!$A:$ZZ,Berechnung!$B$21,(Berechnung!$B$5-5))="",NA(),INDEX(Daten_Salden!$A:$ZZ,Berechnung!$B$21,(Berechnung!$B$5-5))),NA()))</f>
        <v>1</v>
      </c>
      <c r="C46">
        <f>IF((Berechnung!$B$5-5)&lt;6,NA(),IFERROR(IF(INDEX(Daten_Salden!$A:$ZZ,Berechnung!$C$21,(Berechnung!$B$5-5))="",NA(),INDEX(Daten_Salden!$A:$ZZ,Berechnung!$C$21,(Berechnung!$B$5-5))),NA()))</f>
        <v>-14</v>
      </c>
      <c r="D46">
        <f>IFERROR(IF(INDEX(Daten_Salden!$A:$ZZ,Berechnung!$B$21,4)="",NA(),INDEX(Daten_Salden!$A:$ZZ,Berechnung!$B$21,4)),NA())</f>
        <v>18.585999999999999</v>
      </c>
      <c r="E46">
        <f>IF((Berechnung!$B$5-5)&lt;6,NA(),IFERROR(IF(INDEX(Daten_Salden!$A:$ZZ,Berechnung!$B$22,(Berechnung!$B$5-5))="",NA(),INDEX(Daten_Salden!$A:$ZZ,Berechnung!$B$22,(Berechnung!$B$5-5))),NA()))</f>
        <v>-17</v>
      </c>
      <c r="F46">
        <f>IF((Berechnung!$B$5-5)&lt;6,NA(),IFERROR(IF(INDEX(Daten_Salden!$A:$ZZ,Berechnung!$C$22,(Berechnung!$B$5-5))="",NA(),INDEX(Daten_Salden!$A:$ZZ,Berechnung!$C$22,(Berechnung!$B$5-5))),NA()))</f>
        <v>-17</v>
      </c>
      <c r="G46">
        <f>IFERROR(IF(INDEX(Daten_Salden!$A:$ZZ,Berechnung!$B$22,4)="",NA(),INDEX(Daten_Salden!$A:$ZZ,Berechnung!$B$22,4)),NA())</f>
        <v>1.986</v>
      </c>
      <c r="H46" t="e">
        <f>IF((Berechnung!$B$5-5)&lt;6,NA(),IFERROR(IF(INDEX(Daten_Salden!$A:$ZZ,Berechnung!$B$23,(Berechnung!$B$5-5))="",NA(),INDEX(Daten_Salden!$A:$ZZ,Berechnung!$B$23,(Berechnung!$B$5-5))),NA()))</f>
        <v>#N/A</v>
      </c>
      <c r="I46">
        <f>IF((Berechnung!$B$5-5)&lt;6,NA(),IFERROR(IF(INDEX(Daten_Salden!$A:$ZZ,Berechnung!$C$23,(Berechnung!$B$5-5))="",NA(),INDEX(Daten_Salden!$A:$ZZ,Berechnung!$C$23,(Berechnung!$B$5-5))),NA()))</f>
        <v>-8</v>
      </c>
      <c r="J46" t="e">
        <f>IFERROR(IF(INDEX(Daten_Salden!$A:$ZZ,Berechnung!$B$23,4)="",NA(),INDEX(Daten_Salden!$A:$ZZ,Berechnung!$B$23,4)),NA())</f>
        <v>#N/A</v>
      </c>
      <c r="K46">
        <f>IF((Berechnung!$B$5-5)&lt;6,NA(),IFERROR(IF(INDEX(Daten_Salden!$A:$ZZ,Berechnung!$B$24,(Berechnung!$B$5-5))="",NA(),INDEX(Daten_Salden!$A:$ZZ,Berechnung!$B$24,(Berechnung!$B$5-5))),NA()))</f>
        <v>-10</v>
      </c>
      <c r="L46">
        <f>IF((Berechnung!$B$5-5)&lt;6,NA(),IFERROR(IF(INDEX(Daten_Salden!$A:$ZZ,Berechnung!$C$24,(Berechnung!$B$5-5))="",NA(),INDEX(Daten_Salden!$A:$ZZ,Berechnung!$C$24,(Berechnung!$B$5-5))),NA()))</f>
        <v>-17</v>
      </c>
      <c r="M46">
        <f>IFERROR(IF(INDEX(Daten_Salden!$A:$ZZ,Berechnung!$B$24,4)="",NA(),INDEX(Daten_Salden!$A:$ZZ,Berechnung!$B$24,4)),NA())</f>
        <v>2.2429999999999999</v>
      </c>
      <c r="N46">
        <f>IF((Berechnung!$B$5-5)&lt;6,NA(),IFERROR(IF(INDEX(Daten_Salden!$A:$ZZ,Berechnung!$B$25,(Berechnung!$B$5-5))="",NA(),INDEX(Daten_Salden!$A:$ZZ,Berechnung!$B$25,(Berechnung!$B$5-5))),NA()))</f>
        <v>-10</v>
      </c>
      <c r="O46">
        <f>IF((Berechnung!$B$5-5)&lt;6,NA(),IFERROR(IF(INDEX(Daten_Salden!$A:$ZZ,Berechnung!$C$25,(Berechnung!$B$5-5))="",NA(),INDEX(Daten_Salden!$A:$ZZ,Berechnung!$C$25,(Berechnung!$B$5-5))),NA()))</f>
        <v>-19</v>
      </c>
      <c r="P46">
        <f>IFERROR(IF(INDEX(Daten_Salden!$A:$ZZ,Berechnung!$B$25,4)="",NA(),INDEX(Daten_Salden!$A:$ZZ,Berechnung!$B$25,4)),NA())</f>
        <v>-1.4</v>
      </c>
    </row>
    <row r="47" spans="1:16" x14ac:dyDescent="0.25">
      <c r="A47" t="str">
        <f>IF((Berechnung!$B$5-4)&lt;6,"",IF(OR(LEFT(INDEX(Daten_Salden!$1:$1,(Berechnung!$B$5-4)),12)="Jahresbeginn",15=0),RIGHT(INDEX(Daten_Salden!$1:$1,(Berechnung!$B$5-4)),4),""))</f>
        <v/>
      </c>
      <c r="B47">
        <f>IF((Berechnung!$B$5-4)&lt;6,NA(),IFERROR(IF(INDEX(Daten_Salden!$A:$ZZ,Berechnung!$B$21,(Berechnung!$B$5-4))="",NA(),INDEX(Daten_Salden!$A:$ZZ,Berechnung!$B$21,(Berechnung!$B$5-4))),NA()))</f>
        <v>0</v>
      </c>
      <c r="C47">
        <f>IF((Berechnung!$B$5-4)&lt;6,NA(),IFERROR(IF(INDEX(Daten_Salden!$A:$ZZ,Berechnung!$C$21,(Berechnung!$B$5-4))="",NA(),INDEX(Daten_Salden!$A:$ZZ,Berechnung!$C$21,(Berechnung!$B$5-4))),NA()))</f>
        <v>-11</v>
      </c>
      <c r="D47">
        <f>IFERROR(IF(INDEX(Daten_Salden!$A:$ZZ,Berechnung!$B$21,4)="",NA(),INDEX(Daten_Salden!$A:$ZZ,Berechnung!$B$21,4)),NA())</f>
        <v>18.585999999999999</v>
      </c>
      <c r="E47">
        <f>IF((Berechnung!$B$5-4)&lt;6,NA(),IFERROR(IF(INDEX(Daten_Salden!$A:$ZZ,Berechnung!$B$22,(Berechnung!$B$5-4))="",NA(),INDEX(Daten_Salden!$A:$ZZ,Berechnung!$B$22,(Berechnung!$B$5-4))),NA()))</f>
        <v>-10</v>
      </c>
      <c r="F47">
        <f>IF((Berechnung!$B$5-4)&lt;6,NA(),IFERROR(IF(INDEX(Daten_Salden!$A:$ZZ,Berechnung!$C$22,(Berechnung!$B$5-4))="",NA(),INDEX(Daten_Salden!$A:$ZZ,Berechnung!$C$22,(Berechnung!$B$5-4))),NA()))</f>
        <v>-8</v>
      </c>
      <c r="G47">
        <f>IFERROR(IF(INDEX(Daten_Salden!$A:$ZZ,Berechnung!$B$22,4)="",NA(),INDEX(Daten_Salden!$A:$ZZ,Berechnung!$B$22,4)),NA())</f>
        <v>1.986</v>
      </c>
      <c r="H47" t="e">
        <f>IF((Berechnung!$B$5-4)&lt;6,NA(),IFERROR(IF(INDEX(Daten_Salden!$A:$ZZ,Berechnung!$B$23,(Berechnung!$B$5-4))="",NA(),INDEX(Daten_Salden!$A:$ZZ,Berechnung!$B$23,(Berechnung!$B$5-4))),NA()))</f>
        <v>#N/A</v>
      </c>
      <c r="I47">
        <f>IF((Berechnung!$B$5-4)&lt;6,NA(),IFERROR(IF(INDEX(Daten_Salden!$A:$ZZ,Berechnung!$C$23,(Berechnung!$B$5-4))="",NA(),INDEX(Daten_Salden!$A:$ZZ,Berechnung!$C$23,(Berechnung!$B$5-4))),NA()))</f>
        <v>-10</v>
      </c>
      <c r="J47" t="e">
        <f>IFERROR(IF(INDEX(Daten_Salden!$A:$ZZ,Berechnung!$B$23,4)="",NA(),INDEX(Daten_Salden!$A:$ZZ,Berechnung!$B$23,4)),NA())</f>
        <v>#N/A</v>
      </c>
      <c r="K47">
        <f>IF((Berechnung!$B$5-4)&lt;6,NA(),IFERROR(IF(INDEX(Daten_Salden!$A:$ZZ,Berechnung!$B$24,(Berechnung!$B$5-4))="",NA(),INDEX(Daten_Salden!$A:$ZZ,Berechnung!$B$24,(Berechnung!$B$5-4))),NA()))</f>
        <v>-7</v>
      </c>
      <c r="L47">
        <f>IF((Berechnung!$B$5-4)&lt;6,NA(),IFERROR(IF(INDEX(Daten_Salden!$A:$ZZ,Berechnung!$C$24,(Berechnung!$B$5-4))="",NA(),INDEX(Daten_Salden!$A:$ZZ,Berechnung!$C$24,(Berechnung!$B$5-4))),NA()))</f>
        <v>-12</v>
      </c>
      <c r="M47">
        <f>IFERROR(IF(INDEX(Daten_Salden!$A:$ZZ,Berechnung!$B$24,4)="",NA(),INDEX(Daten_Salden!$A:$ZZ,Berechnung!$B$24,4)),NA())</f>
        <v>2.2429999999999999</v>
      </c>
      <c r="N47">
        <f>IF((Berechnung!$B$5-4)&lt;6,NA(),IFERROR(IF(INDEX(Daten_Salden!$A:$ZZ,Berechnung!$B$25,(Berechnung!$B$5-4))="",NA(),INDEX(Daten_Salden!$A:$ZZ,Berechnung!$B$25,(Berechnung!$B$5-4))),NA()))</f>
        <v>-9</v>
      </c>
      <c r="O47">
        <f>IF((Berechnung!$B$5-4)&lt;6,NA(),IFERROR(IF(INDEX(Daten_Salden!$A:$ZZ,Berechnung!$C$25,(Berechnung!$B$5-4))="",NA(),INDEX(Daten_Salden!$A:$ZZ,Berechnung!$C$25,(Berechnung!$B$5-4))),NA()))</f>
        <v>-17</v>
      </c>
      <c r="P47">
        <f>IFERROR(IF(INDEX(Daten_Salden!$A:$ZZ,Berechnung!$B$25,4)="",NA(),INDEX(Daten_Salden!$A:$ZZ,Berechnung!$B$25,4)),NA())</f>
        <v>-1.4</v>
      </c>
    </row>
    <row r="48" spans="1:16" x14ac:dyDescent="0.25">
      <c r="A48" t="str">
        <f>IF((Berechnung!$B$5-3)&lt;6,"",IF(OR(LEFT(INDEX(Daten_Salden!$1:$1,(Berechnung!$B$5-3)),12)="Jahresbeginn",16=0),RIGHT(INDEX(Daten_Salden!$1:$1,(Berechnung!$B$5-3)),4),""))</f>
        <v/>
      </c>
      <c r="B48">
        <f>IF((Berechnung!$B$5-3)&lt;6,NA(),IFERROR(IF(INDEX(Daten_Salden!$A:$ZZ,Berechnung!$B$21,(Berechnung!$B$5-3))="",NA(),INDEX(Daten_Salden!$A:$ZZ,Berechnung!$B$21,(Berechnung!$B$5-3))),NA()))</f>
        <v>0</v>
      </c>
      <c r="C48">
        <f>IF((Berechnung!$B$5-3)&lt;6,NA(),IFERROR(IF(INDEX(Daten_Salden!$A:$ZZ,Berechnung!$C$21,(Berechnung!$B$5-3))="",NA(),INDEX(Daten_Salden!$A:$ZZ,Berechnung!$C$21,(Berechnung!$B$5-3))),NA()))</f>
        <v>-15</v>
      </c>
      <c r="D48">
        <f>IFERROR(IF(INDEX(Daten_Salden!$A:$ZZ,Berechnung!$B$21,4)="",NA(),INDEX(Daten_Salden!$A:$ZZ,Berechnung!$B$21,4)),NA())</f>
        <v>18.585999999999999</v>
      </c>
      <c r="E48">
        <f>IF((Berechnung!$B$5-3)&lt;6,NA(),IFERROR(IF(INDEX(Daten_Salden!$A:$ZZ,Berechnung!$B$22,(Berechnung!$B$5-3))="",NA(),INDEX(Daten_Salden!$A:$ZZ,Berechnung!$B$22,(Berechnung!$B$5-3))),NA()))</f>
        <v>-12</v>
      </c>
      <c r="F48">
        <f>IF((Berechnung!$B$5-3)&lt;6,NA(),IFERROR(IF(INDEX(Daten_Salden!$A:$ZZ,Berechnung!$C$22,(Berechnung!$B$5-3))="",NA(),INDEX(Daten_Salden!$A:$ZZ,Berechnung!$C$22,(Berechnung!$B$5-3))),NA()))</f>
        <v>-9</v>
      </c>
      <c r="G48">
        <f>IFERROR(IF(INDEX(Daten_Salden!$A:$ZZ,Berechnung!$B$22,4)="",NA(),INDEX(Daten_Salden!$A:$ZZ,Berechnung!$B$22,4)),NA())</f>
        <v>1.986</v>
      </c>
      <c r="H48" t="e">
        <f>IF((Berechnung!$B$5-3)&lt;6,NA(),IFERROR(IF(INDEX(Daten_Salden!$A:$ZZ,Berechnung!$B$23,(Berechnung!$B$5-3))="",NA(),INDEX(Daten_Salden!$A:$ZZ,Berechnung!$B$23,(Berechnung!$B$5-3))),NA()))</f>
        <v>#N/A</v>
      </c>
      <c r="I48">
        <f>IF((Berechnung!$B$5-3)&lt;6,NA(),IFERROR(IF(INDEX(Daten_Salden!$A:$ZZ,Berechnung!$C$23,(Berechnung!$B$5-3))="",NA(),INDEX(Daten_Salden!$A:$ZZ,Berechnung!$C$23,(Berechnung!$B$5-3))),NA()))</f>
        <v>-10</v>
      </c>
      <c r="J48" t="e">
        <f>IFERROR(IF(INDEX(Daten_Salden!$A:$ZZ,Berechnung!$B$23,4)="",NA(),INDEX(Daten_Salden!$A:$ZZ,Berechnung!$B$23,4)),NA())</f>
        <v>#N/A</v>
      </c>
      <c r="K48">
        <f>IF((Berechnung!$B$5-3)&lt;6,NA(),IFERROR(IF(INDEX(Daten_Salden!$A:$ZZ,Berechnung!$B$24,(Berechnung!$B$5-3))="",NA(),INDEX(Daten_Salden!$A:$ZZ,Berechnung!$B$24,(Berechnung!$B$5-3))),NA()))</f>
        <v>-9</v>
      </c>
      <c r="L48">
        <f>IF((Berechnung!$B$5-3)&lt;6,NA(),IFERROR(IF(INDEX(Daten_Salden!$A:$ZZ,Berechnung!$C$24,(Berechnung!$B$5-3))="",NA(),INDEX(Daten_Salden!$A:$ZZ,Berechnung!$C$24,(Berechnung!$B$5-3))),NA()))</f>
        <v>-16</v>
      </c>
      <c r="M48">
        <f>IFERROR(IF(INDEX(Daten_Salden!$A:$ZZ,Berechnung!$B$24,4)="",NA(),INDEX(Daten_Salden!$A:$ZZ,Berechnung!$B$24,4)),NA())</f>
        <v>2.2429999999999999</v>
      </c>
      <c r="N48">
        <f>IF((Berechnung!$B$5-3)&lt;6,NA(),IFERROR(IF(INDEX(Daten_Salden!$A:$ZZ,Berechnung!$B$25,(Berechnung!$B$5-3))="",NA(),INDEX(Daten_Salden!$A:$ZZ,Berechnung!$B$25,(Berechnung!$B$5-3))),NA()))</f>
        <v>-13</v>
      </c>
      <c r="O48">
        <f>IF((Berechnung!$B$5-3)&lt;6,NA(),IFERROR(IF(INDEX(Daten_Salden!$A:$ZZ,Berechnung!$C$25,(Berechnung!$B$5-3))="",NA(),INDEX(Daten_Salden!$A:$ZZ,Berechnung!$C$25,(Berechnung!$B$5-3))),NA()))</f>
        <v>-21</v>
      </c>
      <c r="P48">
        <f>IFERROR(IF(INDEX(Daten_Salden!$A:$ZZ,Berechnung!$B$25,4)="",NA(),INDEX(Daten_Salden!$A:$ZZ,Berechnung!$B$25,4)),NA())</f>
        <v>-1.4</v>
      </c>
    </row>
    <row r="49" spans="1:16" x14ac:dyDescent="0.25">
      <c r="A49" t="str">
        <f>IF((Berechnung!$B$5-2)&lt;6,"",IF(OR(LEFT(INDEX(Daten_Salden!$1:$1,(Berechnung!$B$5-2)),12)="Jahresbeginn",17=0),RIGHT(INDEX(Daten_Salden!$1:$1,(Berechnung!$B$5-2)),4),""))</f>
        <v>2026</v>
      </c>
      <c r="B49">
        <f>IF((Berechnung!$B$5-2)&lt;6,NA(),IFERROR(IF(INDEX(Daten_Salden!$A:$ZZ,Berechnung!$B$21,(Berechnung!$B$5-2))="",NA(),INDEX(Daten_Salden!$A:$ZZ,Berechnung!$B$21,(Berechnung!$B$5-2))),NA()))</f>
        <v>1</v>
      </c>
      <c r="C49">
        <f>IF((Berechnung!$B$5-2)&lt;6,NA(),IFERROR(IF(INDEX(Daten_Salden!$A:$ZZ,Berechnung!$C$21,(Berechnung!$B$5-2))="",NA(),INDEX(Daten_Salden!$A:$ZZ,Berechnung!$C$21,(Berechnung!$B$5-2))),NA()))</f>
        <v>-10</v>
      </c>
      <c r="D49">
        <f>IFERROR(IF(INDEX(Daten_Salden!$A:$ZZ,Berechnung!$B$21,4)="",NA(),INDEX(Daten_Salden!$A:$ZZ,Berechnung!$B$21,4)),NA())</f>
        <v>18.585999999999999</v>
      </c>
      <c r="E49">
        <f>IF((Berechnung!$B$5-2)&lt;6,NA(),IFERROR(IF(INDEX(Daten_Salden!$A:$ZZ,Berechnung!$B$22,(Berechnung!$B$5-2))="",NA(),INDEX(Daten_Salden!$A:$ZZ,Berechnung!$B$22,(Berechnung!$B$5-2))),NA()))</f>
        <v>-9</v>
      </c>
      <c r="F49">
        <f>IF((Berechnung!$B$5-2)&lt;6,NA(),IFERROR(IF(INDEX(Daten_Salden!$A:$ZZ,Berechnung!$C$22,(Berechnung!$B$5-2))="",NA(),INDEX(Daten_Salden!$A:$ZZ,Berechnung!$C$22,(Berechnung!$B$5-2))),NA()))</f>
        <v>-4</v>
      </c>
      <c r="G49">
        <f>IFERROR(IF(INDEX(Daten_Salden!$A:$ZZ,Berechnung!$B$22,4)="",NA(),INDEX(Daten_Salden!$A:$ZZ,Berechnung!$B$22,4)),NA())</f>
        <v>1.986</v>
      </c>
      <c r="H49" t="e">
        <f>IF((Berechnung!$B$5-2)&lt;6,NA(),IFERROR(IF(INDEX(Daten_Salden!$A:$ZZ,Berechnung!$B$23,(Berechnung!$B$5-2))="",NA(),INDEX(Daten_Salden!$A:$ZZ,Berechnung!$B$23,(Berechnung!$B$5-2))),NA()))</f>
        <v>#N/A</v>
      </c>
      <c r="I49">
        <f>IF((Berechnung!$B$5-2)&lt;6,NA(),IFERROR(IF(INDEX(Daten_Salden!$A:$ZZ,Berechnung!$C$23,(Berechnung!$B$5-2))="",NA(),INDEX(Daten_Salden!$A:$ZZ,Berechnung!$C$23,(Berechnung!$B$5-2))),NA()))</f>
        <v>0</v>
      </c>
      <c r="J49" t="e">
        <f>IFERROR(IF(INDEX(Daten_Salden!$A:$ZZ,Berechnung!$B$23,4)="",NA(),INDEX(Daten_Salden!$A:$ZZ,Berechnung!$B$23,4)),NA())</f>
        <v>#N/A</v>
      </c>
      <c r="K49">
        <f>IF((Berechnung!$B$5-2)&lt;6,NA(),IFERROR(IF(INDEX(Daten_Salden!$A:$ZZ,Berechnung!$B$24,(Berechnung!$B$5-2))="",NA(),INDEX(Daten_Salden!$A:$ZZ,Berechnung!$B$24,(Berechnung!$B$5-2))),NA()))</f>
        <v>-8</v>
      </c>
      <c r="L49">
        <f>IF((Berechnung!$B$5-2)&lt;6,NA(),IFERROR(IF(INDEX(Daten_Salden!$A:$ZZ,Berechnung!$C$24,(Berechnung!$B$5-2))="",NA(),INDEX(Daten_Salden!$A:$ZZ,Berechnung!$C$24,(Berechnung!$B$5-2))),NA()))</f>
        <v>-13</v>
      </c>
      <c r="M49">
        <f>IFERROR(IF(INDEX(Daten_Salden!$A:$ZZ,Berechnung!$B$24,4)="",NA(),INDEX(Daten_Salden!$A:$ZZ,Berechnung!$B$24,4)),NA())</f>
        <v>2.2429999999999999</v>
      </c>
      <c r="N49">
        <f>IF((Berechnung!$B$5-2)&lt;6,NA(),IFERROR(IF(INDEX(Daten_Salden!$A:$ZZ,Berechnung!$B$25,(Berechnung!$B$5-2))="",NA(),INDEX(Daten_Salden!$A:$ZZ,Berechnung!$B$25,(Berechnung!$B$5-2))),NA()))</f>
        <v>-11</v>
      </c>
      <c r="O49">
        <f>IF((Berechnung!$B$5-2)&lt;6,NA(),IFERROR(IF(INDEX(Daten_Salden!$A:$ZZ,Berechnung!$C$25,(Berechnung!$B$5-2))="",NA(),INDEX(Daten_Salden!$A:$ZZ,Berechnung!$C$25,(Berechnung!$B$5-2))),NA()))</f>
        <v>-18</v>
      </c>
      <c r="P49">
        <f>IFERROR(IF(INDEX(Daten_Salden!$A:$ZZ,Berechnung!$B$25,4)="",NA(),INDEX(Daten_Salden!$A:$ZZ,Berechnung!$B$25,4)),NA())</f>
        <v>-1.4</v>
      </c>
    </row>
    <row r="50" spans="1:16" x14ac:dyDescent="0.25">
      <c r="A50" t="str">
        <f>IF((Berechnung!$B$5-1)&lt;6,"",IF(OR(LEFT(INDEX(Daten_Salden!$1:$1,(Berechnung!$B$5-1)),12)="Jahresbeginn",18=0),RIGHT(INDEX(Daten_Salden!$1:$1,(Berechnung!$B$5-1)),4),""))</f>
        <v/>
      </c>
      <c r="B50">
        <f>IF((Berechnung!$B$5-1)&lt;6,NA(),IFERROR(IF(INDEX(Daten_Salden!$A:$ZZ,Berechnung!$B$21,(Berechnung!$B$5-1))="",NA(),INDEX(Daten_Salden!$A:$ZZ,Berechnung!$B$21,(Berechnung!$B$5-1))),NA()))</f>
        <v>-3</v>
      </c>
      <c r="C50">
        <f>IF((Berechnung!$B$5-1)&lt;6,NA(),IFERROR(IF(INDEX(Daten_Salden!$A:$ZZ,Berechnung!$C$21,(Berechnung!$B$5-1))="",NA(),INDEX(Daten_Salden!$A:$ZZ,Berechnung!$C$21,(Berechnung!$B$5-1))),NA()))</f>
        <v>-7</v>
      </c>
      <c r="D50">
        <f>IFERROR(IF(INDEX(Daten_Salden!$A:$ZZ,Berechnung!$B$21,4)="",NA(),INDEX(Daten_Salden!$A:$ZZ,Berechnung!$B$21,4)),NA())</f>
        <v>18.585999999999999</v>
      </c>
      <c r="E50">
        <f>IF((Berechnung!$B$5-1)&lt;6,NA(),IFERROR(IF(INDEX(Daten_Salden!$A:$ZZ,Berechnung!$B$22,(Berechnung!$B$5-1))="",NA(),INDEX(Daten_Salden!$A:$ZZ,Berechnung!$B$22,(Berechnung!$B$5-1))),NA()))</f>
        <v>-20</v>
      </c>
      <c r="F50">
        <f>IF((Berechnung!$B$5-1)&lt;6,NA(),IFERROR(IF(INDEX(Daten_Salden!$A:$ZZ,Berechnung!$C$22,(Berechnung!$B$5-1))="",NA(),INDEX(Daten_Salden!$A:$ZZ,Berechnung!$C$22,(Berechnung!$B$5-1))),NA()))</f>
        <v>-16</v>
      </c>
      <c r="G50">
        <f>IFERROR(IF(INDEX(Daten_Salden!$A:$ZZ,Berechnung!$B$22,4)="",NA(),INDEX(Daten_Salden!$A:$ZZ,Berechnung!$B$22,4)),NA())</f>
        <v>1.986</v>
      </c>
      <c r="H50" t="e">
        <f>IF((Berechnung!$B$5-1)&lt;6,NA(),IFERROR(IF(INDEX(Daten_Salden!$A:$ZZ,Berechnung!$B$23,(Berechnung!$B$5-1))="",NA(),INDEX(Daten_Salden!$A:$ZZ,Berechnung!$B$23,(Berechnung!$B$5-1))),NA()))</f>
        <v>#N/A</v>
      </c>
      <c r="I50">
        <f>IF((Berechnung!$B$5-1)&lt;6,NA(),IFERROR(IF(INDEX(Daten_Salden!$A:$ZZ,Berechnung!$C$23,(Berechnung!$B$5-1))="",NA(),INDEX(Daten_Salden!$A:$ZZ,Berechnung!$C$23,(Berechnung!$B$5-1))),NA()))</f>
        <v>-10</v>
      </c>
      <c r="J50" t="e">
        <f>IFERROR(IF(INDEX(Daten_Salden!$A:$ZZ,Berechnung!$B$23,4)="",NA(),INDEX(Daten_Salden!$A:$ZZ,Berechnung!$B$23,4)),NA())</f>
        <v>#N/A</v>
      </c>
      <c r="K50">
        <f>IF((Berechnung!$B$5-1)&lt;6,NA(),IFERROR(IF(INDEX(Daten_Salden!$A:$ZZ,Berechnung!$B$24,(Berechnung!$B$5-1))="",NA(),INDEX(Daten_Salden!$A:$ZZ,Berechnung!$B$24,(Berechnung!$B$5-1))),NA()))</f>
        <v>-11</v>
      </c>
      <c r="L50">
        <f>IF((Berechnung!$B$5-1)&lt;6,NA(),IFERROR(IF(INDEX(Daten_Salden!$A:$ZZ,Berechnung!$C$24,(Berechnung!$B$5-1))="",NA(),INDEX(Daten_Salden!$A:$ZZ,Berechnung!$C$24,(Berechnung!$B$5-1))),NA()))</f>
        <v>-15</v>
      </c>
      <c r="M50">
        <f>IFERROR(IF(INDEX(Daten_Salden!$A:$ZZ,Berechnung!$B$24,4)="",NA(),INDEX(Daten_Salden!$A:$ZZ,Berechnung!$B$24,4)),NA())</f>
        <v>2.2429999999999999</v>
      </c>
      <c r="N50">
        <f>IF((Berechnung!$B$5-1)&lt;6,NA(),IFERROR(IF(INDEX(Daten_Salden!$A:$ZZ,Berechnung!$B$25,(Berechnung!$B$5-1))="",NA(),INDEX(Daten_Salden!$A:$ZZ,Berechnung!$B$25,(Berechnung!$B$5-1))),NA()))</f>
        <v>-14</v>
      </c>
      <c r="O50">
        <f>IF((Berechnung!$B$5-1)&lt;6,NA(),IFERROR(IF(INDEX(Daten_Salden!$A:$ZZ,Berechnung!$C$25,(Berechnung!$B$5-1))="",NA(),INDEX(Daten_Salden!$A:$ZZ,Berechnung!$C$25,(Berechnung!$B$5-1))),NA()))</f>
        <v>-20</v>
      </c>
      <c r="P50">
        <f>IFERROR(IF(INDEX(Daten_Salden!$A:$ZZ,Berechnung!$B$25,4)="",NA(),INDEX(Daten_Salden!$A:$ZZ,Berechnung!$B$25,4)),NA())</f>
        <v>-1.4</v>
      </c>
    </row>
    <row r="51" spans="1:16" x14ac:dyDescent="0.25">
      <c r="A51" t="str">
        <f>Berechnung!$B$16</f>
        <v>HB 26</v>
      </c>
      <c r="B51">
        <f>IF((Berechnung!$B$5-0)&lt;6,NA(),IFERROR(IF(INDEX(Daten_Salden!$A:$ZZ,Berechnung!$B$21,(Berechnung!$B$5-0))="",NA(),INDEX(Daten_Salden!$A:$ZZ,Berechnung!$B$21,(Berechnung!$B$5-0))),NA()))</f>
        <v>3</v>
      </c>
      <c r="C51">
        <f>IF((Berechnung!$B$5-0)&lt;6,NA(),IFERROR(IF(INDEX(Daten_Salden!$A:$ZZ,Berechnung!$C$21,(Berechnung!$B$5-0))="",NA(),INDEX(Daten_Salden!$A:$ZZ,Berechnung!$C$21,(Berechnung!$B$5-0))),NA()))</f>
        <v>-1</v>
      </c>
      <c r="D51">
        <f>IFERROR(IF(INDEX(Daten_Salden!$A:$ZZ,Berechnung!$B$21,4)="",NA(),INDEX(Daten_Salden!$A:$ZZ,Berechnung!$B$21,4)),NA())</f>
        <v>18.585999999999999</v>
      </c>
      <c r="E51">
        <f>IF((Berechnung!$B$5-0)&lt;6,NA(),IFERROR(IF(INDEX(Daten_Salden!$A:$ZZ,Berechnung!$B$22,(Berechnung!$B$5-0))="",NA(),INDEX(Daten_Salden!$A:$ZZ,Berechnung!$B$22,(Berechnung!$B$5-0))),NA()))</f>
        <v>-13</v>
      </c>
      <c r="F51">
        <f>IF((Berechnung!$B$5-0)&lt;6,NA(),IFERROR(IF(INDEX(Daten_Salden!$A:$ZZ,Berechnung!$C$22,(Berechnung!$B$5-0))="",NA(),INDEX(Daten_Salden!$A:$ZZ,Berechnung!$C$22,(Berechnung!$B$5-0))),NA()))</f>
        <v>-4</v>
      </c>
      <c r="G51">
        <f>IFERROR(IF(INDEX(Daten_Salden!$A:$ZZ,Berechnung!$B$22,4)="",NA(),INDEX(Daten_Salden!$A:$ZZ,Berechnung!$B$22,4)),NA())</f>
        <v>1.986</v>
      </c>
      <c r="H51" t="e">
        <f>IF((Berechnung!$B$5-0)&lt;6,NA(),IFERROR(IF(INDEX(Daten_Salden!$A:$ZZ,Berechnung!$B$23,(Berechnung!$B$5-0))="",NA(),INDEX(Daten_Salden!$A:$ZZ,Berechnung!$B$23,(Berechnung!$B$5-0))),NA()))</f>
        <v>#N/A</v>
      </c>
      <c r="I51">
        <f>IF((Berechnung!$B$5-0)&lt;6,NA(),IFERROR(IF(INDEX(Daten_Salden!$A:$ZZ,Berechnung!$C$23,(Berechnung!$B$5-0))="",NA(),INDEX(Daten_Salden!$A:$ZZ,Berechnung!$C$23,(Berechnung!$B$5-0))),NA()))</f>
        <v>3</v>
      </c>
      <c r="J51" t="e">
        <f>IFERROR(IF(INDEX(Daten_Salden!$A:$ZZ,Berechnung!$B$23,4)="",NA(),INDEX(Daten_Salden!$A:$ZZ,Berechnung!$B$23,4)),NA())</f>
        <v>#N/A</v>
      </c>
      <c r="K51">
        <f>IF((Berechnung!$B$5-0)&lt;6,NA(),IFERROR(IF(INDEX(Daten_Salden!$A:$ZZ,Berechnung!$B$24,(Berechnung!$B$5-0))="",NA(),INDEX(Daten_Salden!$A:$ZZ,Berechnung!$B$24,(Berechnung!$B$5-0))),NA()))</f>
        <v>-6</v>
      </c>
      <c r="L51">
        <f>IF((Berechnung!$B$5-0)&lt;6,NA(),IFERROR(IF(INDEX(Daten_Salden!$A:$ZZ,Berechnung!$C$24,(Berechnung!$B$5-0))="",NA(),INDEX(Daten_Salden!$A:$ZZ,Berechnung!$C$24,(Berechnung!$B$5-0))),NA()))</f>
        <v>-9</v>
      </c>
      <c r="M51">
        <f>IFERROR(IF(INDEX(Daten_Salden!$A:$ZZ,Berechnung!$B$24,4)="",NA(),INDEX(Daten_Salden!$A:$ZZ,Berechnung!$B$24,4)),NA())</f>
        <v>2.2429999999999999</v>
      </c>
      <c r="N51">
        <f>IF((Berechnung!$B$5-0)&lt;6,NA(),IFERROR(IF(INDEX(Daten_Salden!$A:$ZZ,Berechnung!$B$25,(Berechnung!$B$5-0))="",NA(),INDEX(Daten_Salden!$A:$ZZ,Berechnung!$B$25,(Berechnung!$B$5-0))),NA()))</f>
        <v>-13</v>
      </c>
      <c r="O51">
        <f>IF((Berechnung!$B$5-0)&lt;6,NA(),IFERROR(IF(INDEX(Daten_Salden!$A:$ZZ,Berechnung!$C$25,(Berechnung!$B$5-0))="",NA(),INDEX(Daten_Salden!$A:$ZZ,Berechnung!$C$25,(Berechnung!$B$5-0))),NA()))</f>
        <v>-16</v>
      </c>
      <c r="P51">
        <f>IFERROR(IF(INDEX(Daten_Salden!$A:$ZZ,Berechnung!$B$25,4)="",NA(),INDEX(Daten_Salden!$A:$ZZ,Berechnung!$B$25,4)),NA())</f>
        <v>-1.4</v>
      </c>
    </row>
    <row r="53" spans="1:16" x14ac:dyDescent="0.25">
      <c r="A53" t="s">
        <v>252</v>
      </c>
      <c r="B53" t="str">
        <f>Berechnung!$B$16</f>
        <v>HB 26</v>
      </c>
      <c r="C53" t="str">
        <f>Berechnung!$B$17</f>
        <v>FS 26</v>
      </c>
      <c r="D53" t="s">
        <v>301</v>
      </c>
    </row>
    <row r="54" spans="1:16" x14ac:dyDescent="0.25">
      <c r="A54" t="s">
        <v>84</v>
      </c>
      <c r="B54">
        <f>IFERROR(IF(INDEX(Daten_Risiken!$A:$ZZ,MATCH(Berechnung!$B$12&amp;"|Energie- und Rohstoffpreise",Daten_Risiken!$A$1:$A$529,0),Berechnung!$B$8)="",NA(),INDEX(Daten_Risiken!$A:$ZZ,MATCH(Berechnung!$B$12&amp;"|Energie- und Rohstoffpreise",Daten_Risiken!$A$1:$A$529,0),Berechnung!$B$8)),NA())</f>
        <v>67</v>
      </c>
      <c r="C54">
        <f>IFERROR(IF(INDEX(Daten_Risiken!$A:$ZZ,MATCH(Berechnung!$B$12&amp;"|Energie- und Rohstoffpreise",Daten_Risiken!$A$1:$A$529,0),Berechnung!$B$9)="",NA(),INDEX(Daten_Risiken!$A:$ZZ,MATCH(Berechnung!$B$12&amp;"|Energie- und Rohstoffpreise",Daten_Risiken!$A$1:$A$529,0),Berechnung!$B$9)),NA())</f>
        <v>70</v>
      </c>
      <c r="D54">
        <f>IFERROR(ROUND(IFERROR(IF(INDEX(Daten_Risiken!$A:$ZZ,MATCH(Berechnung!$B$12&amp;"|Energie- und Rohstoffpreise",Daten_Risiken!$A$1:$A$529,0),5)="",NA(),INDEX(Daten_Risiken!$A:$ZZ,MATCH(Berechnung!$B$12&amp;"|Energie- und Rohstoffpreise",Daten_Risiken!$A$1:$A$529,0),5)),NA()),0),NA())</f>
        <v>45</v>
      </c>
    </row>
    <row r="55" spans="1:16" x14ac:dyDescent="0.25">
      <c r="A55" t="s">
        <v>85</v>
      </c>
      <c r="B55">
        <f>IFERROR(IF(INDEX(Daten_Risiken!$A:$ZZ,MATCH(Berechnung!$B$12&amp;"|Arbeitskosten",Daten_Risiken!$A$1:$A$529,0),Berechnung!$B$8)="",NA(),INDEX(Daten_Risiken!$A:$ZZ,MATCH(Berechnung!$B$12&amp;"|Arbeitskosten",Daten_Risiken!$A$1:$A$529,0),Berechnung!$B$8)),NA())</f>
        <v>56</v>
      </c>
      <c r="C55">
        <f>IFERROR(IF(INDEX(Daten_Risiken!$A:$ZZ,MATCH(Berechnung!$B$12&amp;"|Arbeitskosten",Daten_Risiken!$A$1:$A$529,0),Berechnung!$B$9)="",NA(),INDEX(Daten_Risiken!$A:$ZZ,MATCH(Berechnung!$B$12&amp;"|Arbeitskosten",Daten_Risiken!$A$1:$A$529,0),Berechnung!$B$9)),NA())</f>
        <v>57</v>
      </c>
      <c r="D55">
        <f>IFERROR(ROUND(IFERROR(IF(INDEX(Daten_Risiken!$A:$ZZ,MATCH(Berechnung!$B$12&amp;"|Arbeitskosten",Daten_Risiken!$A$1:$A$529,0),5)="",NA(),INDEX(Daten_Risiken!$A:$ZZ,MATCH(Berechnung!$B$12&amp;"|Arbeitskosten",Daten_Risiken!$A$1:$A$529,0),5)),NA()),0),NA())</f>
        <v>42</v>
      </c>
    </row>
    <row r="56" spans="1:16" x14ac:dyDescent="0.25">
      <c r="A56" t="s">
        <v>86</v>
      </c>
      <c r="B56">
        <f>IFERROR(IF(INDEX(Daten_Risiken!$A:$ZZ,MATCH(Berechnung!$B$12&amp;"|Inlandsnachfrage",Daten_Risiken!$A$1:$A$529,0),Berechnung!$B$8)="",NA(),INDEX(Daten_Risiken!$A:$ZZ,MATCH(Berechnung!$B$12&amp;"|Inlandsnachfrage",Daten_Risiken!$A$1:$A$529,0),Berechnung!$B$8)),NA())</f>
        <v>54</v>
      </c>
      <c r="C56">
        <f>IFERROR(IF(INDEX(Daten_Risiken!$A:$ZZ,MATCH(Berechnung!$B$12&amp;"|Inlandsnachfrage",Daten_Risiken!$A$1:$A$529,0),Berechnung!$B$9)="",NA(),INDEX(Daten_Risiken!$A:$ZZ,MATCH(Berechnung!$B$12&amp;"|Inlandsnachfrage",Daten_Risiken!$A$1:$A$529,0),Berechnung!$B$9)),NA())</f>
        <v>56</v>
      </c>
      <c r="D56">
        <f>IFERROR(ROUND(IFERROR(IF(INDEX(Daten_Risiken!$A:$ZZ,MATCH(Berechnung!$B$12&amp;"|Inlandsnachfrage",Daten_Risiken!$A$1:$A$529,0),5)="",NA(),INDEX(Daten_Risiken!$A:$ZZ,MATCH(Berechnung!$B$12&amp;"|Inlandsnachfrage",Daten_Risiken!$A$1:$A$529,0),5)),NA()),0),NA())</f>
        <v>47</v>
      </c>
    </row>
    <row r="57" spans="1:16" x14ac:dyDescent="0.25">
      <c r="A57" t="s">
        <v>87</v>
      </c>
      <c r="B57">
        <f>IFERROR(IF(INDEX(Daten_Risiken!$A:$ZZ,MATCH(Berechnung!$B$12&amp;"|Wirtschaftspolitische Rahmenbedingungen",Daten_Risiken!$A$1:$A$529,0),Berechnung!$B$8)="",NA(),INDEX(Daten_Risiken!$A:$ZZ,MATCH(Berechnung!$B$12&amp;"|Wirtschaftspolitische Rahmenbedingungen",Daten_Risiken!$A$1:$A$529,0),Berechnung!$B$8)),NA())</f>
        <v>58</v>
      </c>
      <c r="C57">
        <f>IFERROR(IF(INDEX(Daten_Risiken!$A:$ZZ,MATCH(Berechnung!$B$12&amp;"|Wirtschaftspolitische Rahmenbedingungen",Daten_Risiken!$A$1:$A$529,0),Berechnung!$B$9)="",NA(),INDEX(Daten_Risiken!$A:$ZZ,MATCH(Berechnung!$B$12&amp;"|Wirtschaftspolitische Rahmenbedingungen",Daten_Risiken!$A$1:$A$529,0),Berechnung!$B$9)),NA())</f>
        <v>58</v>
      </c>
      <c r="D57">
        <f>IFERROR(ROUND(IFERROR(IF(INDEX(Daten_Risiken!$A:$ZZ,MATCH(Berechnung!$B$12&amp;"|Wirtschaftspolitische Rahmenbedingungen",Daten_Risiken!$A$1:$A$529,0),5)="",NA(),INDEX(Daten_Risiken!$A:$ZZ,MATCH(Berechnung!$B$12&amp;"|Wirtschaftspolitische Rahmenbedingungen",Daten_Risiken!$A$1:$A$529,0),5)),NA()),0),NA())</f>
        <v>45</v>
      </c>
    </row>
    <row r="58" spans="1:16" x14ac:dyDescent="0.25">
      <c r="A58" t="s">
        <v>88</v>
      </c>
      <c r="B58">
        <f>IFERROR(IF(INDEX(Daten_Risiken!$A:$ZZ,MATCH(Berechnung!$B$12&amp;"|Fachkräftemangel",Daten_Risiken!$A$1:$A$529,0),Berechnung!$B$8)="",NA(),INDEX(Daten_Risiken!$A:$ZZ,MATCH(Berechnung!$B$12&amp;"|Fachkräftemangel",Daten_Risiken!$A$1:$A$529,0),Berechnung!$B$8)),NA())</f>
        <v>36</v>
      </c>
      <c r="C58">
        <f>IFERROR(IF(INDEX(Daten_Risiken!$A:$ZZ,MATCH(Berechnung!$B$12&amp;"|Fachkräftemangel",Daten_Risiken!$A$1:$A$529,0),Berechnung!$B$9)="",NA(),INDEX(Daten_Risiken!$A:$ZZ,MATCH(Berechnung!$B$12&amp;"|Fachkräftemangel",Daten_Risiken!$A$1:$A$529,0),Berechnung!$B$9)),NA())</f>
        <v>36</v>
      </c>
      <c r="D58">
        <f>IFERROR(ROUND(IFERROR(IF(INDEX(Daten_Risiken!$A:$ZZ,MATCH(Berechnung!$B$12&amp;"|Fachkräftemangel",Daten_Risiken!$A$1:$A$529,0),5)="",NA(),INDEX(Daten_Risiken!$A:$ZZ,MATCH(Berechnung!$B$12&amp;"|Fachkräftemangel",Daten_Risiken!$A$1:$A$529,0),5)),NA()),0),NA())</f>
        <v>45</v>
      </c>
    </row>
    <row r="59" spans="1:16" x14ac:dyDescent="0.25">
      <c r="A59" t="s">
        <v>89</v>
      </c>
      <c r="B59" t="e">
        <f>IFERROR(IF(INDEX(Daten_Risiken!$A:$ZZ,MATCH(Berechnung!$B$12&amp;"|Auslandsnachfrage",Daten_Risiken!$A$1:$A$529,0),Berechnung!$B$8)="",NA(),INDEX(Daten_Risiken!$A:$ZZ,MATCH(Berechnung!$B$12&amp;"|Auslandsnachfrage",Daten_Risiken!$A$1:$A$529,0),Berechnung!$B$8)),NA())</f>
        <v>#N/A</v>
      </c>
      <c r="C59" t="e">
        <f>IFERROR(IF(INDEX(Daten_Risiken!$A:$ZZ,MATCH(Berechnung!$B$12&amp;"|Auslandsnachfrage",Daten_Risiken!$A$1:$A$529,0),Berechnung!$B$9)="",NA(),INDEX(Daten_Risiken!$A:$ZZ,MATCH(Berechnung!$B$12&amp;"|Auslandsnachfrage",Daten_Risiken!$A$1:$A$529,0),Berechnung!$B$9)),NA())</f>
        <v>#N/A</v>
      </c>
      <c r="D59" t="e">
        <f>IFERROR(ROUND(IFERROR(IF(INDEX(Daten_Risiken!$A:$ZZ,MATCH(Berechnung!$B$12&amp;"|Auslandsnachfrage",Daten_Risiken!$A$1:$A$529,0),5)="",NA(),INDEX(Daten_Risiken!$A:$ZZ,MATCH(Berechnung!$B$12&amp;"|Auslandsnachfrage",Daten_Risiken!$A$1:$A$529,0),5)),NA()),0),NA())</f>
        <v>#N/A</v>
      </c>
    </row>
    <row r="60" spans="1:16" x14ac:dyDescent="0.25">
      <c r="A60" t="s">
        <v>90</v>
      </c>
      <c r="B60">
        <f>IFERROR(IF(INDEX(Daten_Risiken!$A:$ZZ,MATCH(Berechnung!$B$12&amp;"|Finanzierung",Daten_Risiken!$A$1:$A$529,0),Berechnung!$B$8)="",NA(),INDEX(Daten_Risiken!$A:$ZZ,MATCH(Berechnung!$B$12&amp;"|Finanzierung",Daten_Risiken!$A$1:$A$529,0),Berechnung!$B$8)),NA())</f>
        <v>16</v>
      </c>
      <c r="C60">
        <f>IFERROR(IF(INDEX(Daten_Risiken!$A:$ZZ,MATCH(Berechnung!$B$12&amp;"|Finanzierung",Daten_Risiken!$A$1:$A$529,0),Berechnung!$B$9)="",NA(),INDEX(Daten_Risiken!$A:$ZZ,MATCH(Berechnung!$B$12&amp;"|Finanzierung",Daten_Risiken!$A$1:$A$529,0),Berechnung!$B$9)),NA())</f>
        <v>15</v>
      </c>
      <c r="D60">
        <f>IFERROR(ROUND(IFERROR(IF(INDEX(Daten_Risiken!$A:$ZZ,MATCH(Berechnung!$B$12&amp;"|Finanzierung",Daten_Risiken!$A$1:$A$529,0),5)="",NA(),INDEX(Daten_Risiken!$A:$ZZ,MATCH(Berechnung!$B$12&amp;"|Finanzierung",Daten_Risiken!$A$1:$A$529,0),5)),NA()),0),NA())</f>
        <v>13</v>
      </c>
    </row>
    <row r="61" spans="1:16" x14ac:dyDescent="0.25">
      <c r="A61" t="s">
        <v>91</v>
      </c>
      <c r="B61" t="e">
        <f>IFERROR(IF(INDEX(Daten_Risiken!$A:$ZZ,MATCH(Berechnung!$B$12&amp;"|Wechselkurs",Daten_Risiken!$A$1:$A$529,0),Berechnung!$B$8)="",NA(),INDEX(Daten_Risiken!$A:$ZZ,MATCH(Berechnung!$B$12&amp;"|Wechselkurs",Daten_Risiken!$A$1:$A$529,0),Berechnung!$B$8)),NA())</f>
        <v>#N/A</v>
      </c>
      <c r="C61" t="e">
        <f>IFERROR(IF(INDEX(Daten_Risiken!$A:$ZZ,MATCH(Berechnung!$B$12&amp;"|Wechselkurs",Daten_Risiken!$A$1:$A$529,0),Berechnung!$B$9)="",NA(),INDEX(Daten_Risiken!$A:$ZZ,MATCH(Berechnung!$B$12&amp;"|Wechselkurs",Daten_Risiken!$A$1:$A$529,0),Berechnung!$B$9)),NA())</f>
        <v>#N/A</v>
      </c>
      <c r="D61" t="e">
        <f>IFERROR(ROUND(IFERROR(IF(INDEX(Daten_Risiken!$A:$ZZ,MATCH(Berechnung!$B$12&amp;"|Wechselkurs",Daten_Risiken!$A$1:$A$529,0),5)="",NA(),INDEX(Daten_Risiken!$A:$ZZ,MATCH(Berechnung!$B$12&amp;"|Wechselkurs",Daten_Risiken!$A$1:$A$529,0),5)),NA()),0),NA())</f>
        <v>#N/A</v>
      </c>
    </row>
    <row r="64" spans="1:16" x14ac:dyDescent="0.25">
      <c r="A64" t="s">
        <v>257</v>
      </c>
      <c r="B64" t="str">
        <f>Berechnung!$B$16</f>
        <v>HB 26</v>
      </c>
      <c r="C64" t="str">
        <f>Berechnung!$B$17</f>
        <v>FS 26</v>
      </c>
      <c r="D64" t="s">
        <v>301</v>
      </c>
    </row>
    <row r="65" spans="1:4" x14ac:dyDescent="0.25">
      <c r="A65" t="s">
        <v>92</v>
      </c>
      <c r="B65">
        <f>IFERROR(IF(INDEX(Daten_Motive!$A:$ZZ,MATCH(Berechnung!$B$12&amp;"|Ersatzbedarf",Daten_Motive!$A$1:$A$331,0),Berechnung!$B$10)="",NA(),INDEX(Daten_Motive!$A:$ZZ,MATCH(Berechnung!$B$12&amp;"|Ersatzbedarf",Daten_Motive!$A$1:$A$331,0),Berechnung!$B$10)),NA())</f>
        <v>66</v>
      </c>
      <c r="C65">
        <f>IFERROR(IF(INDEX(Daten_Motive!$A:$ZZ,MATCH(Berechnung!$B$12&amp;"|Ersatzbedarf",Daten_Motive!$A$1:$A$331,0),Berechnung!$B$11)="",NA(),INDEX(Daten_Motive!$A:$ZZ,MATCH(Berechnung!$B$12&amp;"|Ersatzbedarf",Daten_Motive!$A$1:$A$331,0),Berechnung!$B$11)),NA())</f>
        <v>67</v>
      </c>
      <c r="D65">
        <f>IFERROR(ROUND(IFERROR(IF(INDEX(Daten_Motive!$A:$ZZ,MATCH(Berechnung!$B$12&amp;"|Ersatzbedarf",Daten_Motive!$A$1:$A$331,0),5)="",NA(),INDEX(Daten_Motive!$A:$ZZ,MATCH(Berechnung!$B$12&amp;"|Ersatzbedarf",Daten_Motive!$A$1:$A$331,0),5)),NA()),0),NA())</f>
        <v>65</v>
      </c>
    </row>
    <row r="66" spans="1:4" x14ac:dyDescent="0.25">
      <c r="A66" t="s">
        <v>93</v>
      </c>
      <c r="B66">
        <f>IFERROR(IF(INDEX(Daten_Motive!$A:$ZZ,MATCH(Berechnung!$B$12&amp;"|Rationalisierung",Daten_Motive!$A$1:$A$331,0),Berechnung!$B$10)="",NA(),INDEX(Daten_Motive!$A:$ZZ,MATCH(Berechnung!$B$12&amp;"|Rationalisierung",Daten_Motive!$A$1:$A$331,0),Berechnung!$B$10)),NA())</f>
        <v>34</v>
      </c>
      <c r="C66">
        <f>IFERROR(IF(INDEX(Daten_Motive!$A:$ZZ,MATCH(Berechnung!$B$12&amp;"|Rationalisierung",Daten_Motive!$A$1:$A$331,0),Berechnung!$B$11)="",NA(),INDEX(Daten_Motive!$A:$ZZ,MATCH(Berechnung!$B$12&amp;"|Rationalisierung",Daten_Motive!$A$1:$A$331,0),Berechnung!$B$11)),NA())</f>
        <v>34</v>
      </c>
      <c r="D66">
        <f>IFERROR(ROUND(IFERROR(IF(INDEX(Daten_Motive!$A:$ZZ,MATCH(Berechnung!$B$12&amp;"|Rationalisierung",Daten_Motive!$A$1:$A$331,0),5)="",NA(),INDEX(Daten_Motive!$A:$ZZ,MATCH(Berechnung!$B$12&amp;"|Rationalisierung",Daten_Motive!$A$1:$A$331,0),5)),NA()),0),NA())</f>
        <v>33</v>
      </c>
    </row>
    <row r="67" spans="1:4" x14ac:dyDescent="0.25">
      <c r="A67" t="s">
        <v>94</v>
      </c>
      <c r="B67">
        <f>IFERROR(IF(INDEX(Daten_Motive!$A:$ZZ,MATCH(Berechnung!$B$12&amp;"|Produktinnovation",Daten_Motive!$A$1:$A$331,0),Berechnung!$B$10)="",NA(),INDEX(Daten_Motive!$A:$ZZ,MATCH(Berechnung!$B$12&amp;"|Produktinnovation",Daten_Motive!$A$1:$A$331,0),Berechnung!$B$10)),NA())</f>
        <v>28</v>
      </c>
      <c r="C67">
        <f>IFERROR(IF(INDEX(Daten_Motive!$A:$ZZ,MATCH(Berechnung!$B$12&amp;"|Produktinnovation",Daten_Motive!$A$1:$A$331,0),Berechnung!$B$11)="",NA(),INDEX(Daten_Motive!$A:$ZZ,MATCH(Berechnung!$B$12&amp;"|Produktinnovation",Daten_Motive!$A$1:$A$331,0),Berechnung!$B$11)),NA())</f>
        <v>27</v>
      </c>
      <c r="D67">
        <f>IFERROR(ROUND(IFERROR(IF(INDEX(Daten_Motive!$A:$ZZ,MATCH(Berechnung!$B$12&amp;"|Produktinnovation",Daten_Motive!$A$1:$A$331,0),5)="",NA(),INDEX(Daten_Motive!$A:$ZZ,MATCH(Berechnung!$B$12&amp;"|Produktinnovation",Daten_Motive!$A$1:$A$331,0),5)),NA()),0),NA())</f>
        <v>30</v>
      </c>
    </row>
    <row r="68" spans="1:4" x14ac:dyDescent="0.25">
      <c r="A68" t="s">
        <v>95</v>
      </c>
      <c r="B68">
        <f>IFERROR(IF(INDEX(Daten_Motive!$A:$ZZ,MATCH(Berechnung!$B$12&amp;"|Umweltschutz",Daten_Motive!$A$1:$A$331,0),Berechnung!$B$10)="",NA(),INDEX(Daten_Motive!$A:$ZZ,MATCH(Berechnung!$B$12&amp;"|Umweltschutz",Daten_Motive!$A$1:$A$331,0),Berechnung!$B$10)),NA())</f>
        <v>17</v>
      </c>
      <c r="C68">
        <f>IFERROR(IF(INDEX(Daten_Motive!$A:$ZZ,MATCH(Berechnung!$B$12&amp;"|Umweltschutz",Daten_Motive!$A$1:$A$331,0),Berechnung!$B$11)="",NA(),INDEX(Daten_Motive!$A:$ZZ,MATCH(Berechnung!$B$12&amp;"|Umweltschutz",Daten_Motive!$A$1:$A$331,0),Berechnung!$B$11)),NA())</f>
        <v>16</v>
      </c>
      <c r="D68">
        <f>IFERROR(ROUND(IFERROR(IF(INDEX(Daten_Motive!$A:$ZZ,MATCH(Berechnung!$B$12&amp;"|Umweltschutz",Daten_Motive!$A$1:$A$331,0),5)="",NA(),INDEX(Daten_Motive!$A:$ZZ,MATCH(Berechnung!$B$12&amp;"|Umweltschutz",Daten_Motive!$A$1:$A$331,0),5)),NA()),0),NA())</f>
        <v>16</v>
      </c>
    </row>
    <row r="69" spans="1:4" x14ac:dyDescent="0.25">
      <c r="A69" t="s">
        <v>96</v>
      </c>
      <c r="B69">
        <f>IFERROR(IF(INDEX(Daten_Motive!$A:$ZZ,MATCH(Berechnung!$B$12&amp;"|Kapazitätserweiterung",Daten_Motive!$A$1:$A$331,0),Berechnung!$B$10)="",NA(),INDEX(Daten_Motive!$A:$ZZ,MATCH(Berechnung!$B$12&amp;"|Kapazitätserweiterung",Daten_Motive!$A$1:$A$331,0),Berechnung!$B$10)),NA())</f>
        <v>19</v>
      </c>
      <c r="C69">
        <f>IFERROR(IF(INDEX(Daten_Motive!$A:$ZZ,MATCH(Berechnung!$B$12&amp;"|Kapazitätserweiterung",Daten_Motive!$A$1:$A$331,0),Berechnung!$B$11)="",NA(),INDEX(Daten_Motive!$A:$ZZ,MATCH(Berechnung!$B$12&amp;"|Kapazitätserweiterung",Daten_Motive!$A$1:$A$331,0),Berechnung!$B$11)),NA())</f>
        <v>19</v>
      </c>
      <c r="D69">
        <f>IFERROR(ROUND(IFERROR(IF(INDEX(Daten_Motive!$A:$ZZ,MATCH(Berechnung!$B$12&amp;"|Kapazitätserweiterung",Daten_Motive!$A$1:$A$331,0),5)="",NA(),INDEX(Daten_Motive!$A:$ZZ,MATCH(Berechnung!$B$12&amp;"|Kapazitätserweiterung",Daten_Motive!$A$1:$A$331,0),5)),NA()),0),NA())</f>
        <v>25</v>
      </c>
    </row>
    <row r="72" spans="1:4" x14ac:dyDescent="0.25">
      <c r="A72" t="s">
        <v>302</v>
      </c>
      <c r="B72" t="s">
        <v>51</v>
      </c>
      <c r="C72" t="s">
        <v>52</v>
      </c>
      <c r="D72" t="s">
        <v>53</v>
      </c>
    </row>
    <row r="73" spans="1:4" x14ac:dyDescent="0.25">
      <c r="A73" t="str">
        <f>"Lage "&amp;Berechnung!$B$16</f>
        <v>Lage HB 26</v>
      </c>
      <c r="B73">
        <f>IFERROR(IF(INDEX(Daten_Anteile!$A:$ZZ,MATCH(Berechnung!$B$12&amp;"|Lage|"&amp;Berechnung!$B$2,Daten_Anteile!$A$1:$A$2971,0),6)="",NA(),INDEX(Daten_Anteile!$A:$ZZ,MATCH(Berechnung!$B$12&amp;"|Lage|"&amp;Berechnung!$B$2,Daten_Anteile!$A$1:$A$2971,0),6)),NA())</f>
        <v>26</v>
      </c>
      <c r="C73">
        <f>IFERROR(IF(INDEX(Daten_Anteile!$A:$ZZ,MATCH(Berechnung!$B$12&amp;"|Lage|"&amp;Berechnung!$B$2,Daten_Anteile!$A$1:$A$2971,0),7)="",NA(),INDEX(Daten_Anteile!$A:$ZZ,MATCH(Berechnung!$B$12&amp;"|Lage|"&amp;Berechnung!$B$2,Daten_Anteile!$A$1:$A$2971,0),7)),NA())</f>
        <v>51</v>
      </c>
      <c r="D73">
        <f>IFERROR(IF(INDEX(Daten_Anteile!$A:$ZZ,MATCH(Berechnung!$B$12&amp;"|Lage|"&amp;Berechnung!$B$2,Daten_Anteile!$A$1:$A$2971,0),8)="",NA(),INDEX(Daten_Anteile!$A:$ZZ,MATCH(Berechnung!$B$12&amp;"|Lage|"&amp;Berechnung!$B$2,Daten_Anteile!$A$1:$A$2971,0),8)),NA())</f>
        <v>23</v>
      </c>
    </row>
    <row r="74" spans="1:4" x14ac:dyDescent="0.25">
      <c r="A74" t="str">
        <f>"Lage "&amp;Berechnung!$B$17</f>
        <v>Lage FS 26</v>
      </c>
      <c r="B74">
        <f>IFERROR(IF(INDEX(Daten_Anteile!$A:$ZZ,MATCH(Berechnung!$B$12&amp;"|Lage|"&amp;Berechnung!$B$3,Daten_Anteile!$A$1:$A$2971,0),6)="",NA(),INDEX(Daten_Anteile!$A:$ZZ,MATCH(Berechnung!$B$12&amp;"|Lage|"&amp;Berechnung!$B$3,Daten_Anteile!$A$1:$A$2971,0),6)),NA())</f>
        <v>23</v>
      </c>
      <c r="C74">
        <f>IFERROR(IF(INDEX(Daten_Anteile!$A:$ZZ,MATCH(Berechnung!$B$12&amp;"|Lage|"&amp;Berechnung!$B$3,Daten_Anteile!$A$1:$A$2971,0),7)="",NA(),INDEX(Daten_Anteile!$A:$ZZ,MATCH(Berechnung!$B$12&amp;"|Lage|"&amp;Berechnung!$B$3,Daten_Anteile!$A$1:$A$2971,0),7)),NA())</f>
        <v>51</v>
      </c>
      <c r="D74">
        <f>IFERROR(IF(INDEX(Daten_Anteile!$A:$ZZ,MATCH(Berechnung!$B$12&amp;"|Lage|"&amp;Berechnung!$B$3,Daten_Anteile!$A$1:$A$2971,0),8)="",NA(),INDEX(Daten_Anteile!$A:$ZZ,MATCH(Berechnung!$B$12&amp;"|Lage|"&amp;Berechnung!$B$3,Daten_Anteile!$A$1:$A$2971,0),8)),NA())</f>
        <v>26</v>
      </c>
    </row>
    <row r="75" spans="1:4" x14ac:dyDescent="0.25">
      <c r="A75" t="s">
        <v>303</v>
      </c>
    </row>
    <row r="76" spans="1:4" x14ac:dyDescent="0.25">
      <c r="A76" t="str">
        <f>"Erwartungen "&amp;Berechnung!$B$16</f>
        <v>Erwartungen HB 26</v>
      </c>
      <c r="B76">
        <f>IFERROR(IF(INDEX(Daten_Anteile!$A:$ZZ,MATCH(Berechnung!$B$12&amp;"|Erwartungen|"&amp;Berechnung!$B$2,Daten_Anteile!$A$1:$A$2971,0),6)="",NA(),INDEX(Daten_Anteile!$A:$ZZ,MATCH(Berechnung!$B$12&amp;"|Erwartungen|"&amp;Berechnung!$B$2,Daten_Anteile!$A$1:$A$2971,0),6)),NA())</f>
        <v>15</v>
      </c>
      <c r="C76">
        <f>IFERROR(IF(INDEX(Daten_Anteile!$A:$ZZ,MATCH(Berechnung!$B$12&amp;"|Erwartungen|"&amp;Berechnung!$B$2,Daten_Anteile!$A$1:$A$2971,0),7)="",NA(),INDEX(Daten_Anteile!$A:$ZZ,MATCH(Berechnung!$B$12&amp;"|Erwartungen|"&amp;Berechnung!$B$2,Daten_Anteile!$A$1:$A$2971,0),7)),NA())</f>
        <v>57</v>
      </c>
      <c r="D76">
        <f>IFERROR(IF(INDEX(Daten_Anteile!$A:$ZZ,MATCH(Berechnung!$B$12&amp;"|Erwartungen|"&amp;Berechnung!$B$2,Daten_Anteile!$A$1:$A$2971,0),8)="",NA(),INDEX(Daten_Anteile!$A:$ZZ,MATCH(Berechnung!$B$12&amp;"|Erwartungen|"&amp;Berechnung!$B$2,Daten_Anteile!$A$1:$A$2971,0),8)),NA())</f>
        <v>28</v>
      </c>
    </row>
    <row r="77" spans="1:4" x14ac:dyDescent="0.25">
      <c r="A77" t="str">
        <f>"Erwartungen "&amp;Berechnung!$B$17</f>
        <v>Erwartungen FS 26</v>
      </c>
      <c r="B77">
        <f>IFERROR(IF(INDEX(Daten_Anteile!$A:$ZZ,MATCH(Berechnung!$B$12&amp;"|Erwartungen|"&amp;Berechnung!$B$3,Daten_Anteile!$A$1:$A$2971,0),6)="",NA(),INDEX(Daten_Anteile!$A:$ZZ,MATCH(Berechnung!$B$12&amp;"|Erwartungen|"&amp;Berechnung!$B$3,Daten_Anteile!$A$1:$A$2971,0),6)),NA())</f>
        <v>13</v>
      </c>
      <c r="C77">
        <f>IFERROR(IF(INDEX(Daten_Anteile!$A:$ZZ,MATCH(Berechnung!$B$12&amp;"|Erwartungen|"&amp;Berechnung!$B$3,Daten_Anteile!$A$1:$A$2971,0),7)="",NA(),INDEX(Daten_Anteile!$A:$ZZ,MATCH(Berechnung!$B$12&amp;"|Erwartungen|"&amp;Berechnung!$B$3,Daten_Anteile!$A$1:$A$2971,0),7)),NA())</f>
        <v>54</v>
      </c>
      <c r="D77">
        <f>IFERROR(IF(INDEX(Daten_Anteile!$A:$ZZ,MATCH(Berechnung!$B$12&amp;"|Erwartungen|"&amp;Berechnung!$B$3,Daten_Anteile!$A$1:$A$2971,0),8)="",NA(),INDEX(Daten_Anteile!$A:$ZZ,MATCH(Berechnung!$B$12&amp;"|Erwartungen|"&amp;Berechnung!$B$3,Daten_Anteile!$A$1:$A$2971,0),8)),NA())</f>
        <v>33</v>
      </c>
    </row>
    <row r="78" spans="1:4" x14ac:dyDescent="0.25">
      <c r="A78" t="s">
        <v>304</v>
      </c>
    </row>
    <row r="79" spans="1:4" x14ac:dyDescent="0.25">
      <c r="A79" t="str">
        <f>"Export "&amp;Berechnung!$B$16</f>
        <v>Export HB 26</v>
      </c>
      <c r="B79" t="e">
        <f>IFERROR(IF(INDEX(Daten_Anteile!$A:$ZZ,MATCH(Berechnung!$B$12&amp;"|Export|"&amp;Berechnung!$B$2,Daten_Anteile!$A$1:$A$2971,0),6)="",NA(),INDEX(Daten_Anteile!$A:$ZZ,MATCH(Berechnung!$B$12&amp;"|Export|"&amp;Berechnung!$B$2,Daten_Anteile!$A$1:$A$2971,0),6)),NA())</f>
        <v>#N/A</v>
      </c>
      <c r="C79" t="e">
        <f>IFERROR(IF(INDEX(Daten_Anteile!$A:$ZZ,MATCH(Berechnung!$B$12&amp;"|Export|"&amp;Berechnung!$B$2,Daten_Anteile!$A$1:$A$2971,0),7)="",NA(),INDEX(Daten_Anteile!$A:$ZZ,MATCH(Berechnung!$B$12&amp;"|Export|"&amp;Berechnung!$B$2,Daten_Anteile!$A$1:$A$2971,0),7)),NA())</f>
        <v>#N/A</v>
      </c>
      <c r="D79" t="e">
        <f>IFERROR(IF(INDEX(Daten_Anteile!$A:$ZZ,MATCH(Berechnung!$B$12&amp;"|Export|"&amp;Berechnung!$B$2,Daten_Anteile!$A$1:$A$2971,0),8)="",NA(),INDEX(Daten_Anteile!$A:$ZZ,MATCH(Berechnung!$B$12&amp;"|Export|"&amp;Berechnung!$B$2,Daten_Anteile!$A$1:$A$2971,0),8)),NA())</f>
        <v>#N/A</v>
      </c>
    </row>
    <row r="80" spans="1:4" x14ac:dyDescent="0.25">
      <c r="A80" t="str">
        <f>"Export "&amp;Berechnung!$B$17</f>
        <v>Export FS 26</v>
      </c>
      <c r="B80" t="e">
        <f>IFERROR(IF(INDEX(Daten_Anteile!$A:$ZZ,MATCH(Berechnung!$B$12&amp;"|Export|"&amp;Berechnung!$B$3,Daten_Anteile!$A$1:$A$2971,0),6)="",NA(),INDEX(Daten_Anteile!$A:$ZZ,MATCH(Berechnung!$B$12&amp;"|Export|"&amp;Berechnung!$B$3,Daten_Anteile!$A$1:$A$2971,0),6)),NA())</f>
        <v>#N/A</v>
      </c>
      <c r="C80" t="e">
        <f>IFERROR(IF(INDEX(Daten_Anteile!$A:$ZZ,MATCH(Berechnung!$B$12&amp;"|Export|"&amp;Berechnung!$B$3,Daten_Anteile!$A$1:$A$2971,0),7)="",NA(),INDEX(Daten_Anteile!$A:$ZZ,MATCH(Berechnung!$B$12&amp;"|Export|"&amp;Berechnung!$B$3,Daten_Anteile!$A$1:$A$2971,0),7)),NA())</f>
        <v>#N/A</v>
      </c>
      <c r="D80" t="e">
        <f>IFERROR(IF(INDEX(Daten_Anteile!$A:$ZZ,MATCH(Berechnung!$B$12&amp;"|Export|"&amp;Berechnung!$B$3,Daten_Anteile!$A$1:$A$2971,0),8)="",NA(),INDEX(Daten_Anteile!$A:$ZZ,MATCH(Berechnung!$B$12&amp;"|Export|"&amp;Berechnung!$B$3,Daten_Anteile!$A$1:$A$2971,0),8)),NA())</f>
        <v>#N/A</v>
      </c>
    </row>
    <row r="81" spans="1:17" x14ac:dyDescent="0.25">
      <c r="A81" t="s">
        <v>305</v>
      </c>
    </row>
    <row r="82" spans="1:17" x14ac:dyDescent="0.25">
      <c r="A82" t="str">
        <f>"Investitionen "&amp;Berechnung!$B$16</f>
        <v>Investitionen HB 26</v>
      </c>
      <c r="B82">
        <f>IFERROR(IF(INDEX(Daten_Anteile!$A:$ZZ,MATCH(Berechnung!$B$12&amp;"|Investitionen|"&amp;Berechnung!$B$2,Daten_Anteile!$A$1:$A$2971,0),6)="",NA(),INDEX(Daten_Anteile!$A:$ZZ,MATCH(Berechnung!$B$12&amp;"|Investitionen|"&amp;Berechnung!$B$2,Daten_Anteile!$A$1:$A$2971,0),6)),NA())</f>
        <v>24</v>
      </c>
      <c r="C82">
        <f>IFERROR(IF(INDEX(Daten_Anteile!$A:$ZZ,MATCH(Berechnung!$B$12&amp;"|Investitionen|"&amp;Berechnung!$B$2,Daten_Anteile!$A$1:$A$2971,0),7)="",NA(),INDEX(Daten_Anteile!$A:$ZZ,MATCH(Berechnung!$B$12&amp;"|Investitionen|"&amp;Berechnung!$B$2,Daten_Anteile!$A$1:$A$2971,0),7)),NA())</f>
        <v>46</v>
      </c>
      <c r="D82">
        <f>IFERROR(IF(INDEX(Daten_Anteile!$A:$ZZ,MATCH(Berechnung!$B$12&amp;"|Investitionen|"&amp;Berechnung!$B$2,Daten_Anteile!$A$1:$A$2971,0),8)="",NA(),INDEX(Daten_Anteile!$A:$ZZ,MATCH(Berechnung!$B$12&amp;"|Investitionen|"&amp;Berechnung!$B$2,Daten_Anteile!$A$1:$A$2971,0),8)),NA())</f>
        <v>30</v>
      </c>
    </row>
    <row r="83" spans="1:17" x14ac:dyDescent="0.25">
      <c r="A83" t="str">
        <f>"Investitionen "&amp;Berechnung!$B$17</f>
        <v>Investitionen FS 26</v>
      </c>
      <c r="B83">
        <f>IFERROR(IF(INDEX(Daten_Anteile!$A:$ZZ,MATCH(Berechnung!$B$12&amp;"|Investitionen|"&amp;Berechnung!$B$3,Daten_Anteile!$A$1:$A$2971,0),6)="",NA(),INDEX(Daten_Anteile!$A:$ZZ,MATCH(Berechnung!$B$12&amp;"|Investitionen|"&amp;Berechnung!$B$3,Daten_Anteile!$A$1:$A$2971,0),6)),NA())</f>
        <v>23</v>
      </c>
      <c r="C83">
        <f>IFERROR(IF(INDEX(Daten_Anteile!$A:$ZZ,MATCH(Berechnung!$B$12&amp;"|Investitionen|"&amp;Berechnung!$B$3,Daten_Anteile!$A$1:$A$2971,0),7)="",NA(),INDEX(Daten_Anteile!$A:$ZZ,MATCH(Berechnung!$B$12&amp;"|Investitionen|"&amp;Berechnung!$B$3,Daten_Anteile!$A$1:$A$2971,0),7)),NA())</f>
        <v>43</v>
      </c>
      <c r="D83">
        <f>IFERROR(IF(INDEX(Daten_Anteile!$A:$ZZ,MATCH(Berechnung!$B$12&amp;"|Investitionen|"&amp;Berechnung!$B$3,Daten_Anteile!$A$1:$A$2971,0),8)="",NA(),INDEX(Daten_Anteile!$A:$ZZ,MATCH(Berechnung!$B$12&amp;"|Investitionen|"&amp;Berechnung!$B$3,Daten_Anteile!$A$1:$A$2971,0),8)),NA())</f>
        <v>34</v>
      </c>
    </row>
    <row r="84" spans="1:17" x14ac:dyDescent="0.25">
      <c r="A84" t="s">
        <v>306</v>
      </c>
    </row>
    <row r="85" spans="1:17" x14ac:dyDescent="0.25">
      <c r="A85" t="str">
        <f>"Beschäftigung "&amp;Berechnung!$B$16</f>
        <v>Beschäftigung HB 26</v>
      </c>
      <c r="B85">
        <f>IFERROR(IF(INDEX(Daten_Anteile!$A:$ZZ,MATCH(Berechnung!$B$12&amp;"|Beschäftigung|"&amp;Berechnung!$B$2,Daten_Anteile!$A$1:$A$2971,0),6)="",NA(),INDEX(Daten_Anteile!$A:$ZZ,MATCH(Berechnung!$B$12&amp;"|Beschäftigung|"&amp;Berechnung!$B$2,Daten_Anteile!$A$1:$A$2971,0),6)),NA())</f>
        <v>11</v>
      </c>
      <c r="C85">
        <f>IFERROR(IF(INDEX(Daten_Anteile!$A:$ZZ,MATCH(Berechnung!$B$12&amp;"|Beschäftigung|"&amp;Berechnung!$B$2,Daten_Anteile!$A$1:$A$2971,0),7)="",NA(),INDEX(Daten_Anteile!$A:$ZZ,MATCH(Berechnung!$B$12&amp;"|Beschäftigung|"&amp;Berechnung!$B$2,Daten_Anteile!$A$1:$A$2971,0),7)),NA())</f>
        <v>65</v>
      </c>
      <c r="D85">
        <f>IFERROR(IF(INDEX(Daten_Anteile!$A:$ZZ,MATCH(Berechnung!$B$12&amp;"|Beschäftigung|"&amp;Berechnung!$B$2,Daten_Anteile!$A$1:$A$2971,0),8)="",NA(),INDEX(Daten_Anteile!$A:$ZZ,MATCH(Berechnung!$B$12&amp;"|Beschäftigung|"&amp;Berechnung!$B$2,Daten_Anteile!$A$1:$A$2971,0),8)),NA())</f>
        <v>24</v>
      </c>
    </row>
    <row r="86" spans="1:17" x14ac:dyDescent="0.25">
      <c r="A86" t="str">
        <f>"Beschäftigung "&amp;Berechnung!$B$17</f>
        <v>Beschäftigung FS 26</v>
      </c>
      <c r="B86">
        <f>IFERROR(IF(INDEX(Daten_Anteile!$A:$ZZ,MATCH(Berechnung!$B$12&amp;"|Beschäftigung|"&amp;Berechnung!$B$3,Daten_Anteile!$A$1:$A$2971,0),6)="",NA(),INDEX(Daten_Anteile!$A:$ZZ,MATCH(Berechnung!$B$12&amp;"|Beschäftigung|"&amp;Berechnung!$B$3,Daten_Anteile!$A$1:$A$2971,0),6)),NA())</f>
        <v>10</v>
      </c>
      <c r="C86">
        <f>IFERROR(IF(INDEX(Daten_Anteile!$A:$ZZ,MATCH(Berechnung!$B$12&amp;"|Beschäftigung|"&amp;Berechnung!$B$3,Daten_Anteile!$A$1:$A$2971,0),7)="",NA(),INDEX(Daten_Anteile!$A:$ZZ,MATCH(Berechnung!$B$12&amp;"|Beschäftigung|"&amp;Berechnung!$B$3,Daten_Anteile!$A$1:$A$2971,0),7)),NA())</f>
        <v>66</v>
      </c>
      <c r="D86">
        <f>IFERROR(IF(INDEX(Daten_Anteile!$A:$ZZ,MATCH(Berechnung!$B$12&amp;"|Beschäftigung|"&amp;Berechnung!$B$3,Daten_Anteile!$A$1:$A$2971,0),8)="",NA(),INDEX(Daten_Anteile!$A:$ZZ,MATCH(Berechnung!$B$12&amp;"|Beschäftigung|"&amp;Berechnung!$B$3,Daten_Anteile!$A$1:$A$2971,0),8)),NA())</f>
        <v>24</v>
      </c>
    </row>
    <row r="89" spans="1:17" x14ac:dyDescent="0.25">
      <c r="A89" t="s">
        <v>307</v>
      </c>
    </row>
    <row r="90" spans="1:17" x14ac:dyDescent="0.25">
      <c r="A90" t="s">
        <v>70</v>
      </c>
      <c r="B90" t="s">
        <v>308</v>
      </c>
      <c r="C90" t="str">
        <f>Berechnung!$B$14&amp;IF(AND(ISNUMBER(Dashboard!$P$11),Dashboard!$P$11&lt;30)," ⚠ n&lt;30","")</f>
        <v>Alle Branchen</v>
      </c>
      <c r="D90" t="str">
        <f>IF(Berechnung!$B$15="","",Berechnung!$B$15&amp;IF(AND(ISNUMBER(Dashboard!$P$12),Dashboard!$P$12&lt;30)," ⚠ n&lt;30",""))</f>
        <v>Industrie</v>
      </c>
      <c r="E90" t="s">
        <v>309</v>
      </c>
      <c r="F90" t="str">
        <f>Berechnung!$B$14&amp;IF(AND(ISNUMBER(Dashboard!$P$11),Dashboard!$P$11&lt;30)," ⚠ n&lt;30","")</f>
        <v>Alle Branchen</v>
      </c>
      <c r="G90" t="str">
        <f>IF(Berechnung!$B$15="","",Berechnung!$B$15&amp;IF(AND(ISNUMBER(Dashboard!$P$12),Dashboard!$P$12&lt;30)," ⚠ n&lt;30",""))</f>
        <v>Industrie</v>
      </c>
      <c r="H90" t="s">
        <v>309</v>
      </c>
      <c r="I90" t="str">
        <f>Berechnung!$B$14&amp;IF(AND(ISNUMBER(Dashboard!$P$11),Dashboard!$P$11&lt;30)," ⚠ n&lt;30","")</f>
        <v>Alle Branchen</v>
      </c>
      <c r="J90" t="str">
        <f>IF(Berechnung!$B$15="","",Berechnung!$B$15&amp;IF(AND(ISNUMBER(Dashboard!$P$12),Dashboard!$P$12&lt;30)," ⚠ n&lt;30",""))</f>
        <v>Industrie</v>
      </c>
      <c r="K90" t="s">
        <v>309</v>
      </c>
      <c r="L90" t="str">
        <f>Berechnung!$B$14&amp;IF(AND(ISNUMBER(Dashboard!$P$11),Dashboard!$P$11&lt;30)," ⚠ n&lt;30","")</f>
        <v>Alle Branchen</v>
      </c>
      <c r="M90" t="str">
        <f>IF(Berechnung!$B$15="","",Berechnung!$B$15&amp;IF(AND(ISNUMBER(Dashboard!$P$12),Dashboard!$P$12&lt;30)," ⚠ n&lt;30",""))</f>
        <v>Industrie</v>
      </c>
      <c r="N90" t="s">
        <v>309</v>
      </c>
      <c r="O90" t="str">
        <f>Berechnung!$B$14&amp;IF(AND(ISNUMBER(Dashboard!$P$11),Dashboard!$P$11&lt;30)," ⚠ n&lt;30","")</f>
        <v>Alle Branchen</v>
      </c>
      <c r="P90" t="str">
        <f>IF(Berechnung!$B$15="","",Berechnung!$B$15&amp;IF(AND(ISNUMBER(Dashboard!$P$12),Dashboard!$P$12&lt;30)," ⚠ n&lt;30",""))</f>
        <v>Industrie</v>
      </c>
      <c r="Q90" t="s">
        <v>309</v>
      </c>
    </row>
    <row r="91" spans="1:17" x14ac:dyDescent="0.25">
      <c r="A91" t="s">
        <v>173</v>
      </c>
      <c r="C91">
        <f>IFERROR(IF(INDEX(Daten_Salden!$A:$ZZ,Berechnung!$B$21,5)="",NA(),INDEX(Daten_Salden!$A:$ZZ,Berechnung!$B$21,5)),NA())</f>
        <v>-15</v>
      </c>
      <c r="D91">
        <f>IFERROR(IF(INDEX(Daten_Salden!$A:$ZZ,Berechnung!$C$21,5)="",NA(),INDEX(Daten_Salden!$A:$ZZ,Berechnung!$C$21,5)),NA())</f>
        <v>-13</v>
      </c>
      <c r="E91">
        <f>IFERROR(IF(INDEX(Daten_Salden!$A:$ZZ,Berechnung!$B$21,4)="",NA(),INDEX(Daten_Salden!$A:$ZZ,Berechnung!$B$21,4)),NA())</f>
        <v>18.585999999999999</v>
      </c>
      <c r="F91">
        <f>IFERROR(IF(INDEX(Daten_Salden!$A:$ZZ,Berechnung!$B$22,5)="",NA(),INDEX(Daten_Salden!$A:$ZZ,Berechnung!$B$22,5)),NA())</f>
        <v>5</v>
      </c>
      <c r="G91">
        <f>IFERROR(IF(INDEX(Daten_Salden!$A:$ZZ,Berechnung!$C$22,5)="",NA(),INDEX(Daten_Salden!$A:$ZZ,Berechnung!$C$22,5)),NA())</f>
        <v>13</v>
      </c>
      <c r="H91">
        <f>IFERROR(IF(INDEX(Daten_Salden!$A:$ZZ,Berechnung!$B$22,4)="",NA(),INDEX(Daten_Salden!$A:$ZZ,Berechnung!$B$22,4)),NA())</f>
        <v>1.986</v>
      </c>
      <c r="I91" t="e">
        <f>IFERROR(IF(INDEX(Daten_Salden!$A:$ZZ,Berechnung!$B$23,5)="",NA(),INDEX(Daten_Salden!$A:$ZZ,Berechnung!$B$23,5)),NA())</f>
        <v>#N/A</v>
      </c>
      <c r="J91">
        <f>IFERROR(IF(INDEX(Daten_Salden!$A:$ZZ,Berechnung!$C$23,5)="",NA(),INDEX(Daten_Salden!$A:$ZZ,Berechnung!$C$23,5)),NA())</f>
        <v>23</v>
      </c>
      <c r="K91" t="e">
        <f>IFERROR(IF(INDEX(Daten_Salden!$A:$ZZ,Berechnung!$B$23,4)="",NA(),INDEX(Daten_Salden!$A:$ZZ,Berechnung!$B$23,4)),NA())</f>
        <v>#N/A</v>
      </c>
      <c r="L91">
        <f>IFERROR(IF(INDEX(Daten_Salden!$A:$ZZ,Berechnung!$B$24,5)="",NA(),INDEX(Daten_Salden!$A:$ZZ,Berechnung!$B$24,5)),NA())</f>
        <v>-19</v>
      </c>
      <c r="M91">
        <f>IFERROR(IF(INDEX(Daten_Salden!$A:$ZZ,Berechnung!$C$24,5)="",NA(),INDEX(Daten_Salden!$A:$ZZ,Berechnung!$C$24,5)),NA())</f>
        <v>-14</v>
      </c>
      <c r="N91">
        <f>IFERROR(IF(INDEX(Daten_Salden!$A:$ZZ,Berechnung!$B$24,4)="",NA(),INDEX(Daten_Salden!$A:$ZZ,Berechnung!$B$24,4)),NA())</f>
        <v>2.2429999999999999</v>
      </c>
      <c r="O91">
        <f>IFERROR(IF(INDEX(Daten_Salden!$A:$ZZ,Berechnung!$B$25,5)="",NA(),INDEX(Daten_Salden!$A:$ZZ,Berechnung!$B$25,5)),NA())</f>
        <v>-22</v>
      </c>
      <c r="P91">
        <f>IFERROR(IF(INDEX(Daten_Salden!$A:$ZZ,Berechnung!$C$25,5)="",NA(),INDEX(Daten_Salden!$A:$ZZ,Berechnung!$C$25,5)),NA())</f>
        <v>-26</v>
      </c>
      <c r="Q91">
        <f>IFERROR(IF(INDEX(Daten_Salden!$A:$ZZ,Berechnung!$B$25,4)="",NA(),INDEX(Daten_Salden!$A:$ZZ,Berechnung!$B$25,4)),NA())</f>
        <v>-1.4</v>
      </c>
    </row>
    <row r="92" spans="1:17" x14ac:dyDescent="0.25">
      <c r="A92" t="s">
        <v>174</v>
      </c>
      <c r="B92" t="s">
        <v>310</v>
      </c>
      <c r="C92">
        <f>IFERROR(IF(INDEX(Daten_Salden!$A:$ZZ,Berechnung!$B$21,6)="",NA(),INDEX(Daten_Salden!$A:$ZZ,Berechnung!$B$21,6)),NA())</f>
        <v>-6</v>
      </c>
      <c r="D92">
        <f>IFERROR(IF(INDEX(Daten_Salden!$A:$ZZ,Berechnung!$C$21,6)="",NA(),INDEX(Daten_Salden!$A:$ZZ,Berechnung!$C$21,6)),NA())</f>
        <v>-2</v>
      </c>
      <c r="E92">
        <f>IFERROR(IF(INDEX(Daten_Salden!$A:$ZZ,Berechnung!$B$21,4)="",NA(),INDEX(Daten_Salden!$A:$ZZ,Berechnung!$B$21,4)),NA())</f>
        <v>18.585999999999999</v>
      </c>
      <c r="F92">
        <f>IFERROR(IF(INDEX(Daten_Salden!$A:$ZZ,Berechnung!$B$22,6)="",NA(),INDEX(Daten_Salden!$A:$ZZ,Berechnung!$B$22,6)),NA())</f>
        <v>11</v>
      </c>
      <c r="G92">
        <f>IFERROR(IF(INDEX(Daten_Salden!$A:$ZZ,Berechnung!$C$22,6)="",NA(),INDEX(Daten_Salden!$A:$ZZ,Berechnung!$C$22,6)),NA())</f>
        <v>18</v>
      </c>
      <c r="H92">
        <f>IFERROR(IF(INDEX(Daten_Salden!$A:$ZZ,Berechnung!$B$22,4)="",NA(),INDEX(Daten_Salden!$A:$ZZ,Berechnung!$B$22,4)),NA())</f>
        <v>1.986</v>
      </c>
      <c r="I92" t="e">
        <f>IFERROR(IF(INDEX(Daten_Salden!$A:$ZZ,Berechnung!$B$23,6)="",NA(),INDEX(Daten_Salden!$A:$ZZ,Berechnung!$B$23,6)),NA())</f>
        <v>#N/A</v>
      </c>
      <c r="J92">
        <f>IFERROR(IF(INDEX(Daten_Salden!$A:$ZZ,Berechnung!$C$23,6)="",NA(),INDEX(Daten_Salden!$A:$ZZ,Berechnung!$C$23,6)),NA())</f>
        <v>30</v>
      </c>
      <c r="K92" t="e">
        <f>IFERROR(IF(INDEX(Daten_Salden!$A:$ZZ,Berechnung!$B$23,4)="",NA(),INDEX(Daten_Salden!$A:$ZZ,Berechnung!$B$23,4)),NA())</f>
        <v>#N/A</v>
      </c>
      <c r="L92">
        <f>IFERROR(IF(INDEX(Daten_Salden!$A:$ZZ,Berechnung!$B$24,6)="",NA(),INDEX(Daten_Salden!$A:$ZZ,Berechnung!$B$24,6)),NA())</f>
        <v>-11</v>
      </c>
      <c r="M92">
        <f>IFERROR(IF(INDEX(Daten_Salden!$A:$ZZ,Berechnung!$C$24,6)="",NA(),INDEX(Daten_Salden!$A:$ZZ,Berechnung!$C$24,6)),NA())</f>
        <v>-6</v>
      </c>
      <c r="N92">
        <f>IFERROR(IF(INDEX(Daten_Salden!$A:$ZZ,Berechnung!$B$24,4)="",NA(),INDEX(Daten_Salden!$A:$ZZ,Berechnung!$B$24,4)),NA())</f>
        <v>2.2429999999999999</v>
      </c>
      <c r="O92">
        <f>IFERROR(IF(INDEX(Daten_Salden!$A:$ZZ,Berechnung!$B$25,6)="",NA(),INDEX(Daten_Salden!$A:$ZZ,Berechnung!$B$25,6)),NA())</f>
        <v>-19</v>
      </c>
      <c r="P92">
        <f>IFERROR(IF(INDEX(Daten_Salden!$A:$ZZ,Berechnung!$C$25,6)="",NA(),INDEX(Daten_Salden!$A:$ZZ,Berechnung!$C$25,6)),NA())</f>
        <v>-23</v>
      </c>
      <c r="Q92">
        <f>IFERROR(IF(INDEX(Daten_Salden!$A:$ZZ,Berechnung!$B$25,4)="",NA(),INDEX(Daten_Salden!$A:$ZZ,Berechnung!$B$25,4)),NA())</f>
        <v>-1.4</v>
      </c>
    </row>
    <row r="93" spans="1:17" x14ac:dyDescent="0.25">
      <c r="A93" t="s">
        <v>175</v>
      </c>
      <c r="C93">
        <f>IFERROR(IF(INDEX(Daten_Salden!$A:$ZZ,Berechnung!$B$21,7)="",NA(),INDEX(Daten_Salden!$A:$ZZ,Berechnung!$B$21,7)),NA())</f>
        <v>-6</v>
      </c>
      <c r="D93">
        <f>IFERROR(IF(INDEX(Daten_Salden!$A:$ZZ,Berechnung!$C$21,7)="",NA(),INDEX(Daten_Salden!$A:$ZZ,Berechnung!$C$21,7)),NA())</f>
        <v>-1</v>
      </c>
      <c r="E93">
        <f>IFERROR(IF(INDEX(Daten_Salden!$A:$ZZ,Berechnung!$B$21,4)="",NA(),INDEX(Daten_Salden!$A:$ZZ,Berechnung!$B$21,4)),NA())</f>
        <v>18.585999999999999</v>
      </c>
      <c r="F93">
        <f>IFERROR(IF(INDEX(Daten_Salden!$A:$ZZ,Berechnung!$B$22,7)="",NA(),INDEX(Daten_Salden!$A:$ZZ,Berechnung!$B$22,7)),NA())</f>
        <v>3</v>
      </c>
      <c r="G93">
        <f>IFERROR(IF(INDEX(Daten_Salden!$A:$ZZ,Berechnung!$C$22,7)="",NA(),INDEX(Daten_Salden!$A:$ZZ,Berechnung!$C$22,7)),NA())</f>
        <v>8</v>
      </c>
      <c r="H93">
        <f>IFERROR(IF(INDEX(Daten_Salden!$A:$ZZ,Berechnung!$B$22,4)="",NA(),INDEX(Daten_Salden!$A:$ZZ,Berechnung!$B$22,4)),NA())</f>
        <v>1.986</v>
      </c>
      <c r="I93" t="e">
        <f>IFERROR(IF(INDEX(Daten_Salden!$A:$ZZ,Berechnung!$B$23,7)="",NA(),INDEX(Daten_Salden!$A:$ZZ,Berechnung!$B$23,7)),NA())</f>
        <v>#N/A</v>
      </c>
      <c r="J93">
        <f>IFERROR(IF(INDEX(Daten_Salden!$A:$ZZ,Berechnung!$C$23,7)="",NA(),INDEX(Daten_Salden!$A:$ZZ,Berechnung!$C$23,7)),NA())</f>
        <v>21</v>
      </c>
      <c r="K93" t="e">
        <f>IFERROR(IF(INDEX(Daten_Salden!$A:$ZZ,Berechnung!$B$23,4)="",NA(),INDEX(Daten_Salden!$A:$ZZ,Berechnung!$B$23,4)),NA())</f>
        <v>#N/A</v>
      </c>
      <c r="L93">
        <f>IFERROR(IF(INDEX(Daten_Salden!$A:$ZZ,Berechnung!$B$24,7)="",NA(),INDEX(Daten_Salden!$A:$ZZ,Berechnung!$B$24,7)),NA())</f>
        <v>-12</v>
      </c>
      <c r="M93">
        <f>IFERROR(IF(INDEX(Daten_Salden!$A:$ZZ,Berechnung!$C$24,7)="",NA(),INDEX(Daten_Salden!$A:$ZZ,Berechnung!$C$24,7)),NA())</f>
        <v>-9</v>
      </c>
      <c r="N93">
        <f>IFERROR(IF(INDEX(Daten_Salden!$A:$ZZ,Berechnung!$B$24,4)="",NA(),INDEX(Daten_Salden!$A:$ZZ,Berechnung!$B$24,4)),NA())</f>
        <v>2.2429999999999999</v>
      </c>
      <c r="O93">
        <f>IFERROR(IF(INDEX(Daten_Salden!$A:$ZZ,Berechnung!$B$25,7)="",NA(),INDEX(Daten_Salden!$A:$ZZ,Berechnung!$B$25,7)),NA())</f>
        <v>-20</v>
      </c>
      <c r="P93">
        <f>IFERROR(IF(INDEX(Daten_Salden!$A:$ZZ,Berechnung!$C$25,7)="",NA(),INDEX(Daten_Salden!$A:$ZZ,Berechnung!$C$25,7)),NA())</f>
        <v>-24</v>
      </c>
      <c r="Q93">
        <f>IFERROR(IF(INDEX(Daten_Salden!$A:$ZZ,Berechnung!$B$25,4)="",NA(),INDEX(Daten_Salden!$A:$ZZ,Berechnung!$B$25,4)),NA())</f>
        <v>-1.4</v>
      </c>
    </row>
    <row r="94" spans="1:17" x14ac:dyDescent="0.25">
      <c r="A94" t="s">
        <v>176</v>
      </c>
      <c r="C94">
        <f>IFERROR(IF(INDEX(Daten_Salden!$A:$ZZ,Berechnung!$B$21,8)="",NA(),INDEX(Daten_Salden!$A:$ZZ,Berechnung!$B$21,8)),NA())</f>
        <v>-3</v>
      </c>
      <c r="D94">
        <f>IFERROR(IF(INDEX(Daten_Salden!$A:$ZZ,Berechnung!$C$21,8)="",NA(),INDEX(Daten_Salden!$A:$ZZ,Berechnung!$C$21,8)),NA())</f>
        <v>7</v>
      </c>
      <c r="E94">
        <f>IFERROR(IF(INDEX(Daten_Salden!$A:$ZZ,Berechnung!$B$21,4)="",NA(),INDEX(Daten_Salden!$A:$ZZ,Berechnung!$B$21,4)),NA())</f>
        <v>18.585999999999999</v>
      </c>
      <c r="F94">
        <f>IFERROR(IF(INDEX(Daten_Salden!$A:$ZZ,Berechnung!$B$22,8)="",NA(),INDEX(Daten_Salden!$A:$ZZ,Berechnung!$B$22,8)),NA())</f>
        <v>4</v>
      </c>
      <c r="G94">
        <f>IFERROR(IF(INDEX(Daten_Salden!$A:$ZZ,Berechnung!$C$22,8)="",NA(),INDEX(Daten_Salden!$A:$ZZ,Berechnung!$C$22,8)),NA())</f>
        <v>11</v>
      </c>
      <c r="H94">
        <f>IFERROR(IF(INDEX(Daten_Salden!$A:$ZZ,Berechnung!$B$22,4)="",NA(),INDEX(Daten_Salden!$A:$ZZ,Berechnung!$B$22,4)),NA())</f>
        <v>1.986</v>
      </c>
      <c r="I94" t="e">
        <f>IFERROR(IF(INDEX(Daten_Salden!$A:$ZZ,Berechnung!$B$23,8)="",NA(),INDEX(Daten_Salden!$A:$ZZ,Berechnung!$B$23,8)),NA())</f>
        <v>#N/A</v>
      </c>
      <c r="J94">
        <f>IFERROR(IF(INDEX(Daten_Salden!$A:$ZZ,Berechnung!$C$23,8)="",NA(),INDEX(Daten_Salden!$A:$ZZ,Berechnung!$C$23,8)),NA())</f>
        <v>36</v>
      </c>
      <c r="K94" t="e">
        <f>IFERROR(IF(INDEX(Daten_Salden!$A:$ZZ,Berechnung!$B$23,4)="",NA(),INDEX(Daten_Salden!$A:$ZZ,Berechnung!$B$23,4)),NA())</f>
        <v>#N/A</v>
      </c>
      <c r="L94">
        <f>IFERROR(IF(INDEX(Daten_Salden!$A:$ZZ,Berechnung!$B$24,8)="",NA(),INDEX(Daten_Salden!$A:$ZZ,Berechnung!$B$24,8)),NA())</f>
        <v>-11</v>
      </c>
      <c r="M94">
        <f>IFERROR(IF(INDEX(Daten_Salden!$A:$ZZ,Berechnung!$C$24,8)="",NA(),INDEX(Daten_Salden!$A:$ZZ,Berechnung!$C$24,8)),NA())</f>
        <v>-3</v>
      </c>
      <c r="N94">
        <f>IFERROR(IF(INDEX(Daten_Salden!$A:$ZZ,Berechnung!$B$24,4)="",NA(),INDEX(Daten_Salden!$A:$ZZ,Berechnung!$B$24,4)),NA())</f>
        <v>2.2429999999999999</v>
      </c>
      <c r="O94">
        <f>IFERROR(IF(INDEX(Daten_Salden!$A:$ZZ,Berechnung!$B$25,8)="",NA(),INDEX(Daten_Salden!$A:$ZZ,Berechnung!$B$25,8)),NA())</f>
        <v>-16</v>
      </c>
      <c r="P94">
        <f>IFERROR(IF(INDEX(Daten_Salden!$A:$ZZ,Berechnung!$C$25,8)="",NA(),INDEX(Daten_Salden!$A:$ZZ,Berechnung!$C$25,8)),NA())</f>
        <v>-18</v>
      </c>
      <c r="Q94">
        <f>IFERROR(IF(INDEX(Daten_Salden!$A:$ZZ,Berechnung!$B$25,4)="",NA(),INDEX(Daten_Salden!$A:$ZZ,Berechnung!$B$25,4)),NA())</f>
        <v>-1.4</v>
      </c>
    </row>
    <row r="95" spans="1:17" x14ac:dyDescent="0.25">
      <c r="A95" t="s">
        <v>177</v>
      </c>
      <c r="B95" t="s">
        <v>311</v>
      </c>
      <c r="C95">
        <f>IFERROR(IF(INDEX(Daten_Salden!$A:$ZZ,Berechnung!$B$21,9)="",NA(),INDEX(Daten_Salden!$A:$ZZ,Berechnung!$B$21,9)),NA())</f>
        <v>4</v>
      </c>
      <c r="D95">
        <f>IFERROR(IF(INDEX(Daten_Salden!$A:$ZZ,Berechnung!$C$21,9)="",NA(),INDEX(Daten_Salden!$A:$ZZ,Berechnung!$C$21,9)),NA())</f>
        <v>10</v>
      </c>
      <c r="E95">
        <f>IFERROR(IF(INDEX(Daten_Salden!$A:$ZZ,Berechnung!$B$21,4)="",NA(),INDEX(Daten_Salden!$A:$ZZ,Berechnung!$B$21,4)),NA())</f>
        <v>18.585999999999999</v>
      </c>
      <c r="F95">
        <f>IFERROR(IF(INDEX(Daten_Salden!$A:$ZZ,Berechnung!$B$22,9)="",NA(),INDEX(Daten_Salden!$A:$ZZ,Berechnung!$B$22,9)),NA())</f>
        <v>5</v>
      </c>
      <c r="G95">
        <f>IFERROR(IF(INDEX(Daten_Salden!$A:$ZZ,Berechnung!$C$22,9)="",NA(),INDEX(Daten_Salden!$A:$ZZ,Berechnung!$C$22,9)),NA())</f>
        <v>9</v>
      </c>
      <c r="H95">
        <f>IFERROR(IF(INDEX(Daten_Salden!$A:$ZZ,Berechnung!$B$22,4)="",NA(),INDEX(Daten_Salden!$A:$ZZ,Berechnung!$B$22,4)),NA())</f>
        <v>1.986</v>
      </c>
      <c r="I95" t="e">
        <f>IFERROR(IF(INDEX(Daten_Salden!$A:$ZZ,Berechnung!$B$23,9)="",NA(),INDEX(Daten_Salden!$A:$ZZ,Berechnung!$B$23,9)),NA())</f>
        <v>#N/A</v>
      </c>
      <c r="J95">
        <f>IFERROR(IF(INDEX(Daten_Salden!$A:$ZZ,Berechnung!$C$23,9)="",NA(),INDEX(Daten_Salden!$A:$ZZ,Berechnung!$C$23,9)),NA())</f>
        <v>31</v>
      </c>
      <c r="K95" t="e">
        <f>IFERROR(IF(INDEX(Daten_Salden!$A:$ZZ,Berechnung!$B$23,4)="",NA(),INDEX(Daten_Salden!$A:$ZZ,Berechnung!$B$23,4)),NA())</f>
        <v>#N/A</v>
      </c>
      <c r="L95">
        <f>IFERROR(IF(INDEX(Daten_Salden!$A:$ZZ,Berechnung!$B$24,9)="",NA(),INDEX(Daten_Salden!$A:$ZZ,Berechnung!$B$24,9)),NA())</f>
        <v>-6</v>
      </c>
      <c r="M95">
        <f>IFERROR(IF(INDEX(Daten_Salden!$A:$ZZ,Berechnung!$C$24,9)="",NA(),INDEX(Daten_Salden!$A:$ZZ,Berechnung!$C$24,9)),NA())</f>
        <v>0</v>
      </c>
      <c r="N95">
        <f>IFERROR(IF(INDEX(Daten_Salden!$A:$ZZ,Berechnung!$B$24,4)="",NA(),INDEX(Daten_Salden!$A:$ZZ,Berechnung!$B$24,4)),NA())</f>
        <v>2.2429999999999999</v>
      </c>
      <c r="O95">
        <f>IFERROR(IF(INDEX(Daten_Salden!$A:$ZZ,Berechnung!$B$25,9)="",NA(),INDEX(Daten_Salden!$A:$ZZ,Berechnung!$B$25,9)),NA())</f>
        <v>-14</v>
      </c>
      <c r="P95">
        <f>IFERROR(IF(INDEX(Daten_Salden!$A:$ZZ,Berechnung!$C$25,9)="",NA(),INDEX(Daten_Salden!$A:$ZZ,Berechnung!$C$25,9)),NA())</f>
        <v>-18</v>
      </c>
      <c r="Q95">
        <f>IFERROR(IF(INDEX(Daten_Salden!$A:$ZZ,Berechnung!$B$25,4)="",NA(),INDEX(Daten_Salden!$A:$ZZ,Berechnung!$B$25,4)),NA())</f>
        <v>-1.4</v>
      </c>
    </row>
    <row r="96" spans="1:17" x14ac:dyDescent="0.25">
      <c r="A96" t="s">
        <v>178</v>
      </c>
      <c r="C96">
        <f>IFERROR(IF(INDEX(Daten_Salden!$A:$ZZ,Berechnung!$B$21,10)="",NA(),INDEX(Daten_Salden!$A:$ZZ,Berechnung!$B$21,10)),NA())</f>
        <v>-6</v>
      </c>
      <c r="D96">
        <f>IFERROR(IF(INDEX(Daten_Salden!$A:$ZZ,Berechnung!$C$21,10)="",NA(),INDEX(Daten_Salden!$A:$ZZ,Berechnung!$C$21,10)),NA())</f>
        <v>-2</v>
      </c>
      <c r="E96">
        <f>IFERROR(IF(INDEX(Daten_Salden!$A:$ZZ,Berechnung!$B$21,4)="",NA(),INDEX(Daten_Salden!$A:$ZZ,Berechnung!$B$21,4)),NA())</f>
        <v>18.585999999999999</v>
      </c>
      <c r="F96">
        <f>IFERROR(IF(INDEX(Daten_Salden!$A:$ZZ,Berechnung!$B$22,10)="",NA(),INDEX(Daten_Salden!$A:$ZZ,Berechnung!$B$22,10)),NA())</f>
        <v>-1</v>
      </c>
      <c r="G96">
        <f>IFERROR(IF(INDEX(Daten_Salden!$A:$ZZ,Berechnung!$C$22,10)="",NA(),INDEX(Daten_Salden!$A:$ZZ,Berechnung!$C$22,10)),NA())</f>
        <v>2</v>
      </c>
      <c r="H96">
        <f>IFERROR(IF(INDEX(Daten_Salden!$A:$ZZ,Berechnung!$B$22,4)="",NA(),INDEX(Daten_Salden!$A:$ZZ,Berechnung!$B$22,4)),NA())</f>
        <v>1.986</v>
      </c>
      <c r="I96" t="e">
        <f>IFERROR(IF(INDEX(Daten_Salden!$A:$ZZ,Berechnung!$B$23,10)="",NA(),INDEX(Daten_Salden!$A:$ZZ,Berechnung!$B$23,10)),NA())</f>
        <v>#N/A</v>
      </c>
      <c r="J96">
        <f>IFERROR(IF(INDEX(Daten_Salden!$A:$ZZ,Berechnung!$C$23,10)="",NA(),INDEX(Daten_Salden!$A:$ZZ,Berechnung!$C$23,10)),NA())</f>
        <v>22</v>
      </c>
      <c r="K96" t="e">
        <f>IFERROR(IF(INDEX(Daten_Salden!$A:$ZZ,Berechnung!$B$23,4)="",NA(),INDEX(Daten_Salden!$A:$ZZ,Berechnung!$B$23,4)),NA())</f>
        <v>#N/A</v>
      </c>
      <c r="L96">
        <f>IFERROR(IF(INDEX(Daten_Salden!$A:$ZZ,Berechnung!$B$24,10)="",NA(),INDEX(Daten_Salden!$A:$ZZ,Berechnung!$B$24,10)),NA())</f>
        <v>-10</v>
      </c>
      <c r="M96">
        <f>IFERROR(IF(INDEX(Daten_Salden!$A:$ZZ,Berechnung!$C$24,10)="",NA(),INDEX(Daten_Salden!$A:$ZZ,Berechnung!$C$24,10)),NA())</f>
        <v>-6</v>
      </c>
      <c r="N96">
        <f>IFERROR(IF(INDEX(Daten_Salden!$A:$ZZ,Berechnung!$B$24,4)="",NA(),INDEX(Daten_Salden!$A:$ZZ,Berechnung!$B$24,4)),NA())</f>
        <v>2.2429999999999999</v>
      </c>
      <c r="O96">
        <f>IFERROR(IF(INDEX(Daten_Salden!$A:$ZZ,Berechnung!$B$25,10)="",NA(),INDEX(Daten_Salden!$A:$ZZ,Berechnung!$B$25,10)),NA())</f>
        <v>-17</v>
      </c>
      <c r="P96">
        <f>IFERROR(IF(INDEX(Daten_Salden!$A:$ZZ,Berechnung!$C$25,10)="",NA(),INDEX(Daten_Salden!$A:$ZZ,Berechnung!$C$25,10)),NA())</f>
        <v>-22</v>
      </c>
      <c r="Q96">
        <f>IFERROR(IF(INDEX(Daten_Salden!$A:$ZZ,Berechnung!$B$25,4)="",NA(),INDEX(Daten_Salden!$A:$ZZ,Berechnung!$B$25,4)),NA())</f>
        <v>-1.4</v>
      </c>
    </row>
    <row r="97" spans="1:17" x14ac:dyDescent="0.25">
      <c r="A97" t="s">
        <v>179</v>
      </c>
      <c r="C97">
        <f>IFERROR(IF(INDEX(Daten_Salden!$A:$ZZ,Berechnung!$B$21,11)="",NA(),INDEX(Daten_Salden!$A:$ZZ,Berechnung!$B$21,11)),NA())</f>
        <v>1</v>
      </c>
      <c r="D97">
        <f>IFERROR(IF(INDEX(Daten_Salden!$A:$ZZ,Berechnung!$C$21,11)="",NA(),INDEX(Daten_Salden!$A:$ZZ,Berechnung!$C$21,11)),NA())</f>
        <v>6</v>
      </c>
      <c r="E97">
        <f>IFERROR(IF(INDEX(Daten_Salden!$A:$ZZ,Berechnung!$B$21,4)="",NA(),INDEX(Daten_Salden!$A:$ZZ,Berechnung!$B$21,4)),NA())</f>
        <v>18.585999999999999</v>
      </c>
      <c r="F97">
        <f>IFERROR(IF(INDEX(Daten_Salden!$A:$ZZ,Berechnung!$B$22,11)="",NA(),INDEX(Daten_Salden!$A:$ZZ,Berechnung!$B$22,11)),NA())</f>
        <v>3</v>
      </c>
      <c r="G97">
        <f>IFERROR(IF(INDEX(Daten_Salden!$A:$ZZ,Berechnung!$C$22,11)="",NA(),INDEX(Daten_Salden!$A:$ZZ,Berechnung!$C$22,11)),NA())</f>
        <v>8</v>
      </c>
      <c r="H97">
        <f>IFERROR(IF(INDEX(Daten_Salden!$A:$ZZ,Berechnung!$B$22,4)="",NA(),INDEX(Daten_Salden!$A:$ZZ,Berechnung!$B$22,4)),NA())</f>
        <v>1.986</v>
      </c>
      <c r="I97" t="e">
        <f>IFERROR(IF(INDEX(Daten_Salden!$A:$ZZ,Berechnung!$B$23,11)="",NA(),INDEX(Daten_Salden!$A:$ZZ,Berechnung!$B$23,11)),NA())</f>
        <v>#N/A</v>
      </c>
      <c r="J97">
        <f>IFERROR(IF(INDEX(Daten_Salden!$A:$ZZ,Berechnung!$C$23,11)="",NA(),INDEX(Daten_Salden!$A:$ZZ,Berechnung!$C$23,11)),NA())</f>
        <v>32</v>
      </c>
      <c r="K97" t="e">
        <f>IFERROR(IF(INDEX(Daten_Salden!$A:$ZZ,Berechnung!$B$23,4)="",NA(),INDEX(Daten_Salden!$A:$ZZ,Berechnung!$B$23,4)),NA())</f>
        <v>#N/A</v>
      </c>
      <c r="L97">
        <f>IFERROR(IF(INDEX(Daten_Salden!$A:$ZZ,Berechnung!$B$24,11)="",NA(),INDEX(Daten_Salden!$A:$ZZ,Berechnung!$B$24,11)),NA())</f>
        <v>-6</v>
      </c>
      <c r="M97">
        <f>IFERROR(IF(INDEX(Daten_Salden!$A:$ZZ,Berechnung!$C$24,11)="",NA(),INDEX(Daten_Salden!$A:$ZZ,Berechnung!$C$24,11)),NA())</f>
        <v>-1</v>
      </c>
      <c r="N97">
        <f>IFERROR(IF(INDEX(Daten_Salden!$A:$ZZ,Berechnung!$B$24,4)="",NA(),INDEX(Daten_Salden!$A:$ZZ,Berechnung!$B$24,4)),NA())</f>
        <v>2.2429999999999999</v>
      </c>
      <c r="O97">
        <f>IFERROR(IF(INDEX(Daten_Salden!$A:$ZZ,Berechnung!$B$25,11)="",NA(),INDEX(Daten_Salden!$A:$ZZ,Berechnung!$B$25,11)),NA())</f>
        <v>-13</v>
      </c>
      <c r="P97">
        <f>IFERROR(IF(INDEX(Daten_Salden!$A:$ZZ,Berechnung!$C$25,11)="",NA(),INDEX(Daten_Salden!$A:$ZZ,Berechnung!$C$25,11)),NA())</f>
        <v>-17</v>
      </c>
      <c r="Q97">
        <f>IFERROR(IF(INDEX(Daten_Salden!$A:$ZZ,Berechnung!$B$25,4)="",NA(),INDEX(Daten_Salden!$A:$ZZ,Berechnung!$B$25,4)),NA())</f>
        <v>-1.4</v>
      </c>
    </row>
    <row r="98" spans="1:17" x14ac:dyDescent="0.25">
      <c r="A98" t="s">
        <v>180</v>
      </c>
      <c r="B98" t="s">
        <v>312</v>
      </c>
      <c r="C98">
        <f>IFERROR(IF(INDEX(Daten_Salden!$A:$ZZ,Berechnung!$B$21,12)="",NA(),INDEX(Daten_Salden!$A:$ZZ,Berechnung!$B$21,12)),NA())</f>
        <v>13</v>
      </c>
      <c r="D98">
        <f>IFERROR(IF(INDEX(Daten_Salden!$A:$ZZ,Berechnung!$C$21,12)="",NA(),INDEX(Daten_Salden!$A:$ZZ,Berechnung!$C$21,12)),NA())</f>
        <v>18</v>
      </c>
      <c r="E98">
        <f>IFERROR(IF(INDEX(Daten_Salden!$A:$ZZ,Berechnung!$B$21,4)="",NA(),INDEX(Daten_Salden!$A:$ZZ,Berechnung!$B$21,4)),NA())</f>
        <v>18.585999999999999</v>
      </c>
      <c r="F98">
        <f>IFERROR(IF(INDEX(Daten_Salden!$A:$ZZ,Berechnung!$B$22,12)="",NA(),INDEX(Daten_Salden!$A:$ZZ,Berechnung!$B$22,12)),NA())</f>
        <v>17</v>
      </c>
      <c r="G98">
        <f>IFERROR(IF(INDEX(Daten_Salden!$A:$ZZ,Berechnung!$C$22,12)="",NA(),INDEX(Daten_Salden!$A:$ZZ,Berechnung!$C$22,12)),NA())</f>
        <v>22</v>
      </c>
      <c r="H98">
        <f>IFERROR(IF(INDEX(Daten_Salden!$A:$ZZ,Berechnung!$B$22,4)="",NA(),INDEX(Daten_Salden!$A:$ZZ,Berechnung!$B$22,4)),NA())</f>
        <v>1.986</v>
      </c>
      <c r="I98" t="e">
        <f>IFERROR(IF(INDEX(Daten_Salden!$A:$ZZ,Berechnung!$B$23,12)="",NA(),INDEX(Daten_Salden!$A:$ZZ,Berechnung!$B$23,12)),NA())</f>
        <v>#N/A</v>
      </c>
      <c r="J98">
        <f>IFERROR(IF(INDEX(Daten_Salden!$A:$ZZ,Berechnung!$C$23,12)="",NA(),INDEX(Daten_Salden!$A:$ZZ,Berechnung!$C$23,12)),NA())</f>
        <v>40</v>
      </c>
      <c r="K98" t="e">
        <f>IFERROR(IF(INDEX(Daten_Salden!$A:$ZZ,Berechnung!$B$23,4)="",NA(),INDEX(Daten_Salden!$A:$ZZ,Berechnung!$B$23,4)),NA())</f>
        <v>#N/A</v>
      </c>
      <c r="L98">
        <f>IFERROR(IF(INDEX(Daten_Salden!$A:$ZZ,Berechnung!$B$24,12)="",NA(),INDEX(Daten_Salden!$A:$ZZ,Berechnung!$B$24,12)),NA())</f>
        <v>3</v>
      </c>
      <c r="M98">
        <f>IFERROR(IF(INDEX(Daten_Salden!$A:$ZZ,Berechnung!$C$24,12)="",NA(),INDEX(Daten_Salden!$A:$ZZ,Berechnung!$C$24,12)),NA())</f>
        <v>10</v>
      </c>
      <c r="N98">
        <f>IFERROR(IF(INDEX(Daten_Salden!$A:$ZZ,Berechnung!$B$24,4)="",NA(),INDEX(Daten_Salden!$A:$ZZ,Berechnung!$B$24,4)),NA())</f>
        <v>2.2429999999999999</v>
      </c>
      <c r="O98">
        <f>IFERROR(IF(INDEX(Daten_Salden!$A:$ZZ,Berechnung!$B$25,12)="",NA(),INDEX(Daten_Salden!$A:$ZZ,Berechnung!$B$25,12)),NA())</f>
        <v>-4</v>
      </c>
      <c r="P98">
        <f>IFERROR(IF(INDEX(Daten_Salden!$A:$ZZ,Berechnung!$C$25,12)="",NA(),INDEX(Daten_Salden!$A:$ZZ,Berechnung!$C$25,12)),NA())</f>
        <v>-7</v>
      </c>
      <c r="Q98">
        <f>IFERROR(IF(INDEX(Daten_Salden!$A:$ZZ,Berechnung!$B$25,4)="",NA(),INDEX(Daten_Salden!$A:$ZZ,Berechnung!$B$25,4)),NA())</f>
        <v>-1.4</v>
      </c>
    </row>
    <row r="99" spans="1:17" x14ac:dyDescent="0.25">
      <c r="A99" t="s">
        <v>181</v>
      </c>
      <c r="C99">
        <f>IFERROR(IF(INDEX(Daten_Salden!$A:$ZZ,Berechnung!$B$21,13)="",NA(),INDEX(Daten_Salden!$A:$ZZ,Berechnung!$B$21,13)),NA())</f>
        <v>19</v>
      </c>
      <c r="D99">
        <f>IFERROR(IF(INDEX(Daten_Salden!$A:$ZZ,Berechnung!$C$21,13)="",NA(),INDEX(Daten_Salden!$A:$ZZ,Berechnung!$C$21,13)),NA())</f>
        <v>28</v>
      </c>
      <c r="E99">
        <f>IFERROR(IF(INDEX(Daten_Salden!$A:$ZZ,Berechnung!$B$21,4)="",NA(),INDEX(Daten_Salden!$A:$ZZ,Berechnung!$B$21,4)),NA())</f>
        <v>18.585999999999999</v>
      </c>
      <c r="F99">
        <f>IFERROR(IF(INDEX(Daten_Salden!$A:$ZZ,Berechnung!$B$22,13)="",NA(),INDEX(Daten_Salden!$A:$ZZ,Berechnung!$B$22,13)),NA())</f>
        <v>20</v>
      </c>
      <c r="G99">
        <f>IFERROR(IF(INDEX(Daten_Salden!$A:$ZZ,Berechnung!$C$22,13)="",NA(),INDEX(Daten_Salden!$A:$ZZ,Berechnung!$C$22,13)),NA())</f>
        <v>23</v>
      </c>
      <c r="H99">
        <f>IFERROR(IF(INDEX(Daten_Salden!$A:$ZZ,Berechnung!$B$22,4)="",NA(),INDEX(Daten_Salden!$A:$ZZ,Berechnung!$B$22,4)),NA())</f>
        <v>1.986</v>
      </c>
      <c r="I99" t="e">
        <f>IFERROR(IF(INDEX(Daten_Salden!$A:$ZZ,Berechnung!$B$23,13)="",NA(),INDEX(Daten_Salden!$A:$ZZ,Berechnung!$B$23,13)),NA())</f>
        <v>#N/A</v>
      </c>
      <c r="J99">
        <f>IFERROR(IF(INDEX(Daten_Salden!$A:$ZZ,Berechnung!$C$23,13)="",NA(),INDEX(Daten_Salden!$A:$ZZ,Berechnung!$C$23,13)),NA())</f>
        <v>35</v>
      </c>
      <c r="K99" t="e">
        <f>IFERROR(IF(INDEX(Daten_Salden!$A:$ZZ,Berechnung!$B$23,4)="",NA(),INDEX(Daten_Salden!$A:$ZZ,Berechnung!$B$23,4)),NA())</f>
        <v>#N/A</v>
      </c>
      <c r="L99">
        <f>IFERROR(IF(INDEX(Daten_Salden!$A:$ZZ,Berechnung!$B$24,13)="",NA(),INDEX(Daten_Salden!$A:$ZZ,Berechnung!$B$24,13)),NA())</f>
        <v>8</v>
      </c>
      <c r="M99">
        <f>IFERROR(IF(INDEX(Daten_Salden!$A:$ZZ,Berechnung!$C$24,13)="",NA(),INDEX(Daten_Salden!$A:$ZZ,Berechnung!$C$24,13)),NA())</f>
        <v>13</v>
      </c>
      <c r="N99">
        <f>IFERROR(IF(INDEX(Daten_Salden!$A:$ZZ,Berechnung!$B$24,4)="",NA(),INDEX(Daten_Salden!$A:$ZZ,Berechnung!$B$24,4)),NA())</f>
        <v>2.2429999999999999</v>
      </c>
      <c r="O99">
        <f>IFERROR(IF(INDEX(Daten_Salden!$A:$ZZ,Berechnung!$B$25,13)="",NA(),INDEX(Daten_Salden!$A:$ZZ,Berechnung!$B$25,13)),NA())</f>
        <v>0</v>
      </c>
      <c r="P99">
        <f>IFERROR(IF(INDEX(Daten_Salden!$A:$ZZ,Berechnung!$C$25,13)="",NA(),INDEX(Daten_Salden!$A:$ZZ,Berechnung!$C$25,13)),NA())</f>
        <v>-3</v>
      </c>
      <c r="Q99">
        <f>IFERROR(IF(INDEX(Daten_Salden!$A:$ZZ,Berechnung!$B$25,4)="",NA(),INDEX(Daten_Salden!$A:$ZZ,Berechnung!$B$25,4)),NA())</f>
        <v>-1.4</v>
      </c>
    </row>
    <row r="100" spans="1:17" x14ac:dyDescent="0.25">
      <c r="A100" t="s">
        <v>182</v>
      </c>
      <c r="C100">
        <f>IFERROR(IF(INDEX(Daten_Salden!$A:$ZZ,Berechnung!$B$21,14)="",NA(),INDEX(Daten_Salden!$A:$ZZ,Berechnung!$B$21,14)),NA())</f>
        <v>24</v>
      </c>
      <c r="D100">
        <f>IFERROR(IF(INDEX(Daten_Salden!$A:$ZZ,Berechnung!$C$21,14)="",NA(),INDEX(Daten_Salden!$A:$ZZ,Berechnung!$C$21,14)),NA())</f>
        <v>35</v>
      </c>
      <c r="E100">
        <f>IFERROR(IF(INDEX(Daten_Salden!$A:$ZZ,Berechnung!$B$21,4)="",NA(),INDEX(Daten_Salden!$A:$ZZ,Berechnung!$B$21,4)),NA())</f>
        <v>18.585999999999999</v>
      </c>
      <c r="F100">
        <f>IFERROR(IF(INDEX(Daten_Salden!$A:$ZZ,Berechnung!$B$22,14)="",NA(),INDEX(Daten_Salden!$A:$ZZ,Berechnung!$B$22,14)),NA())</f>
        <v>10</v>
      </c>
      <c r="G100">
        <f>IFERROR(IF(INDEX(Daten_Salden!$A:$ZZ,Berechnung!$C$22,14)="",NA(),INDEX(Daten_Salden!$A:$ZZ,Berechnung!$C$22,14)),NA())</f>
        <v>15</v>
      </c>
      <c r="H100">
        <f>IFERROR(IF(INDEX(Daten_Salden!$A:$ZZ,Berechnung!$B$22,4)="",NA(),INDEX(Daten_Salden!$A:$ZZ,Berechnung!$B$22,4)),NA())</f>
        <v>1.986</v>
      </c>
      <c r="I100" t="e">
        <f>IFERROR(IF(INDEX(Daten_Salden!$A:$ZZ,Berechnung!$B$23,14)="",NA(),INDEX(Daten_Salden!$A:$ZZ,Berechnung!$B$23,14)),NA())</f>
        <v>#N/A</v>
      </c>
      <c r="J100">
        <f>IFERROR(IF(INDEX(Daten_Salden!$A:$ZZ,Berechnung!$C$23,14)="",NA(),INDEX(Daten_Salden!$A:$ZZ,Berechnung!$C$23,14)),NA())</f>
        <v>34</v>
      </c>
      <c r="K100" t="e">
        <f>IFERROR(IF(INDEX(Daten_Salden!$A:$ZZ,Berechnung!$B$23,4)="",NA(),INDEX(Daten_Salden!$A:$ZZ,Berechnung!$B$23,4)),NA())</f>
        <v>#N/A</v>
      </c>
      <c r="L100">
        <f>IFERROR(IF(INDEX(Daten_Salden!$A:$ZZ,Berechnung!$B$24,14)="",NA(),INDEX(Daten_Salden!$A:$ZZ,Berechnung!$B$24,14)),NA())</f>
        <v>6</v>
      </c>
      <c r="M100">
        <f>IFERROR(IF(INDEX(Daten_Salden!$A:$ZZ,Berechnung!$C$24,14)="",NA(),INDEX(Daten_Salden!$A:$ZZ,Berechnung!$C$24,14)),NA())</f>
        <v>14</v>
      </c>
      <c r="N100">
        <f>IFERROR(IF(INDEX(Daten_Salden!$A:$ZZ,Berechnung!$B$24,4)="",NA(),INDEX(Daten_Salden!$A:$ZZ,Berechnung!$B$24,4)),NA())</f>
        <v>2.2429999999999999</v>
      </c>
      <c r="O100">
        <f>IFERROR(IF(INDEX(Daten_Salden!$A:$ZZ,Berechnung!$B$25,14)="",NA(),INDEX(Daten_Salden!$A:$ZZ,Berechnung!$B$25,14)),NA())</f>
        <v>0</v>
      </c>
      <c r="P100">
        <f>IFERROR(IF(INDEX(Daten_Salden!$A:$ZZ,Berechnung!$C$25,14)="",NA(),INDEX(Daten_Salden!$A:$ZZ,Berechnung!$C$25,14)),NA())</f>
        <v>2</v>
      </c>
      <c r="Q100">
        <f>IFERROR(IF(INDEX(Daten_Salden!$A:$ZZ,Berechnung!$B$25,4)="",NA(),INDEX(Daten_Salden!$A:$ZZ,Berechnung!$B$25,4)),NA())</f>
        <v>-1.4</v>
      </c>
    </row>
    <row r="101" spans="1:17" x14ac:dyDescent="0.25">
      <c r="A101" t="s">
        <v>43</v>
      </c>
      <c r="B101" t="s">
        <v>313</v>
      </c>
      <c r="C101">
        <f>IFERROR(IF(INDEX(Daten_Salden!$A:$ZZ,Berechnung!$B$21,15)="",NA(),INDEX(Daten_Salden!$A:$ZZ,Berechnung!$B$21,15)),NA())</f>
        <v>35</v>
      </c>
      <c r="D101">
        <f>IFERROR(IF(INDEX(Daten_Salden!$A:$ZZ,Berechnung!$C$21,15)="",NA(),INDEX(Daten_Salden!$A:$ZZ,Berechnung!$C$21,15)),NA())</f>
        <v>47</v>
      </c>
      <c r="E101">
        <f>IFERROR(IF(INDEX(Daten_Salden!$A:$ZZ,Berechnung!$B$21,4)="",NA(),INDEX(Daten_Salden!$A:$ZZ,Berechnung!$B$21,4)),NA())</f>
        <v>18.585999999999999</v>
      </c>
      <c r="F101">
        <f>IFERROR(IF(INDEX(Daten_Salden!$A:$ZZ,Berechnung!$B$22,15)="",NA(),INDEX(Daten_Salden!$A:$ZZ,Berechnung!$B$22,15)),NA())</f>
        <v>18</v>
      </c>
      <c r="G101">
        <f>IFERROR(IF(INDEX(Daten_Salden!$A:$ZZ,Berechnung!$C$22,15)="",NA(),INDEX(Daten_Salden!$A:$ZZ,Berechnung!$C$22,15)),NA())</f>
        <v>25</v>
      </c>
      <c r="H101">
        <f>IFERROR(IF(INDEX(Daten_Salden!$A:$ZZ,Berechnung!$B$22,4)="",NA(),INDEX(Daten_Salden!$A:$ZZ,Berechnung!$B$22,4)),NA())</f>
        <v>1.986</v>
      </c>
      <c r="I101" t="e">
        <f>IFERROR(IF(INDEX(Daten_Salden!$A:$ZZ,Berechnung!$B$23,15)="",NA(),INDEX(Daten_Salden!$A:$ZZ,Berechnung!$B$23,15)),NA())</f>
        <v>#N/A</v>
      </c>
      <c r="J101">
        <f>IFERROR(IF(INDEX(Daten_Salden!$A:$ZZ,Berechnung!$C$23,15)="",NA(),INDEX(Daten_Salden!$A:$ZZ,Berechnung!$C$23,15)),NA())</f>
        <v>41</v>
      </c>
      <c r="K101" t="e">
        <f>IFERROR(IF(INDEX(Daten_Salden!$A:$ZZ,Berechnung!$B$23,4)="",NA(),INDEX(Daten_Salden!$A:$ZZ,Berechnung!$B$23,4)),NA())</f>
        <v>#N/A</v>
      </c>
      <c r="L101">
        <f>IFERROR(IF(INDEX(Daten_Salden!$A:$ZZ,Berechnung!$B$24,15)="",NA(),INDEX(Daten_Salden!$A:$ZZ,Berechnung!$B$24,15)),NA())</f>
        <v>13</v>
      </c>
      <c r="M101">
        <f>IFERROR(IF(INDEX(Daten_Salden!$A:$ZZ,Berechnung!$C$24,15)="",NA(),INDEX(Daten_Salden!$A:$ZZ,Berechnung!$C$24,15)),NA())</f>
        <v>21</v>
      </c>
      <c r="N101">
        <f>IFERROR(IF(INDEX(Daten_Salden!$A:$ZZ,Berechnung!$B$24,4)="",NA(),INDEX(Daten_Salden!$A:$ZZ,Berechnung!$B$24,4)),NA())</f>
        <v>2.2429999999999999</v>
      </c>
      <c r="O101">
        <f>IFERROR(IF(INDEX(Daten_Salden!$A:$ZZ,Berechnung!$B$25,15)="",NA(),INDEX(Daten_Salden!$A:$ZZ,Berechnung!$B$25,15)),NA())</f>
        <v>9</v>
      </c>
      <c r="P101">
        <f>IFERROR(IF(INDEX(Daten_Salden!$A:$ZZ,Berechnung!$C$25,15)="",NA(),INDEX(Daten_Salden!$A:$ZZ,Berechnung!$C$25,15)),NA())</f>
        <v>11</v>
      </c>
      <c r="Q101">
        <f>IFERROR(IF(INDEX(Daten_Salden!$A:$ZZ,Berechnung!$B$25,4)="",NA(),INDEX(Daten_Salden!$A:$ZZ,Berechnung!$B$25,4)),NA())</f>
        <v>-1.4</v>
      </c>
    </row>
    <row r="102" spans="1:17" x14ac:dyDescent="0.25">
      <c r="A102" t="s">
        <v>183</v>
      </c>
      <c r="C102">
        <f>IFERROR(IF(INDEX(Daten_Salden!$A:$ZZ,Berechnung!$B$21,16)="",NA(),INDEX(Daten_Salden!$A:$ZZ,Berechnung!$B$21,16)),NA())</f>
        <v>36</v>
      </c>
      <c r="D102">
        <f>IFERROR(IF(INDEX(Daten_Salden!$A:$ZZ,Berechnung!$C$21,16)="",NA(),INDEX(Daten_Salden!$A:$ZZ,Berechnung!$C$21,16)),NA())</f>
        <v>49</v>
      </c>
      <c r="E102">
        <f>IFERROR(IF(INDEX(Daten_Salden!$A:$ZZ,Berechnung!$B$21,4)="",NA(),INDEX(Daten_Salden!$A:$ZZ,Berechnung!$B$21,4)),NA())</f>
        <v>18.585999999999999</v>
      </c>
      <c r="F102">
        <f>IFERROR(IF(INDEX(Daten_Salden!$A:$ZZ,Berechnung!$B$22,16)="",NA(),INDEX(Daten_Salden!$A:$ZZ,Berechnung!$B$22,16)),NA())</f>
        <v>25</v>
      </c>
      <c r="G102">
        <f>IFERROR(IF(INDEX(Daten_Salden!$A:$ZZ,Berechnung!$C$22,16)="",NA(),INDEX(Daten_Salden!$A:$ZZ,Berechnung!$C$22,16)),NA())</f>
        <v>27</v>
      </c>
      <c r="H102">
        <f>IFERROR(IF(INDEX(Daten_Salden!$A:$ZZ,Berechnung!$B$22,4)="",NA(),INDEX(Daten_Salden!$A:$ZZ,Berechnung!$B$22,4)),NA())</f>
        <v>1.986</v>
      </c>
      <c r="I102" t="e">
        <f>IFERROR(IF(INDEX(Daten_Salden!$A:$ZZ,Berechnung!$B$23,16)="",NA(),INDEX(Daten_Salden!$A:$ZZ,Berechnung!$B$23,16)),NA())</f>
        <v>#N/A</v>
      </c>
      <c r="J102">
        <f>IFERROR(IF(INDEX(Daten_Salden!$A:$ZZ,Berechnung!$C$23,16)="",NA(),INDEX(Daten_Salden!$A:$ZZ,Berechnung!$C$23,16)),NA())</f>
        <v>37</v>
      </c>
      <c r="K102" t="e">
        <f>IFERROR(IF(INDEX(Daten_Salden!$A:$ZZ,Berechnung!$B$23,4)="",NA(),INDEX(Daten_Salden!$A:$ZZ,Berechnung!$B$23,4)),NA())</f>
        <v>#N/A</v>
      </c>
      <c r="L102">
        <f>IFERROR(IF(INDEX(Daten_Salden!$A:$ZZ,Berechnung!$B$24,16)="",NA(),INDEX(Daten_Salden!$A:$ZZ,Berechnung!$B$24,16)),NA())</f>
        <v>17</v>
      </c>
      <c r="M102">
        <f>IFERROR(IF(INDEX(Daten_Salden!$A:$ZZ,Berechnung!$C$24,16)="",NA(),INDEX(Daten_Salden!$A:$ZZ,Berechnung!$C$24,16)),NA())</f>
        <v>24</v>
      </c>
      <c r="N102">
        <f>IFERROR(IF(INDEX(Daten_Salden!$A:$ZZ,Berechnung!$B$24,4)="",NA(),INDEX(Daten_Salden!$A:$ZZ,Berechnung!$B$24,4)),NA())</f>
        <v>2.2429999999999999</v>
      </c>
      <c r="O102">
        <f>IFERROR(IF(INDEX(Daten_Salden!$A:$ZZ,Berechnung!$B$25,16)="",NA(),INDEX(Daten_Salden!$A:$ZZ,Berechnung!$B$25,16)),NA())</f>
        <v>14</v>
      </c>
      <c r="P102">
        <f>IFERROR(IF(INDEX(Daten_Salden!$A:$ZZ,Berechnung!$C$25,16)="",NA(),INDEX(Daten_Salden!$A:$ZZ,Berechnung!$C$25,16)),NA())</f>
        <v>17</v>
      </c>
      <c r="Q102">
        <f>IFERROR(IF(INDEX(Daten_Salden!$A:$ZZ,Berechnung!$B$25,4)="",NA(),INDEX(Daten_Salden!$A:$ZZ,Berechnung!$B$25,4)),NA())</f>
        <v>-1.4</v>
      </c>
    </row>
    <row r="103" spans="1:17" x14ac:dyDescent="0.25">
      <c r="A103" t="s">
        <v>184</v>
      </c>
      <c r="C103">
        <f>IFERROR(IF(INDEX(Daten_Salden!$A:$ZZ,Berechnung!$B$21,17)="",NA(),INDEX(Daten_Salden!$A:$ZZ,Berechnung!$B$21,17)),NA())</f>
        <v>31</v>
      </c>
      <c r="D103">
        <f>IFERROR(IF(INDEX(Daten_Salden!$A:$ZZ,Berechnung!$C$21,17)="",NA(),INDEX(Daten_Salden!$A:$ZZ,Berechnung!$C$21,17)),NA())</f>
        <v>44</v>
      </c>
      <c r="E103">
        <f>IFERROR(IF(INDEX(Daten_Salden!$A:$ZZ,Berechnung!$B$21,4)="",NA(),INDEX(Daten_Salden!$A:$ZZ,Berechnung!$B$21,4)),NA())</f>
        <v>18.585999999999999</v>
      </c>
      <c r="F103">
        <f>IFERROR(IF(INDEX(Daten_Salden!$A:$ZZ,Berechnung!$B$22,17)="",NA(),INDEX(Daten_Salden!$A:$ZZ,Berechnung!$B$22,17)),NA())</f>
        <v>15</v>
      </c>
      <c r="G103">
        <f>IFERROR(IF(INDEX(Daten_Salden!$A:$ZZ,Berechnung!$C$22,17)="",NA(),INDEX(Daten_Salden!$A:$ZZ,Berechnung!$C$22,17)),NA())</f>
        <v>17</v>
      </c>
      <c r="H103">
        <f>IFERROR(IF(INDEX(Daten_Salden!$A:$ZZ,Berechnung!$B$22,4)="",NA(),INDEX(Daten_Salden!$A:$ZZ,Berechnung!$B$22,4)),NA())</f>
        <v>1.986</v>
      </c>
      <c r="I103" t="e">
        <f>IFERROR(IF(INDEX(Daten_Salden!$A:$ZZ,Berechnung!$B$23,17)="",NA(),INDEX(Daten_Salden!$A:$ZZ,Berechnung!$B$23,17)),NA())</f>
        <v>#N/A</v>
      </c>
      <c r="J103">
        <f>IFERROR(IF(INDEX(Daten_Salden!$A:$ZZ,Berechnung!$C$23,17)="",NA(),INDEX(Daten_Salden!$A:$ZZ,Berechnung!$C$23,17)),NA())</f>
        <v>37</v>
      </c>
      <c r="K103" t="e">
        <f>IFERROR(IF(INDEX(Daten_Salden!$A:$ZZ,Berechnung!$B$23,4)="",NA(),INDEX(Daten_Salden!$A:$ZZ,Berechnung!$B$23,4)),NA())</f>
        <v>#N/A</v>
      </c>
      <c r="L103">
        <f>IFERROR(IF(INDEX(Daten_Salden!$A:$ZZ,Berechnung!$B$24,17)="",NA(),INDEX(Daten_Salden!$A:$ZZ,Berechnung!$B$24,17)),NA())</f>
        <v>14</v>
      </c>
      <c r="M103">
        <f>IFERROR(IF(INDEX(Daten_Salden!$A:$ZZ,Berechnung!$C$24,17)="",NA(),INDEX(Daten_Salden!$A:$ZZ,Berechnung!$C$24,17)),NA())</f>
        <v>21</v>
      </c>
      <c r="N103">
        <f>IFERROR(IF(INDEX(Daten_Salden!$A:$ZZ,Berechnung!$B$24,4)="",NA(),INDEX(Daten_Salden!$A:$ZZ,Berechnung!$B$24,4)),NA())</f>
        <v>2.2429999999999999</v>
      </c>
      <c r="O103">
        <f>IFERROR(IF(INDEX(Daten_Salden!$A:$ZZ,Berechnung!$B$25,17)="",NA(),INDEX(Daten_Salden!$A:$ZZ,Berechnung!$B$25,17)),NA())</f>
        <v>9</v>
      </c>
      <c r="P103">
        <f>IFERROR(IF(INDEX(Daten_Salden!$A:$ZZ,Berechnung!$C$25,17)="",NA(),INDEX(Daten_Salden!$A:$ZZ,Berechnung!$C$25,17)),NA())</f>
        <v>13</v>
      </c>
      <c r="Q103">
        <f>IFERROR(IF(INDEX(Daten_Salden!$A:$ZZ,Berechnung!$B$25,4)="",NA(),INDEX(Daten_Salden!$A:$ZZ,Berechnung!$B$25,4)),NA())</f>
        <v>-1.4</v>
      </c>
    </row>
    <row r="104" spans="1:17" x14ac:dyDescent="0.25">
      <c r="A104" t="s">
        <v>185</v>
      </c>
      <c r="B104" t="s">
        <v>314</v>
      </c>
      <c r="C104">
        <f>IFERROR(IF(INDEX(Daten_Salden!$A:$ZZ,Berechnung!$B$21,18)="",NA(),INDEX(Daten_Salden!$A:$ZZ,Berechnung!$B$21,18)),NA())</f>
        <v>30</v>
      </c>
      <c r="D104">
        <f>IFERROR(IF(INDEX(Daten_Salden!$A:$ZZ,Berechnung!$C$21,18)="",NA(),INDEX(Daten_Salden!$A:$ZZ,Berechnung!$C$21,18)),NA())</f>
        <v>42</v>
      </c>
      <c r="E104">
        <f>IFERROR(IF(INDEX(Daten_Salden!$A:$ZZ,Berechnung!$B$21,4)="",NA(),INDEX(Daten_Salden!$A:$ZZ,Berechnung!$B$21,4)),NA())</f>
        <v>18.585999999999999</v>
      </c>
      <c r="F104">
        <f>IFERROR(IF(INDEX(Daten_Salden!$A:$ZZ,Berechnung!$B$22,18)="",NA(),INDEX(Daten_Salden!$A:$ZZ,Berechnung!$B$22,18)),NA())</f>
        <v>11</v>
      </c>
      <c r="G104">
        <f>IFERROR(IF(INDEX(Daten_Salden!$A:$ZZ,Berechnung!$C$22,18)="",NA(),INDEX(Daten_Salden!$A:$ZZ,Berechnung!$C$22,18)),NA())</f>
        <v>14</v>
      </c>
      <c r="H104">
        <f>IFERROR(IF(INDEX(Daten_Salden!$A:$ZZ,Berechnung!$B$22,4)="",NA(),INDEX(Daten_Salden!$A:$ZZ,Berechnung!$B$22,4)),NA())</f>
        <v>1.986</v>
      </c>
      <c r="I104" t="e">
        <f>IFERROR(IF(INDEX(Daten_Salden!$A:$ZZ,Berechnung!$B$23,18)="",NA(),INDEX(Daten_Salden!$A:$ZZ,Berechnung!$B$23,18)),NA())</f>
        <v>#N/A</v>
      </c>
      <c r="J104">
        <f>IFERROR(IF(INDEX(Daten_Salden!$A:$ZZ,Berechnung!$C$23,18)="",NA(),INDEX(Daten_Salden!$A:$ZZ,Berechnung!$C$23,18)),NA())</f>
        <v>35</v>
      </c>
      <c r="K104" t="e">
        <f>IFERROR(IF(INDEX(Daten_Salden!$A:$ZZ,Berechnung!$B$23,4)="",NA(),INDEX(Daten_Salden!$A:$ZZ,Berechnung!$B$23,4)),NA())</f>
        <v>#N/A</v>
      </c>
      <c r="L104">
        <f>IFERROR(IF(INDEX(Daten_Salden!$A:$ZZ,Berechnung!$B$24,18)="",NA(),INDEX(Daten_Salden!$A:$ZZ,Berechnung!$B$24,18)),NA())</f>
        <v>9</v>
      </c>
      <c r="M104">
        <f>IFERROR(IF(INDEX(Daten_Salden!$A:$ZZ,Berechnung!$C$24,18)="",NA(),INDEX(Daten_Salden!$A:$ZZ,Berechnung!$C$24,18)),NA())</f>
        <v>15</v>
      </c>
      <c r="N104">
        <f>IFERROR(IF(INDEX(Daten_Salden!$A:$ZZ,Berechnung!$B$24,4)="",NA(),INDEX(Daten_Salden!$A:$ZZ,Berechnung!$B$24,4)),NA())</f>
        <v>2.2429999999999999</v>
      </c>
      <c r="O104">
        <f>IFERROR(IF(INDEX(Daten_Salden!$A:$ZZ,Berechnung!$B$25,18)="",NA(),INDEX(Daten_Salden!$A:$ZZ,Berechnung!$B$25,18)),NA())</f>
        <v>8</v>
      </c>
      <c r="P104">
        <f>IFERROR(IF(INDEX(Daten_Salden!$A:$ZZ,Berechnung!$C$25,18)="",NA(),INDEX(Daten_Salden!$A:$ZZ,Berechnung!$C$25,18)),NA())</f>
        <v>11</v>
      </c>
      <c r="Q104">
        <f>IFERROR(IF(INDEX(Daten_Salden!$A:$ZZ,Berechnung!$B$25,4)="",NA(),INDEX(Daten_Salden!$A:$ZZ,Berechnung!$B$25,4)),NA())</f>
        <v>-1.4</v>
      </c>
    </row>
    <row r="105" spans="1:17" x14ac:dyDescent="0.25">
      <c r="A105" t="s">
        <v>186</v>
      </c>
      <c r="C105">
        <f>IFERROR(IF(INDEX(Daten_Salden!$A:$ZZ,Berechnung!$B$21,19)="",NA(),INDEX(Daten_Salden!$A:$ZZ,Berechnung!$B$21,19)),NA())</f>
        <v>25</v>
      </c>
      <c r="D105">
        <f>IFERROR(IF(INDEX(Daten_Salden!$A:$ZZ,Berechnung!$C$21,19)="",NA(),INDEX(Daten_Salden!$A:$ZZ,Berechnung!$C$21,19)),NA())</f>
        <v>39</v>
      </c>
      <c r="E105">
        <f>IFERROR(IF(INDEX(Daten_Salden!$A:$ZZ,Berechnung!$B$21,4)="",NA(),INDEX(Daten_Salden!$A:$ZZ,Berechnung!$B$21,4)),NA())</f>
        <v>18.585999999999999</v>
      </c>
      <c r="F105">
        <f>IFERROR(IF(INDEX(Daten_Salden!$A:$ZZ,Berechnung!$B$22,19)="",NA(),INDEX(Daten_Salden!$A:$ZZ,Berechnung!$B$22,19)),NA())</f>
        <v>7</v>
      </c>
      <c r="G105">
        <f>IFERROR(IF(INDEX(Daten_Salden!$A:$ZZ,Berechnung!$C$22,19)="",NA(),INDEX(Daten_Salden!$A:$ZZ,Berechnung!$C$22,19)),NA())</f>
        <v>8</v>
      </c>
      <c r="H105">
        <f>IFERROR(IF(INDEX(Daten_Salden!$A:$ZZ,Berechnung!$B$22,4)="",NA(),INDEX(Daten_Salden!$A:$ZZ,Berechnung!$B$22,4)),NA())</f>
        <v>1.986</v>
      </c>
      <c r="I105" t="e">
        <f>IFERROR(IF(INDEX(Daten_Salden!$A:$ZZ,Berechnung!$B$23,19)="",NA(),INDEX(Daten_Salden!$A:$ZZ,Berechnung!$B$23,19)),NA())</f>
        <v>#N/A</v>
      </c>
      <c r="J105">
        <f>IFERROR(IF(INDEX(Daten_Salden!$A:$ZZ,Berechnung!$C$23,19)="",NA(),INDEX(Daten_Salden!$A:$ZZ,Berechnung!$C$23,19)),NA())</f>
        <v>25</v>
      </c>
      <c r="K105" t="e">
        <f>IFERROR(IF(INDEX(Daten_Salden!$A:$ZZ,Berechnung!$B$23,4)="",NA(),INDEX(Daten_Salden!$A:$ZZ,Berechnung!$B$23,4)),NA())</f>
        <v>#N/A</v>
      </c>
      <c r="L105">
        <f>IFERROR(IF(INDEX(Daten_Salden!$A:$ZZ,Berechnung!$B$24,19)="",NA(),INDEX(Daten_Salden!$A:$ZZ,Berechnung!$B$24,19)),NA())</f>
        <v>6</v>
      </c>
      <c r="M105">
        <f>IFERROR(IF(INDEX(Daten_Salden!$A:$ZZ,Berechnung!$C$24,19)="",NA(),INDEX(Daten_Salden!$A:$ZZ,Berechnung!$C$24,19)),NA())</f>
        <v>13</v>
      </c>
      <c r="N105">
        <f>IFERROR(IF(INDEX(Daten_Salden!$A:$ZZ,Berechnung!$B$24,4)="",NA(),INDEX(Daten_Salden!$A:$ZZ,Berechnung!$B$24,4)),NA())</f>
        <v>2.2429999999999999</v>
      </c>
      <c r="O105">
        <f>IFERROR(IF(INDEX(Daten_Salden!$A:$ZZ,Berechnung!$B$25,19)="",NA(),INDEX(Daten_Salden!$A:$ZZ,Berechnung!$B$25,19)),NA())</f>
        <v>6</v>
      </c>
      <c r="P105">
        <f>IFERROR(IF(INDEX(Daten_Salden!$A:$ZZ,Berechnung!$C$25,19)="",NA(),INDEX(Daten_Salden!$A:$ZZ,Berechnung!$C$25,19)),NA())</f>
        <v>8</v>
      </c>
      <c r="Q105">
        <f>IFERROR(IF(INDEX(Daten_Salden!$A:$ZZ,Berechnung!$B$25,4)="",NA(),INDEX(Daten_Salden!$A:$ZZ,Berechnung!$B$25,4)),NA())</f>
        <v>-1.4</v>
      </c>
    </row>
    <row r="106" spans="1:17" x14ac:dyDescent="0.25">
      <c r="A106" t="s">
        <v>187</v>
      </c>
      <c r="C106">
        <f>IFERROR(IF(INDEX(Daten_Salden!$A:$ZZ,Berechnung!$B$21,20)="",NA(),INDEX(Daten_Salden!$A:$ZZ,Berechnung!$B$21,20)),NA())</f>
        <v>17</v>
      </c>
      <c r="D106">
        <f>IFERROR(IF(INDEX(Daten_Salden!$A:$ZZ,Berechnung!$C$21,20)="",NA(),INDEX(Daten_Salden!$A:$ZZ,Berechnung!$C$21,20)),NA())</f>
        <v>23</v>
      </c>
      <c r="E106">
        <f>IFERROR(IF(INDEX(Daten_Salden!$A:$ZZ,Berechnung!$B$21,4)="",NA(),INDEX(Daten_Salden!$A:$ZZ,Berechnung!$B$21,4)),NA())</f>
        <v>18.585999999999999</v>
      </c>
      <c r="F106">
        <f>IFERROR(IF(INDEX(Daten_Salden!$A:$ZZ,Berechnung!$B$22,20)="",NA(),INDEX(Daten_Salden!$A:$ZZ,Berechnung!$B$22,20)),NA())</f>
        <v>-7</v>
      </c>
      <c r="G106">
        <f>IFERROR(IF(INDEX(Daten_Salden!$A:$ZZ,Berechnung!$C$22,20)="",NA(),INDEX(Daten_Salden!$A:$ZZ,Berechnung!$C$22,20)),NA())</f>
        <v>-10</v>
      </c>
      <c r="H106">
        <f>IFERROR(IF(INDEX(Daten_Salden!$A:$ZZ,Berechnung!$B$22,4)="",NA(),INDEX(Daten_Salden!$A:$ZZ,Berechnung!$B$22,4)),NA())</f>
        <v>1.986</v>
      </c>
      <c r="I106" t="e">
        <f>IFERROR(IF(INDEX(Daten_Salden!$A:$ZZ,Berechnung!$B$23,20)="",NA(),INDEX(Daten_Salden!$A:$ZZ,Berechnung!$B$23,20)),NA())</f>
        <v>#N/A</v>
      </c>
      <c r="J106">
        <f>IFERROR(IF(INDEX(Daten_Salden!$A:$ZZ,Berechnung!$C$23,20)="",NA(),INDEX(Daten_Salden!$A:$ZZ,Berechnung!$C$23,20)),NA())</f>
        <v>13</v>
      </c>
      <c r="K106" t="e">
        <f>IFERROR(IF(INDEX(Daten_Salden!$A:$ZZ,Berechnung!$B$23,4)="",NA(),INDEX(Daten_Salden!$A:$ZZ,Berechnung!$B$23,4)),NA())</f>
        <v>#N/A</v>
      </c>
      <c r="L106">
        <f>IFERROR(IF(INDEX(Daten_Salden!$A:$ZZ,Berechnung!$B$24,20)="",NA(),INDEX(Daten_Salden!$A:$ZZ,Berechnung!$B$24,20)),NA())</f>
        <v>-2</v>
      </c>
      <c r="M106">
        <f>IFERROR(IF(INDEX(Daten_Salden!$A:$ZZ,Berechnung!$C$24,20)="",NA(),INDEX(Daten_Salden!$A:$ZZ,Berechnung!$C$24,20)),NA())</f>
        <v>1</v>
      </c>
      <c r="N106">
        <f>IFERROR(IF(INDEX(Daten_Salden!$A:$ZZ,Berechnung!$B$24,4)="",NA(),INDEX(Daten_Salden!$A:$ZZ,Berechnung!$B$24,4)),NA())</f>
        <v>2.2429999999999999</v>
      </c>
      <c r="O106">
        <f>IFERROR(IF(INDEX(Daten_Salden!$A:$ZZ,Berechnung!$B$25,20)="",NA(),INDEX(Daten_Salden!$A:$ZZ,Berechnung!$B$25,20)),NA())</f>
        <v>-2</v>
      </c>
      <c r="P106">
        <f>IFERROR(IF(INDEX(Daten_Salden!$A:$ZZ,Berechnung!$C$25,20)="",NA(),INDEX(Daten_Salden!$A:$ZZ,Berechnung!$C$25,20)),NA())</f>
        <v>-5</v>
      </c>
      <c r="Q106">
        <f>IFERROR(IF(INDEX(Daten_Salden!$A:$ZZ,Berechnung!$B$25,4)="",NA(),INDEX(Daten_Salden!$A:$ZZ,Berechnung!$B$25,4)),NA())</f>
        <v>-1.4</v>
      </c>
    </row>
    <row r="107" spans="1:17" x14ac:dyDescent="0.25">
      <c r="A107" t="s">
        <v>188</v>
      </c>
      <c r="B107" t="s">
        <v>315</v>
      </c>
      <c r="C107">
        <f>IFERROR(IF(INDEX(Daten_Salden!$A:$ZZ,Berechnung!$B$21,21)="",NA(),INDEX(Daten_Salden!$A:$ZZ,Berechnung!$B$21,21)),NA())</f>
        <v>2</v>
      </c>
      <c r="D107">
        <f>IFERROR(IF(INDEX(Daten_Salden!$A:$ZZ,Berechnung!$C$21,21)="",NA(),INDEX(Daten_Salden!$A:$ZZ,Berechnung!$C$21,21)),NA())</f>
        <v>-9</v>
      </c>
      <c r="E107">
        <f>IFERROR(IF(INDEX(Daten_Salden!$A:$ZZ,Berechnung!$B$21,4)="",NA(),INDEX(Daten_Salden!$A:$ZZ,Berechnung!$B$21,4)),NA())</f>
        <v>18.585999999999999</v>
      </c>
      <c r="F107">
        <f>IFERROR(IF(INDEX(Daten_Salden!$A:$ZZ,Berechnung!$B$22,21)="",NA(),INDEX(Daten_Salden!$A:$ZZ,Berechnung!$B$22,21)),NA())</f>
        <v>-35</v>
      </c>
      <c r="G107">
        <f>IFERROR(IF(INDEX(Daten_Salden!$A:$ZZ,Berechnung!$C$22,21)="",NA(),INDEX(Daten_Salden!$A:$ZZ,Berechnung!$C$22,21)),NA())</f>
        <v>-46</v>
      </c>
      <c r="H107">
        <f>IFERROR(IF(INDEX(Daten_Salden!$A:$ZZ,Berechnung!$B$22,4)="",NA(),INDEX(Daten_Salden!$A:$ZZ,Berechnung!$B$22,4)),NA())</f>
        <v>1.986</v>
      </c>
      <c r="I107" t="e">
        <f>IFERROR(IF(INDEX(Daten_Salden!$A:$ZZ,Berechnung!$B$23,21)="",NA(),INDEX(Daten_Salden!$A:$ZZ,Berechnung!$B$23,21)),NA())</f>
        <v>#N/A</v>
      </c>
      <c r="J107">
        <f>IFERROR(IF(INDEX(Daten_Salden!$A:$ZZ,Berechnung!$C$23,21)="",NA(),INDEX(Daten_Salden!$A:$ZZ,Berechnung!$C$23,21)),NA())</f>
        <v>-35</v>
      </c>
      <c r="K107" t="e">
        <f>IFERROR(IF(INDEX(Daten_Salden!$A:$ZZ,Berechnung!$B$23,4)="",NA(),INDEX(Daten_Salden!$A:$ZZ,Berechnung!$B$23,4)),NA())</f>
        <v>#N/A</v>
      </c>
      <c r="L107">
        <f>IFERROR(IF(INDEX(Daten_Salden!$A:$ZZ,Berechnung!$B$24,21)="",NA(),INDEX(Daten_Salden!$A:$ZZ,Berechnung!$B$24,21)),NA())</f>
        <v>-23</v>
      </c>
      <c r="M107">
        <f>IFERROR(IF(INDEX(Daten_Salden!$A:$ZZ,Berechnung!$C$24,21)="",NA(),INDEX(Daten_Salden!$A:$ZZ,Berechnung!$C$24,21)),NA())</f>
        <v>-32</v>
      </c>
      <c r="N107">
        <f>IFERROR(IF(INDEX(Daten_Salden!$A:$ZZ,Berechnung!$B$24,4)="",NA(),INDEX(Daten_Salden!$A:$ZZ,Berechnung!$B$24,4)),NA())</f>
        <v>2.2429999999999999</v>
      </c>
      <c r="O107">
        <f>IFERROR(IF(INDEX(Daten_Salden!$A:$ZZ,Berechnung!$B$25,21)="",NA(),INDEX(Daten_Salden!$A:$ZZ,Berechnung!$B$25,21)),NA())</f>
        <v>-20</v>
      </c>
      <c r="P107">
        <f>IFERROR(IF(INDEX(Daten_Salden!$A:$ZZ,Berechnung!$C$25,21)="",NA(),INDEX(Daten_Salden!$A:$ZZ,Berechnung!$C$25,21)),NA())</f>
        <v>-33</v>
      </c>
      <c r="Q107">
        <f>IFERROR(IF(INDEX(Daten_Salden!$A:$ZZ,Berechnung!$B$25,4)="",NA(),INDEX(Daten_Salden!$A:$ZZ,Berechnung!$B$25,4)),NA())</f>
        <v>-1.4</v>
      </c>
    </row>
    <row r="108" spans="1:17" x14ac:dyDescent="0.25">
      <c r="A108" t="s">
        <v>189</v>
      </c>
      <c r="C108">
        <f>IFERROR(IF(INDEX(Daten_Salden!$A:$ZZ,Berechnung!$B$21,22)="",NA(),INDEX(Daten_Salden!$A:$ZZ,Berechnung!$B$21,22)),NA())</f>
        <v>-17</v>
      </c>
      <c r="D108">
        <f>IFERROR(IF(INDEX(Daten_Salden!$A:$ZZ,Berechnung!$C$21,22)="",NA(),INDEX(Daten_Salden!$A:$ZZ,Berechnung!$C$21,22)),NA())</f>
        <v>-40</v>
      </c>
      <c r="E108">
        <f>IFERROR(IF(INDEX(Daten_Salden!$A:$ZZ,Berechnung!$B$21,4)="",NA(),INDEX(Daten_Salden!$A:$ZZ,Berechnung!$B$21,4)),NA())</f>
        <v>18.585999999999999</v>
      </c>
      <c r="F108">
        <f>IFERROR(IF(INDEX(Daten_Salden!$A:$ZZ,Berechnung!$B$22,22)="",NA(),INDEX(Daten_Salden!$A:$ZZ,Berechnung!$B$22,22)),NA())</f>
        <v>-27</v>
      </c>
      <c r="G108">
        <f>IFERROR(IF(INDEX(Daten_Salden!$A:$ZZ,Berechnung!$C$22,22)="",NA(),INDEX(Daten_Salden!$A:$ZZ,Berechnung!$C$22,22)),NA())</f>
        <v>-31</v>
      </c>
      <c r="H108">
        <f>IFERROR(IF(INDEX(Daten_Salden!$A:$ZZ,Berechnung!$B$22,4)="",NA(),INDEX(Daten_Salden!$A:$ZZ,Berechnung!$B$22,4)),NA())</f>
        <v>1.986</v>
      </c>
      <c r="I108" t="e">
        <f>IFERROR(IF(INDEX(Daten_Salden!$A:$ZZ,Berechnung!$B$23,22)="",NA(),INDEX(Daten_Salden!$A:$ZZ,Berechnung!$B$23,22)),NA())</f>
        <v>#N/A</v>
      </c>
      <c r="J108">
        <f>IFERROR(IF(INDEX(Daten_Salden!$A:$ZZ,Berechnung!$C$23,22)="",NA(),INDEX(Daten_Salden!$A:$ZZ,Berechnung!$C$23,22)),NA())</f>
        <v>-34</v>
      </c>
      <c r="K108" t="e">
        <f>IFERROR(IF(INDEX(Daten_Salden!$A:$ZZ,Berechnung!$B$23,4)="",NA(),INDEX(Daten_Salden!$A:$ZZ,Berechnung!$B$23,4)),NA())</f>
        <v>#N/A</v>
      </c>
      <c r="L108">
        <f>IFERROR(IF(INDEX(Daten_Salden!$A:$ZZ,Berechnung!$B$24,22)="",NA(),INDEX(Daten_Salden!$A:$ZZ,Berechnung!$B$24,22)),NA())</f>
        <v>-30</v>
      </c>
      <c r="M108">
        <f>IFERROR(IF(INDEX(Daten_Salden!$A:$ZZ,Berechnung!$C$24,22)="",NA(),INDEX(Daten_Salden!$A:$ZZ,Berechnung!$C$24,22)),NA())</f>
        <v>-44</v>
      </c>
      <c r="N108">
        <f>IFERROR(IF(INDEX(Daten_Salden!$A:$ZZ,Berechnung!$B$24,4)="",NA(),INDEX(Daten_Salden!$A:$ZZ,Berechnung!$B$24,4)),NA())</f>
        <v>2.2429999999999999</v>
      </c>
      <c r="O108">
        <f>IFERROR(IF(INDEX(Daten_Salden!$A:$ZZ,Berechnung!$B$25,22)="",NA(),INDEX(Daten_Salden!$A:$ZZ,Berechnung!$B$25,22)),NA())</f>
        <v>-25</v>
      </c>
      <c r="P108">
        <f>IFERROR(IF(INDEX(Daten_Salden!$A:$ZZ,Berechnung!$C$25,22)="",NA(),INDEX(Daten_Salden!$A:$ZZ,Berechnung!$C$25,22)),NA())</f>
        <v>-43</v>
      </c>
      <c r="Q108">
        <f>IFERROR(IF(INDEX(Daten_Salden!$A:$ZZ,Berechnung!$B$25,4)="",NA(),INDEX(Daten_Salden!$A:$ZZ,Berechnung!$B$25,4)),NA())</f>
        <v>-1.4</v>
      </c>
    </row>
    <row r="109" spans="1:17" x14ac:dyDescent="0.25">
      <c r="A109" t="s">
        <v>190</v>
      </c>
      <c r="C109">
        <f>IFERROR(IF(INDEX(Daten_Salden!$A:$ZZ,Berechnung!$B$21,23)="",NA(),INDEX(Daten_Salden!$A:$ZZ,Berechnung!$B$21,23)),NA())</f>
        <v>-10</v>
      </c>
      <c r="D109">
        <f>IFERROR(IF(INDEX(Daten_Salden!$A:$ZZ,Berechnung!$C$21,23)="",NA(),INDEX(Daten_Salden!$A:$ZZ,Berechnung!$C$21,23)),NA())</f>
        <v>-30</v>
      </c>
      <c r="E109">
        <f>IFERROR(IF(INDEX(Daten_Salden!$A:$ZZ,Berechnung!$B$21,4)="",NA(),INDEX(Daten_Salden!$A:$ZZ,Berechnung!$B$21,4)),NA())</f>
        <v>18.585999999999999</v>
      </c>
      <c r="F109">
        <f>IFERROR(IF(INDEX(Daten_Salden!$A:$ZZ,Berechnung!$B$22,23)="",NA(),INDEX(Daten_Salden!$A:$ZZ,Berechnung!$B$22,23)),NA())</f>
        <v>0</v>
      </c>
      <c r="G109">
        <f>IFERROR(IF(INDEX(Daten_Salden!$A:$ZZ,Berechnung!$C$22,23)="",NA(),INDEX(Daten_Salden!$A:$ZZ,Berechnung!$C$22,23)),NA())</f>
        <v>9</v>
      </c>
      <c r="H109">
        <f>IFERROR(IF(INDEX(Daten_Salden!$A:$ZZ,Berechnung!$B$22,4)="",NA(),INDEX(Daten_Salden!$A:$ZZ,Berechnung!$B$22,4)),NA())</f>
        <v>1.986</v>
      </c>
      <c r="I109" t="e">
        <f>IFERROR(IF(INDEX(Daten_Salden!$A:$ZZ,Berechnung!$B$23,23)="",NA(),INDEX(Daten_Salden!$A:$ZZ,Berechnung!$B$23,23)),NA())</f>
        <v>#N/A</v>
      </c>
      <c r="J109">
        <f>IFERROR(IF(INDEX(Daten_Salden!$A:$ZZ,Berechnung!$C$23,23)="",NA(),INDEX(Daten_Salden!$A:$ZZ,Berechnung!$C$23,23)),NA())</f>
        <v>7</v>
      </c>
      <c r="K109" t="e">
        <f>IFERROR(IF(INDEX(Daten_Salden!$A:$ZZ,Berechnung!$B$23,4)="",NA(),INDEX(Daten_Salden!$A:$ZZ,Berechnung!$B$23,4)),NA())</f>
        <v>#N/A</v>
      </c>
      <c r="L109">
        <f>IFERROR(IF(INDEX(Daten_Salden!$A:$ZZ,Berechnung!$B$24,23)="",NA(),INDEX(Daten_Salden!$A:$ZZ,Berechnung!$B$24,23)),NA())</f>
        <v>-17</v>
      </c>
      <c r="M109">
        <f>IFERROR(IF(INDEX(Daten_Salden!$A:$ZZ,Berechnung!$C$24,23)="",NA(),INDEX(Daten_Salden!$A:$ZZ,Berechnung!$C$24,23)),NA())</f>
        <v>-25</v>
      </c>
      <c r="N109">
        <f>IFERROR(IF(INDEX(Daten_Salden!$A:$ZZ,Berechnung!$B$24,4)="",NA(),INDEX(Daten_Salden!$A:$ZZ,Berechnung!$B$24,4)),NA())</f>
        <v>2.2429999999999999</v>
      </c>
      <c r="O109">
        <f>IFERROR(IF(INDEX(Daten_Salden!$A:$ZZ,Berechnung!$B$25,23)="",NA(),INDEX(Daten_Salden!$A:$ZZ,Berechnung!$B$25,23)),NA())</f>
        <v>-15</v>
      </c>
      <c r="P109">
        <f>IFERROR(IF(INDEX(Daten_Salden!$A:$ZZ,Berechnung!$C$25,23)="",NA(),INDEX(Daten_Salden!$A:$ZZ,Berechnung!$C$25,23)),NA())</f>
        <v>-30</v>
      </c>
      <c r="Q109">
        <f>IFERROR(IF(INDEX(Daten_Salden!$A:$ZZ,Berechnung!$B$25,4)="",NA(),INDEX(Daten_Salden!$A:$ZZ,Berechnung!$B$25,4)),NA())</f>
        <v>-1.4</v>
      </c>
    </row>
    <row r="110" spans="1:17" x14ac:dyDescent="0.25">
      <c r="A110" t="s">
        <v>191</v>
      </c>
      <c r="B110" t="s">
        <v>316</v>
      </c>
      <c r="C110">
        <f>IFERROR(IF(INDEX(Daten_Salden!$A:$ZZ,Berechnung!$B$21,24)="",NA(),INDEX(Daten_Salden!$A:$ZZ,Berechnung!$B$21,24)),NA())</f>
        <v>0</v>
      </c>
      <c r="D110">
        <f>IFERROR(IF(INDEX(Daten_Salden!$A:$ZZ,Berechnung!$C$21,24)="",NA(),INDEX(Daten_Salden!$A:$ZZ,Berechnung!$C$21,24)),NA())</f>
        <v>-16</v>
      </c>
      <c r="E110">
        <f>IFERROR(IF(INDEX(Daten_Salden!$A:$ZZ,Berechnung!$B$21,4)="",NA(),INDEX(Daten_Salden!$A:$ZZ,Berechnung!$B$21,4)),NA())</f>
        <v>18.585999999999999</v>
      </c>
      <c r="F110">
        <f>IFERROR(IF(INDEX(Daten_Salden!$A:$ZZ,Berechnung!$B$22,24)="",NA(),INDEX(Daten_Salden!$A:$ZZ,Berechnung!$B$22,24)),NA())</f>
        <v>5</v>
      </c>
      <c r="G110">
        <f>IFERROR(IF(INDEX(Daten_Salden!$A:$ZZ,Berechnung!$C$22,24)="",NA(),INDEX(Daten_Salden!$A:$ZZ,Berechnung!$C$22,24)),NA())</f>
        <v>16</v>
      </c>
      <c r="H110">
        <f>IFERROR(IF(INDEX(Daten_Salden!$A:$ZZ,Berechnung!$B$22,4)="",NA(),INDEX(Daten_Salden!$A:$ZZ,Berechnung!$B$22,4)),NA())</f>
        <v>1.986</v>
      </c>
      <c r="I110" t="e">
        <f>IFERROR(IF(INDEX(Daten_Salden!$A:$ZZ,Berechnung!$B$23,24)="",NA(),INDEX(Daten_Salden!$A:$ZZ,Berechnung!$B$23,24)),NA())</f>
        <v>#N/A</v>
      </c>
      <c r="J110">
        <f>IFERROR(IF(INDEX(Daten_Salden!$A:$ZZ,Berechnung!$C$23,24)="",NA(),INDEX(Daten_Salden!$A:$ZZ,Berechnung!$C$23,24)),NA())</f>
        <v>24</v>
      </c>
      <c r="K110" t="e">
        <f>IFERROR(IF(INDEX(Daten_Salden!$A:$ZZ,Berechnung!$B$23,4)="",NA(),INDEX(Daten_Salden!$A:$ZZ,Berechnung!$B$23,4)),NA())</f>
        <v>#N/A</v>
      </c>
      <c r="L110">
        <f>IFERROR(IF(INDEX(Daten_Salden!$A:$ZZ,Berechnung!$B$24,24)="",NA(),INDEX(Daten_Salden!$A:$ZZ,Berechnung!$B$24,24)),NA())</f>
        <v>-6</v>
      </c>
      <c r="M110">
        <f>IFERROR(IF(INDEX(Daten_Salden!$A:$ZZ,Berechnung!$C$24,24)="",NA(),INDEX(Daten_Salden!$A:$ZZ,Berechnung!$C$24,24)),NA())</f>
        <v>-8</v>
      </c>
      <c r="N110">
        <f>IFERROR(IF(INDEX(Daten_Salden!$A:$ZZ,Berechnung!$B$24,4)="",NA(),INDEX(Daten_Salden!$A:$ZZ,Berechnung!$B$24,4)),NA())</f>
        <v>2.2429999999999999</v>
      </c>
      <c r="O110">
        <f>IFERROR(IF(INDEX(Daten_Salden!$A:$ZZ,Berechnung!$B$25,24)="",NA(),INDEX(Daten_Salden!$A:$ZZ,Berechnung!$B$25,24)),NA())</f>
        <v>-9</v>
      </c>
      <c r="P110">
        <f>IFERROR(IF(INDEX(Daten_Salden!$A:$ZZ,Berechnung!$C$25,24)="",NA(),INDEX(Daten_Salden!$A:$ZZ,Berechnung!$C$25,24)),NA())</f>
        <v>-19</v>
      </c>
      <c r="Q110">
        <f>IFERROR(IF(INDEX(Daten_Salden!$A:$ZZ,Berechnung!$B$25,4)="",NA(),INDEX(Daten_Salden!$A:$ZZ,Berechnung!$B$25,4)),NA())</f>
        <v>-1.4</v>
      </c>
    </row>
    <row r="111" spans="1:17" x14ac:dyDescent="0.25">
      <c r="A111" t="s">
        <v>192</v>
      </c>
      <c r="C111">
        <f>IFERROR(IF(INDEX(Daten_Salden!$A:$ZZ,Berechnung!$B$21,25)="",NA(),INDEX(Daten_Salden!$A:$ZZ,Berechnung!$B$21,25)),NA())</f>
        <v>10</v>
      </c>
      <c r="D111">
        <f>IFERROR(IF(INDEX(Daten_Salden!$A:$ZZ,Berechnung!$C$21,25)="",NA(),INDEX(Daten_Salden!$A:$ZZ,Berechnung!$C$21,25)),NA())</f>
        <v>6</v>
      </c>
      <c r="E111">
        <f>IFERROR(IF(INDEX(Daten_Salden!$A:$ZZ,Berechnung!$B$21,4)="",NA(),INDEX(Daten_Salden!$A:$ZZ,Berechnung!$B$21,4)),NA())</f>
        <v>18.585999999999999</v>
      </c>
      <c r="F111">
        <f>IFERROR(IF(INDEX(Daten_Salden!$A:$ZZ,Berechnung!$B$22,25)="",NA(),INDEX(Daten_Salden!$A:$ZZ,Berechnung!$B$22,25)),NA())</f>
        <v>19</v>
      </c>
      <c r="G111">
        <f>IFERROR(IF(INDEX(Daten_Salden!$A:$ZZ,Berechnung!$C$22,25)="",NA(),INDEX(Daten_Salden!$A:$ZZ,Berechnung!$C$22,25)),NA())</f>
        <v>31</v>
      </c>
      <c r="H111">
        <f>IFERROR(IF(INDEX(Daten_Salden!$A:$ZZ,Berechnung!$B$22,4)="",NA(),INDEX(Daten_Salden!$A:$ZZ,Berechnung!$B$22,4)),NA())</f>
        <v>1.986</v>
      </c>
      <c r="I111" t="e">
        <f>IFERROR(IF(INDEX(Daten_Salden!$A:$ZZ,Berechnung!$B$23,25)="",NA(),INDEX(Daten_Salden!$A:$ZZ,Berechnung!$B$23,25)),NA())</f>
        <v>#N/A</v>
      </c>
      <c r="J111">
        <f>IFERROR(IF(INDEX(Daten_Salden!$A:$ZZ,Berechnung!$C$23,25)="",NA(),INDEX(Daten_Salden!$A:$ZZ,Berechnung!$C$23,25)),NA())</f>
        <v>34</v>
      </c>
      <c r="K111" t="e">
        <f>IFERROR(IF(INDEX(Daten_Salden!$A:$ZZ,Berechnung!$B$23,4)="",NA(),INDEX(Daten_Salden!$A:$ZZ,Berechnung!$B$23,4)),NA())</f>
        <v>#N/A</v>
      </c>
      <c r="L111">
        <f>IFERROR(IF(INDEX(Daten_Salden!$A:$ZZ,Berechnung!$B$24,25)="",NA(),INDEX(Daten_Salden!$A:$ZZ,Berechnung!$B$24,25)),NA())</f>
        <v>4</v>
      </c>
      <c r="M111">
        <f>IFERROR(IF(INDEX(Daten_Salden!$A:$ZZ,Berechnung!$C$24,25)="",NA(),INDEX(Daten_Salden!$A:$ZZ,Berechnung!$C$24,25)),NA())</f>
        <v>8</v>
      </c>
      <c r="N111">
        <f>IFERROR(IF(INDEX(Daten_Salden!$A:$ZZ,Berechnung!$B$24,4)="",NA(),INDEX(Daten_Salden!$A:$ZZ,Berechnung!$B$24,4)),NA())</f>
        <v>2.2429999999999999</v>
      </c>
      <c r="O111">
        <f>IFERROR(IF(INDEX(Daten_Salden!$A:$ZZ,Berechnung!$B$25,25)="",NA(),INDEX(Daten_Salden!$A:$ZZ,Berechnung!$B$25,25)),NA())</f>
        <v>1</v>
      </c>
      <c r="P111">
        <f>IFERROR(IF(INDEX(Daten_Salden!$A:$ZZ,Berechnung!$C$25,25)="",NA(),INDEX(Daten_Salden!$A:$ZZ,Berechnung!$C$25,25)),NA())</f>
        <v>-4</v>
      </c>
      <c r="Q111">
        <f>IFERROR(IF(INDEX(Daten_Salden!$A:$ZZ,Berechnung!$B$25,4)="",NA(),INDEX(Daten_Salden!$A:$ZZ,Berechnung!$B$25,4)),NA())</f>
        <v>-1.4</v>
      </c>
    </row>
    <row r="112" spans="1:17" x14ac:dyDescent="0.25">
      <c r="A112" t="s">
        <v>193</v>
      </c>
      <c r="C112">
        <f>IFERROR(IF(INDEX(Daten_Salden!$A:$ZZ,Berechnung!$B$21,26)="",NA(),INDEX(Daten_Salden!$A:$ZZ,Berechnung!$B$21,26)),NA())</f>
        <v>26</v>
      </c>
      <c r="D112">
        <f>IFERROR(IF(INDEX(Daten_Salden!$A:$ZZ,Berechnung!$C$21,26)="",NA(),INDEX(Daten_Salden!$A:$ZZ,Berechnung!$C$21,26)),NA())</f>
        <v>27</v>
      </c>
      <c r="E112">
        <f>IFERROR(IF(INDEX(Daten_Salden!$A:$ZZ,Berechnung!$B$21,4)="",NA(),INDEX(Daten_Salden!$A:$ZZ,Berechnung!$B$21,4)),NA())</f>
        <v>18.585999999999999</v>
      </c>
      <c r="F112">
        <f>IFERROR(IF(INDEX(Daten_Salden!$A:$ZZ,Berechnung!$B$22,26)="",NA(),INDEX(Daten_Salden!$A:$ZZ,Berechnung!$B$22,26)),NA())</f>
        <v>22</v>
      </c>
      <c r="G112">
        <f>IFERROR(IF(INDEX(Daten_Salden!$A:$ZZ,Berechnung!$C$22,26)="",NA(),INDEX(Daten_Salden!$A:$ZZ,Berechnung!$C$22,26)),NA())</f>
        <v>30</v>
      </c>
      <c r="H112">
        <f>IFERROR(IF(INDEX(Daten_Salden!$A:$ZZ,Berechnung!$B$22,4)="",NA(),INDEX(Daten_Salden!$A:$ZZ,Berechnung!$B$22,4)),NA())</f>
        <v>1.986</v>
      </c>
      <c r="I112" t="e">
        <f>IFERROR(IF(INDEX(Daten_Salden!$A:$ZZ,Berechnung!$B$23,26)="",NA(),INDEX(Daten_Salden!$A:$ZZ,Berechnung!$B$23,26)),NA())</f>
        <v>#N/A</v>
      </c>
      <c r="J112">
        <f>IFERROR(IF(INDEX(Daten_Salden!$A:$ZZ,Berechnung!$C$23,26)="",NA(),INDEX(Daten_Salden!$A:$ZZ,Berechnung!$C$23,26)),NA())</f>
        <v>37</v>
      </c>
      <c r="K112" t="e">
        <f>IFERROR(IF(INDEX(Daten_Salden!$A:$ZZ,Berechnung!$B$23,4)="",NA(),INDEX(Daten_Salden!$A:$ZZ,Berechnung!$B$23,4)),NA())</f>
        <v>#N/A</v>
      </c>
      <c r="L112">
        <f>IFERROR(IF(INDEX(Daten_Salden!$A:$ZZ,Berechnung!$B$24,26)="",NA(),INDEX(Daten_Salden!$A:$ZZ,Berechnung!$B$24,26)),NA())</f>
        <v>14</v>
      </c>
      <c r="M112">
        <f>IFERROR(IF(INDEX(Daten_Salden!$A:$ZZ,Berechnung!$C$24,26)="",NA(),INDEX(Daten_Salden!$A:$ZZ,Berechnung!$C$24,26)),NA())</f>
        <v>22</v>
      </c>
      <c r="N112">
        <f>IFERROR(IF(INDEX(Daten_Salden!$A:$ZZ,Berechnung!$B$24,4)="",NA(),INDEX(Daten_Salden!$A:$ZZ,Berechnung!$B$24,4)),NA())</f>
        <v>2.2429999999999999</v>
      </c>
      <c r="O112">
        <f>IFERROR(IF(INDEX(Daten_Salden!$A:$ZZ,Berechnung!$B$25,26)="",NA(),INDEX(Daten_Salden!$A:$ZZ,Berechnung!$B$25,26)),NA())</f>
        <v>7</v>
      </c>
      <c r="P112">
        <f>IFERROR(IF(INDEX(Daten_Salden!$A:$ZZ,Berechnung!$C$25,26)="",NA(),INDEX(Daten_Salden!$A:$ZZ,Berechnung!$C$25,26)),NA())</f>
        <v>9</v>
      </c>
      <c r="Q112">
        <f>IFERROR(IF(INDEX(Daten_Salden!$A:$ZZ,Berechnung!$B$25,4)="",NA(),INDEX(Daten_Salden!$A:$ZZ,Berechnung!$B$25,4)),NA())</f>
        <v>-1.4</v>
      </c>
    </row>
    <row r="113" spans="1:17" x14ac:dyDescent="0.25">
      <c r="A113" t="s">
        <v>194</v>
      </c>
      <c r="B113" t="s">
        <v>317</v>
      </c>
      <c r="C113">
        <f>IFERROR(IF(INDEX(Daten_Salden!$A:$ZZ,Berechnung!$B$21,27)="",NA(),INDEX(Daten_Salden!$A:$ZZ,Berechnung!$B$21,27)),NA())</f>
        <v>34</v>
      </c>
      <c r="D113">
        <f>IFERROR(IF(INDEX(Daten_Salden!$A:$ZZ,Berechnung!$C$21,27)="",NA(),INDEX(Daten_Salden!$A:$ZZ,Berechnung!$C$21,27)),NA())</f>
        <v>37</v>
      </c>
      <c r="E113">
        <f>IFERROR(IF(INDEX(Daten_Salden!$A:$ZZ,Berechnung!$B$21,4)="",NA(),INDEX(Daten_Salden!$A:$ZZ,Berechnung!$B$21,4)),NA())</f>
        <v>18.585999999999999</v>
      </c>
      <c r="F113">
        <f>IFERROR(IF(INDEX(Daten_Salden!$A:$ZZ,Berechnung!$B$22,27)="",NA(),INDEX(Daten_Salden!$A:$ZZ,Berechnung!$B$22,27)),NA())</f>
        <v>24</v>
      </c>
      <c r="G113">
        <f>IFERROR(IF(INDEX(Daten_Salden!$A:$ZZ,Berechnung!$C$22,27)="",NA(),INDEX(Daten_Salden!$A:$ZZ,Berechnung!$C$22,27)),NA())</f>
        <v>32</v>
      </c>
      <c r="H113">
        <f>IFERROR(IF(INDEX(Daten_Salden!$A:$ZZ,Berechnung!$B$22,4)="",NA(),INDEX(Daten_Salden!$A:$ZZ,Berechnung!$B$22,4)),NA())</f>
        <v>1.986</v>
      </c>
      <c r="I113" t="e">
        <f>IFERROR(IF(INDEX(Daten_Salden!$A:$ZZ,Berechnung!$B$23,27)="",NA(),INDEX(Daten_Salden!$A:$ZZ,Berechnung!$B$23,27)),NA())</f>
        <v>#N/A</v>
      </c>
      <c r="J113">
        <f>IFERROR(IF(INDEX(Daten_Salden!$A:$ZZ,Berechnung!$C$23,27)="",NA(),INDEX(Daten_Salden!$A:$ZZ,Berechnung!$C$23,27)),NA())</f>
        <v>41</v>
      </c>
      <c r="K113" t="e">
        <f>IFERROR(IF(INDEX(Daten_Salden!$A:$ZZ,Berechnung!$B$23,4)="",NA(),INDEX(Daten_Salden!$A:$ZZ,Berechnung!$B$23,4)),NA())</f>
        <v>#N/A</v>
      </c>
      <c r="L113">
        <f>IFERROR(IF(INDEX(Daten_Salden!$A:$ZZ,Berechnung!$B$24,27)="",NA(),INDEX(Daten_Salden!$A:$ZZ,Berechnung!$B$24,27)),NA())</f>
        <v>17</v>
      </c>
      <c r="M113">
        <f>IFERROR(IF(INDEX(Daten_Salden!$A:$ZZ,Berechnung!$C$24,27)="",NA(),INDEX(Daten_Salden!$A:$ZZ,Berechnung!$C$24,27)),NA())</f>
        <v>27</v>
      </c>
      <c r="N113">
        <f>IFERROR(IF(INDEX(Daten_Salden!$A:$ZZ,Berechnung!$B$24,4)="",NA(),INDEX(Daten_Salden!$A:$ZZ,Berechnung!$B$24,4)),NA())</f>
        <v>2.2429999999999999</v>
      </c>
      <c r="O113">
        <f>IFERROR(IF(INDEX(Daten_Salden!$A:$ZZ,Berechnung!$B$25,27)="",NA(),INDEX(Daten_Salden!$A:$ZZ,Berechnung!$B$25,27)),NA())</f>
        <v>12</v>
      </c>
      <c r="P113">
        <f>IFERROR(IF(INDEX(Daten_Salden!$A:$ZZ,Berechnung!$C$25,27)="",NA(),INDEX(Daten_Salden!$A:$ZZ,Berechnung!$C$25,27)),NA())</f>
        <v>16</v>
      </c>
      <c r="Q113">
        <f>IFERROR(IF(INDEX(Daten_Salden!$A:$ZZ,Berechnung!$B$25,4)="",NA(),INDEX(Daten_Salden!$A:$ZZ,Berechnung!$B$25,4)),NA())</f>
        <v>-1.4</v>
      </c>
    </row>
    <row r="114" spans="1:17" x14ac:dyDescent="0.25">
      <c r="A114" t="s">
        <v>195</v>
      </c>
      <c r="C114">
        <f>IFERROR(IF(INDEX(Daten_Salden!$A:$ZZ,Berechnung!$B$21,28)="",NA(),INDEX(Daten_Salden!$A:$ZZ,Berechnung!$B$21,28)),NA())</f>
        <v>37</v>
      </c>
      <c r="D114">
        <f>IFERROR(IF(INDEX(Daten_Salden!$A:$ZZ,Berechnung!$C$21,28)="",NA(),INDEX(Daten_Salden!$A:$ZZ,Berechnung!$C$21,28)),NA())</f>
        <v>46</v>
      </c>
      <c r="E114">
        <f>IFERROR(IF(INDEX(Daten_Salden!$A:$ZZ,Berechnung!$B$21,4)="",NA(),INDEX(Daten_Salden!$A:$ZZ,Berechnung!$B$21,4)),NA())</f>
        <v>18.585999999999999</v>
      </c>
      <c r="F114">
        <f>IFERROR(IF(INDEX(Daten_Salden!$A:$ZZ,Berechnung!$B$22,28)="",NA(),INDEX(Daten_Salden!$A:$ZZ,Berechnung!$B$22,28)),NA())</f>
        <v>25</v>
      </c>
      <c r="G114">
        <f>IFERROR(IF(INDEX(Daten_Salden!$A:$ZZ,Berechnung!$C$22,28)="",NA(),INDEX(Daten_Salden!$A:$ZZ,Berechnung!$C$22,28)),NA())</f>
        <v>30</v>
      </c>
      <c r="H114">
        <f>IFERROR(IF(INDEX(Daten_Salden!$A:$ZZ,Berechnung!$B$22,4)="",NA(),INDEX(Daten_Salden!$A:$ZZ,Berechnung!$B$22,4)),NA())</f>
        <v>1.986</v>
      </c>
      <c r="I114" t="e">
        <f>IFERROR(IF(INDEX(Daten_Salden!$A:$ZZ,Berechnung!$B$23,28)="",NA(),INDEX(Daten_Salden!$A:$ZZ,Berechnung!$B$23,28)),NA())</f>
        <v>#N/A</v>
      </c>
      <c r="J114">
        <f>IFERROR(IF(INDEX(Daten_Salden!$A:$ZZ,Berechnung!$C$23,28)="",NA(),INDEX(Daten_Salden!$A:$ZZ,Berechnung!$C$23,28)),NA())</f>
        <v>35</v>
      </c>
      <c r="K114" t="e">
        <f>IFERROR(IF(INDEX(Daten_Salden!$A:$ZZ,Berechnung!$B$23,4)="",NA(),INDEX(Daten_Salden!$A:$ZZ,Berechnung!$B$23,4)),NA())</f>
        <v>#N/A</v>
      </c>
      <c r="L114">
        <f>IFERROR(IF(INDEX(Daten_Salden!$A:$ZZ,Berechnung!$B$24,28)="",NA(),INDEX(Daten_Salden!$A:$ZZ,Berechnung!$B$24,28)),NA())</f>
        <v>18</v>
      </c>
      <c r="M114">
        <f>IFERROR(IF(INDEX(Daten_Salden!$A:$ZZ,Berechnung!$C$24,28)="",NA(),INDEX(Daten_Salden!$A:$ZZ,Berechnung!$C$24,28)),NA())</f>
        <v>28</v>
      </c>
      <c r="N114">
        <f>IFERROR(IF(INDEX(Daten_Salden!$A:$ZZ,Berechnung!$B$24,4)="",NA(),INDEX(Daten_Salden!$A:$ZZ,Berechnung!$B$24,4)),NA())</f>
        <v>2.2429999999999999</v>
      </c>
      <c r="O114">
        <f>IFERROR(IF(INDEX(Daten_Salden!$A:$ZZ,Berechnung!$B$25,28)="",NA(),INDEX(Daten_Salden!$A:$ZZ,Berechnung!$B$25,28)),NA())</f>
        <v>14</v>
      </c>
      <c r="P114">
        <f>IFERROR(IF(INDEX(Daten_Salden!$A:$ZZ,Berechnung!$C$25,28)="",NA(),INDEX(Daten_Salden!$A:$ZZ,Berechnung!$C$25,28)),NA())</f>
        <v>18</v>
      </c>
      <c r="Q114">
        <f>IFERROR(IF(INDEX(Daten_Salden!$A:$ZZ,Berechnung!$B$25,4)="",NA(),INDEX(Daten_Salden!$A:$ZZ,Berechnung!$B$25,4)),NA())</f>
        <v>-1.4</v>
      </c>
    </row>
    <row r="115" spans="1:17" x14ac:dyDescent="0.25">
      <c r="A115" t="s">
        <v>196</v>
      </c>
      <c r="C115">
        <f>IFERROR(IF(INDEX(Daten_Salden!$A:$ZZ,Berechnung!$B$21,29)="",NA(),INDEX(Daten_Salden!$A:$ZZ,Berechnung!$B$21,29)),NA())</f>
        <v>37</v>
      </c>
      <c r="D115">
        <f>IFERROR(IF(INDEX(Daten_Salden!$A:$ZZ,Berechnung!$C$21,29)="",NA(),INDEX(Daten_Salden!$A:$ZZ,Berechnung!$C$21,29)),NA())</f>
        <v>43</v>
      </c>
      <c r="E115">
        <f>IFERROR(IF(INDEX(Daten_Salden!$A:$ZZ,Berechnung!$B$21,4)="",NA(),INDEX(Daten_Salden!$A:$ZZ,Berechnung!$B$21,4)),NA())</f>
        <v>18.585999999999999</v>
      </c>
      <c r="F115">
        <f>IFERROR(IF(INDEX(Daten_Salden!$A:$ZZ,Berechnung!$B$22,29)="",NA(),INDEX(Daten_Salden!$A:$ZZ,Berechnung!$B$22,29)),NA())</f>
        <v>7</v>
      </c>
      <c r="G115">
        <f>IFERROR(IF(INDEX(Daten_Salden!$A:$ZZ,Berechnung!$C$22,29)="",NA(),INDEX(Daten_Salden!$A:$ZZ,Berechnung!$C$22,29)),NA())</f>
        <v>5</v>
      </c>
      <c r="H115">
        <f>IFERROR(IF(INDEX(Daten_Salden!$A:$ZZ,Berechnung!$B$22,4)="",NA(),INDEX(Daten_Salden!$A:$ZZ,Berechnung!$B$22,4)),NA())</f>
        <v>1.986</v>
      </c>
      <c r="I115" t="e">
        <f>IFERROR(IF(INDEX(Daten_Salden!$A:$ZZ,Berechnung!$B$23,29)="",NA(),INDEX(Daten_Salden!$A:$ZZ,Berechnung!$B$23,29)),NA())</f>
        <v>#N/A</v>
      </c>
      <c r="J115">
        <f>IFERROR(IF(INDEX(Daten_Salden!$A:$ZZ,Berechnung!$C$23,29)="",NA(),INDEX(Daten_Salden!$A:$ZZ,Berechnung!$C$23,29)),NA())</f>
        <v>17</v>
      </c>
      <c r="K115" t="e">
        <f>IFERROR(IF(INDEX(Daten_Salden!$A:$ZZ,Berechnung!$B$23,4)="",NA(),INDEX(Daten_Salden!$A:$ZZ,Berechnung!$B$23,4)),NA())</f>
        <v>#N/A</v>
      </c>
      <c r="L115">
        <f>IFERROR(IF(INDEX(Daten_Salden!$A:$ZZ,Berechnung!$B$24,29)="",NA(),INDEX(Daten_Salden!$A:$ZZ,Berechnung!$B$24,29)),NA())</f>
        <v>12</v>
      </c>
      <c r="M115">
        <f>IFERROR(IF(INDEX(Daten_Salden!$A:$ZZ,Berechnung!$C$24,29)="",NA(),INDEX(Daten_Salden!$A:$ZZ,Berechnung!$C$24,29)),NA())</f>
        <v>15</v>
      </c>
      <c r="N115">
        <f>IFERROR(IF(INDEX(Daten_Salden!$A:$ZZ,Berechnung!$B$24,4)="",NA(),INDEX(Daten_Salden!$A:$ZZ,Berechnung!$B$24,4)),NA())</f>
        <v>2.2429999999999999</v>
      </c>
      <c r="O115">
        <f>IFERROR(IF(INDEX(Daten_Salden!$A:$ZZ,Berechnung!$B$25,29)="",NA(),INDEX(Daten_Salden!$A:$ZZ,Berechnung!$B$25,29)),NA())</f>
        <v>9</v>
      </c>
      <c r="P115">
        <f>IFERROR(IF(INDEX(Daten_Salden!$A:$ZZ,Berechnung!$C$25,29)="",NA(),INDEX(Daten_Salden!$A:$ZZ,Berechnung!$C$25,29)),NA())</f>
        <v>10</v>
      </c>
      <c r="Q115">
        <f>IFERROR(IF(INDEX(Daten_Salden!$A:$ZZ,Berechnung!$B$25,4)="",NA(),INDEX(Daten_Salden!$A:$ZZ,Berechnung!$B$25,4)),NA())</f>
        <v>-1.4</v>
      </c>
    </row>
    <row r="116" spans="1:17" x14ac:dyDescent="0.25">
      <c r="A116" t="s">
        <v>197</v>
      </c>
      <c r="B116" t="s">
        <v>318</v>
      </c>
      <c r="C116">
        <f>IFERROR(IF(INDEX(Daten_Salden!$A:$ZZ,Berechnung!$B$21,30)="",NA(),INDEX(Daten_Salden!$A:$ZZ,Berechnung!$B$21,30)),NA())</f>
        <v>37</v>
      </c>
      <c r="D116">
        <f>IFERROR(IF(INDEX(Daten_Salden!$A:$ZZ,Berechnung!$C$21,30)="",NA(),INDEX(Daten_Salden!$A:$ZZ,Berechnung!$C$21,30)),NA())</f>
        <v>41</v>
      </c>
      <c r="E116">
        <f>IFERROR(IF(INDEX(Daten_Salden!$A:$ZZ,Berechnung!$B$21,4)="",NA(),INDEX(Daten_Salden!$A:$ZZ,Berechnung!$B$21,4)),NA())</f>
        <v>18.585999999999999</v>
      </c>
      <c r="F116">
        <f>IFERROR(IF(INDEX(Daten_Salden!$A:$ZZ,Berechnung!$B$22,30)="",NA(),INDEX(Daten_Salden!$A:$ZZ,Berechnung!$B$22,30)),NA())</f>
        <v>5</v>
      </c>
      <c r="G116">
        <f>IFERROR(IF(INDEX(Daten_Salden!$A:$ZZ,Berechnung!$C$22,30)="",NA(),INDEX(Daten_Salden!$A:$ZZ,Berechnung!$C$22,30)),NA())</f>
        <v>4</v>
      </c>
      <c r="H116">
        <f>IFERROR(IF(INDEX(Daten_Salden!$A:$ZZ,Berechnung!$B$22,4)="",NA(),INDEX(Daten_Salden!$A:$ZZ,Berechnung!$B$22,4)),NA())</f>
        <v>1.986</v>
      </c>
      <c r="I116" t="e">
        <f>IFERROR(IF(INDEX(Daten_Salden!$A:$ZZ,Berechnung!$B$23,30)="",NA(),INDEX(Daten_Salden!$A:$ZZ,Berechnung!$B$23,30)),NA())</f>
        <v>#N/A</v>
      </c>
      <c r="J116">
        <f>IFERROR(IF(INDEX(Daten_Salden!$A:$ZZ,Berechnung!$C$23,30)="",NA(),INDEX(Daten_Salden!$A:$ZZ,Berechnung!$C$23,30)),NA())</f>
        <v>17</v>
      </c>
      <c r="K116" t="e">
        <f>IFERROR(IF(INDEX(Daten_Salden!$A:$ZZ,Berechnung!$B$23,4)="",NA(),INDEX(Daten_Salden!$A:$ZZ,Berechnung!$B$23,4)),NA())</f>
        <v>#N/A</v>
      </c>
      <c r="L116">
        <f>IFERROR(IF(INDEX(Daten_Salden!$A:$ZZ,Berechnung!$B$24,30)="",NA(),INDEX(Daten_Salden!$A:$ZZ,Berechnung!$B$24,30)),NA())</f>
        <v>8</v>
      </c>
      <c r="M116">
        <f>IFERROR(IF(INDEX(Daten_Salden!$A:$ZZ,Berechnung!$C$24,30)="",NA(),INDEX(Daten_Salden!$A:$ZZ,Berechnung!$C$24,30)),NA())</f>
        <v>14</v>
      </c>
      <c r="N116">
        <f>IFERROR(IF(INDEX(Daten_Salden!$A:$ZZ,Berechnung!$B$24,4)="",NA(),INDEX(Daten_Salden!$A:$ZZ,Berechnung!$B$24,4)),NA())</f>
        <v>2.2429999999999999</v>
      </c>
      <c r="O116">
        <f>IFERROR(IF(INDEX(Daten_Salden!$A:$ZZ,Berechnung!$B$25,30)="",NA(),INDEX(Daten_Salden!$A:$ZZ,Berechnung!$B$25,30)),NA())</f>
        <v>8</v>
      </c>
      <c r="P116">
        <f>IFERROR(IF(INDEX(Daten_Salden!$A:$ZZ,Berechnung!$C$25,30)="",NA(),INDEX(Daten_Salden!$A:$ZZ,Berechnung!$C$25,30)),NA())</f>
        <v>8</v>
      </c>
      <c r="Q116">
        <f>IFERROR(IF(INDEX(Daten_Salden!$A:$ZZ,Berechnung!$B$25,4)="",NA(),INDEX(Daten_Salden!$A:$ZZ,Berechnung!$B$25,4)),NA())</f>
        <v>-1.4</v>
      </c>
    </row>
    <row r="117" spans="1:17" x14ac:dyDescent="0.25">
      <c r="A117" t="s">
        <v>198</v>
      </c>
      <c r="C117">
        <f>IFERROR(IF(INDEX(Daten_Salden!$A:$ZZ,Berechnung!$B$21,31)="",NA(),INDEX(Daten_Salden!$A:$ZZ,Berechnung!$B$21,31)),NA())</f>
        <v>32</v>
      </c>
      <c r="D117">
        <f>IFERROR(IF(INDEX(Daten_Salden!$A:$ZZ,Berechnung!$C$21,31)="",NA(),INDEX(Daten_Salden!$A:$ZZ,Berechnung!$C$21,31)),NA())</f>
        <v>36</v>
      </c>
      <c r="E117">
        <f>IFERROR(IF(INDEX(Daten_Salden!$A:$ZZ,Berechnung!$B$21,4)="",NA(),INDEX(Daten_Salden!$A:$ZZ,Berechnung!$B$21,4)),NA())</f>
        <v>18.585999999999999</v>
      </c>
      <c r="F117">
        <f>IFERROR(IF(INDEX(Daten_Salden!$A:$ZZ,Berechnung!$B$22,31)="",NA(),INDEX(Daten_Salden!$A:$ZZ,Berechnung!$B$22,31)),NA())</f>
        <v>11</v>
      </c>
      <c r="G117">
        <f>IFERROR(IF(INDEX(Daten_Salden!$A:$ZZ,Berechnung!$C$22,31)="",NA(),INDEX(Daten_Salden!$A:$ZZ,Berechnung!$C$22,31)),NA())</f>
        <v>12</v>
      </c>
      <c r="H117">
        <f>IFERROR(IF(INDEX(Daten_Salden!$A:$ZZ,Berechnung!$B$22,4)="",NA(),INDEX(Daten_Salden!$A:$ZZ,Berechnung!$B$22,4)),NA())</f>
        <v>1.986</v>
      </c>
      <c r="I117" t="e">
        <f>IFERROR(IF(INDEX(Daten_Salden!$A:$ZZ,Berechnung!$B$23,31)="",NA(),INDEX(Daten_Salden!$A:$ZZ,Berechnung!$B$23,31)),NA())</f>
        <v>#N/A</v>
      </c>
      <c r="J117">
        <f>IFERROR(IF(INDEX(Daten_Salden!$A:$ZZ,Berechnung!$C$23,31)="",NA(),INDEX(Daten_Salden!$A:$ZZ,Berechnung!$C$23,31)),NA())</f>
        <v>22</v>
      </c>
      <c r="K117" t="e">
        <f>IFERROR(IF(INDEX(Daten_Salden!$A:$ZZ,Berechnung!$B$23,4)="",NA(),INDEX(Daten_Salden!$A:$ZZ,Berechnung!$B$23,4)),NA())</f>
        <v>#N/A</v>
      </c>
      <c r="L117">
        <f>IFERROR(IF(INDEX(Daten_Salden!$A:$ZZ,Berechnung!$B$24,31)="",NA(),INDEX(Daten_Salden!$A:$ZZ,Berechnung!$B$24,31)),NA())</f>
        <v>11</v>
      </c>
      <c r="M117">
        <f>IFERROR(IF(INDEX(Daten_Salden!$A:$ZZ,Berechnung!$C$24,31)="",NA(),INDEX(Daten_Salden!$A:$ZZ,Berechnung!$C$24,31)),NA())</f>
        <v>14</v>
      </c>
      <c r="N117">
        <f>IFERROR(IF(INDEX(Daten_Salden!$A:$ZZ,Berechnung!$B$24,4)="",NA(),INDEX(Daten_Salden!$A:$ZZ,Berechnung!$B$24,4)),NA())</f>
        <v>2.2429999999999999</v>
      </c>
      <c r="O117">
        <f>IFERROR(IF(INDEX(Daten_Salden!$A:$ZZ,Berechnung!$B$25,31)="",NA(),INDEX(Daten_Salden!$A:$ZZ,Berechnung!$B$25,31)),NA())</f>
        <v>9</v>
      </c>
      <c r="P117">
        <f>IFERROR(IF(INDEX(Daten_Salden!$A:$ZZ,Berechnung!$C$25,31)="",NA(),INDEX(Daten_Salden!$A:$ZZ,Berechnung!$C$25,31)),NA())</f>
        <v>7</v>
      </c>
      <c r="Q117">
        <f>IFERROR(IF(INDEX(Daten_Salden!$A:$ZZ,Berechnung!$B$25,4)="",NA(),INDEX(Daten_Salden!$A:$ZZ,Berechnung!$B$25,4)),NA())</f>
        <v>-1.4</v>
      </c>
    </row>
    <row r="118" spans="1:17" x14ac:dyDescent="0.25">
      <c r="A118" t="s">
        <v>199</v>
      </c>
      <c r="C118">
        <f>IFERROR(IF(INDEX(Daten_Salden!$A:$ZZ,Berechnung!$B$21,32)="",NA(),INDEX(Daten_Salden!$A:$ZZ,Berechnung!$B$21,32)),NA())</f>
        <v>27</v>
      </c>
      <c r="D118">
        <f>IFERROR(IF(INDEX(Daten_Salden!$A:$ZZ,Berechnung!$C$21,32)="",NA(),INDEX(Daten_Salden!$A:$ZZ,Berechnung!$C$21,32)),NA())</f>
        <v>25</v>
      </c>
      <c r="E118">
        <f>IFERROR(IF(INDEX(Daten_Salden!$A:$ZZ,Berechnung!$B$21,4)="",NA(),INDEX(Daten_Salden!$A:$ZZ,Berechnung!$B$21,4)),NA())</f>
        <v>18.585999999999999</v>
      </c>
      <c r="F118">
        <f>IFERROR(IF(INDEX(Daten_Salden!$A:$ZZ,Berechnung!$B$22,32)="",NA(),INDEX(Daten_Salden!$A:$ZZ,Berechnung!$B$22,32)),NA())</f>
        <v>-4</v>
      </c>
      <c r="G118">
        <f>IFERROR(IF(INDEX(Daten_Salden!$A:$ZZ,Berechnung!$C$22,32)="",NA(),INDEX(Daten_Salden!$A:$ZZ,Berechnung!$C$22,32)),NA())</f>
        <v>-9</v>
      </c>
      <c r="H118">
        <f>IFERROR(IF(INDEX(Daten_Salden!$A:$ZZ,Berechnung!$B$22,4)="",NA(),INDEX(Daten_Salden!$A:$ZZ,Berechnung!$B$22,4)),NA())</f>
        <v>1.986</v>
      </c>
      <c r="I118" t="e">
        <f>IFERROR(IF(INDEX(Daten_Salden!$A:$ZZ,Berechnung!$B$23,32)="",NA(),INDEX(Daten_Salden!$A:$ZZ,Berechnung!$B$23,32)),NA())</f>
        <v>#N/A</v>
      </c>
      <c r="J118">
        <f>IFERROR(IF(INDEX(Daten_Salden!$A:$ZZ,Berechnung!$C$23,32)="",NA(),INDEX(Daten_Salden!$A:$ZZ,Berechnung!$C$23,32)),NA())</f>
        <v>7</v>
      </c>
      <c r="K118" t="e">
        <f>IFERROR(IF(INDEX(Daten_Salden!$A:$ZZ,Berechnung!$B$23,4)="",NA(),INDEX(Daten_Salden!$A:$ZZ,Berechnung!$B$23,4)),NA())</f>
        <v>#N/A</v>
      </c>
      <c r="L118">
        <f>IFERROR(IF(INDEX(Daten_Salden!$A:$ZZ,Berechnung!$B$24,32)="",NA(),INDEX(Daten_Salden!$A:$ZZ,Berechnung!$B$24,32)),NA())</f>
        <v>3</v>
      </c>
      <c r="M118">
        <f>IFERROR(IF(INDEX(Daten_Salden!$A:$ZZ,Berechnung!$C$24,32)="",NA(),INDEX(Daten_Salden!$A:$ZZ,Berechnung!$C$24,32)),NA())</f>
        <v>2</v>
      </c>
      <c r="N118">
        <f>IFERROR(IF(INDEX(Daten_Salden!$A:$ZZ,Berechnung!$B$24,4)="",NA(),INDEX(Daten_Salden!$A:$ZZ,Berechnung!$B$24,4)),NA())</f>
        <v>2.2429999999999999</v>
      </c>
      <c r="O118">
        <f>IFERROR(IF(INDEX(Daten_Salden!$A:$ZZ,Berechnung!$B$25,32)="",NA(),INDEX(Daten_Salden!$A:$ZZ,Berechnung!$B$25,32)),NA())</f>
        <v>1</v>
      </c>
      <c r="P118">
        <f>IFERROR(IF(INDEX(Daten_Salden!$A:$ZZ,Berechnung!$C$25,32)="",NA(),INDEX(Daten_Salden!$A:$ZZ,Berechnung!$C$25,32)),NA())</f>
        <v>-4</v>
      </c>
      <c r="Q118">
        <f>IFERROR(IF(INDEX(Daten_Salden!$A:$ZZ,Berechnung!$B$25,4)="",NA(),INDEX(Daten_Salden!$A:$ZZ,Berechnung!$B$25,4)),NA())</f>
        <v>-1.4</v>
      </c>
    </row>
    <row r="119" spans="1:17" x14ac:dyDescent="0.25">
      <c r="A119" t="s">
        <v>200</v>
      </c>
      <c r="B119" t="s">
        <v>319</v>
      </c>
      <c r="C119">
        <f>IFERROR(IF(INDEX(Daten_Salden!$A:$ZZ,Berechnung!$B$21,33)="",NA(),INDEX(Daten_Salden!$A:$ZZ,Berechnung!$B$21,33)),NA())</f>
        <v>27</v>
      </c>
      <c r="D119">
        <f>IFERROR(IF(INDEX(Daten_Salden!$A:$ZZ,Berechnung!$C$21,33)="",NA(),INDEX(Daten_Salden!$A:$ZZ,Berechnung!$C$21,33)),NA())</f>
        <v>22</v>
      </c>
      <c r="E119">
        <f>IFERROR(IF(INDEX(Daten_Salden!$A:$ZZ,Berechnung!$B$21,4)="",NA(),INDEX(Daten_Salden!$A:$ZZ,Berechnung!$B$21,4)),NA())</f>
        <v>18.585999999999999</v>
      </c>
      <c r="F119">
        <f>IFERROR(IF(INDEX(Daten_Salden!$A:$ZZ,Berechnung!$B$22,33)="",NA(),INDEX(Daten_Salden!$A:$ZZ,Berechnung!$B$22,33)),NA())</f>
        <v>2</v>
      </c>
      <c r="G119">
        <f>IFERROR(IF(INDEX(Daten_Salden!$A:$ZZ,Berechnung!$C$22,33)="",NA(),INDEX(Daten_Salden!$A:$ZZ,Berechnung!$C$22,33)),NA())</f>
        <v>2</v>
      </c>
      <c r="H119">
        <f>IFERROR(IF(INDEX(Daten_Salden!$A:$ZZ,Berechnung!$B$22,4)="",NA(),INDEX(Daten_Salden!$A:$ZZ,Berechnung!$B$22,4)),NA())</f>
        <v>1.986</v>
      </c>
      <c r="I119" t="e">
        <f>IFERROR(IF(INDEX(Daten_Salden!$A:$ZZ,Berechnung!$B$23,33)="",NA(),INDEX(Daten_Salden!$A:$ZZ,Berechnung!$B$23,33)),NA())</f>
        <v>#N/A</v>
      </c>
      <c r="J119">
        <f>IFERROR(IF(INDEX(Daten_Salden!$A:$ZZ,Berechnung!$C$23,33)="",NA(),INDEX(Daten_Salden!$A:$ZZ,Berechnung!$C$23,33)),NA())</f>
        <v>16</v>
      </c>
      <c r="K119" t="e">
        <f>IFERROR(IF(INDEX(Daten_Salden!$A:$ZZ,Berechnung!$B$23,4)="",NA(),INDEX(Daten_Salden!$A:$ZZ,Berechnung!$B$23,4)),NA())</f>
        <v>#N/A</v>
      </c>
      <c r="L119">
        <f>IFERROR(IF(INDEX(Daten_Salden!$A:$ZZ,Berechnung!$B$24,33)="",NA(),INDEX(Daten_Salden!$A:$ZZ,Berechnung!$B$24,33)),NA())</f>
        <v>3</v>
      </c>
      <c r="M119">
        <f>IFERROR(IF(INDEX(Daten_Salden!$A:$ZZ,Berechnung!$C$24,33)="",NA(),INDEX(Daten_Salden!$A:$ZZ,Berechnung!$C$24,33)),NA())</f>
        <v>2</v>
      </c>
      <c r="N119">
        <f>IFERROR(IF(INDEX(Daten_Salden!$A:$ZZ,Berechnung!$B$24,4)="",NA(),INDEX(Daten_Salden!$A:$ZZ,Berechnung!$B$24,4)),NA())</f>
        <v>2.2429999999999999</v>
      </c>
      <c r="O119">
        <f>IFERROR(IF(INDEX(Daten_Salden!$A:$ZZ,Berechnung!$B$25,33)="",NA(),INDEX(Daten_Salden!$A:$ZZ,Berechnung!$B$25,33)),NA())</f>
        <v>1</v>
      </c>
      <c r="P119">
        <f>IFERROR(IF(INDEX(Daten_Salden!$A:$ZZ,Berechnung!$C$25,33)="",NA(),INDEX(Daten_Salden!$A:$ZZ,Berechnung!$C$25,33)),NA())</f>
        <v>-4</v>
      </c>
      <c r="Q119">
        <f>IFERROR(IF(INDEX(Daten_Salden!$A:$ZZ,Berechnung!$B$25,4)="",NA(),INDEX(Daten_Salden!$A:$ZZ,Berechnung!$B$25,4)),NA())</f>
        <v>-1.4</v>
      </c>
    </row>
    <row r="120" spans="1:17" x14ac:dyDescent="0.25">
      <c r="A120" t="s">
        <v>201</v>
      </c>
      <c r="C120">
        <f>IFERROR(IF(INDEX(Daten_Salden!$A:$ZZ,Berechnung!$B$21,34)="",NA(),INDEX(Daten_Salden!$A:$ZZ,Berechnung!$B$21,34)),NA())</f>
        <v>17</v>
      </c>
      <c r="D120">
        <f>IFERROR(IF(INDEX(Daten_Salden!$A:$ZZ,Berechnung!$C$21,34)="",NA(),INDEX(Daten_Salden!$A:$ZZ,Berechnung!$C$21,34)),NA())</f>
        <v>15</v>
      </c>
      <c r="E120">
        <f>IFERROR(IF(INDEX(Daten_Salden!$A:$ZZ,Berechnung!$B$21,4)="",NA(),INDEX(Daten_Salden!$A:$ZZ,Berechnung!$B$21,4)),NA())</f>
        <v>18.585999999999999</v>
      </c>
      <c r="F120">
        <f>IFERROR(IF(INDEX(Daten_Salden!$A:$ZZ,Berechnung!$B$22,34)="",NA(),INDEX(Daten_Salden!$A:$ZZ,Berechnung!$B$22,34)),NA())</f>
        <v>9</v>
      </c>
      <c r="G120">
        <f>IFERROR(IF(INDEX(Daten_Salden!$A:$ZZ,Berechnung!$C$22,34)="",NA(),INDEX(Daten_Salden!$A:$ZZ,Berechnung!$C$22,34)),NA())</f>
        <v>10</v>
      </c>
      <c r="H120">
        <f>IFERROR(IF(INDEX(Daten_Salden!$A:$ZZ,Berechnung!$B$22,4)="",NA(),INDEX(Daten_Salden!$A:$ZZ,Berechnung!$B$22,4)),NA())</f>
        <v>1.986</v>
      </c>
      <c r="I120" t="e">
        <f>IFERROR(IF(INDEX(Daten_Salden!$A:$ZZ,Berechnung!$B$23,34)="",NA(),INDEX(Daten_Salden!$A:$ZZ,Berechnung!$B$23,34)),NA())</f>
        <v>#N/A</v>
      </c>
      <c r="J120">
        <f>IFERROR(IF(INDEX(Daten_Salden!$A:$ZZ,Berechnung!$C$23,34)="",NA(),INDEX(Daten_Salden!$A:$ZZ,Berechnung!$C$23,34)),NA())</f>
        <v>17</v>
      </c>
      <c r="K120" t="e">
        <f>IFERROR(IF(INDEX(Daten_Salden!$A:$ZZ,Berechnung!$B$23,4)="",NA(),INDEX(Daten_Salden!$A:$ZZ,Berechnung!$B$23,4)),NA())</f>
        <v>#N/A</v>
      </c>
      <c r="L120">
        <f>IFERROR(IF(INDEX(Daten_Salden!$A:$ZZ,Berechnung!$B$24,34)="",NA(),INDEX(Daten_Salden!$A:$ZZ,Berechnung!$B$24,34)),NA())</f>
        <v>3</v>
      </c>
      <c r="M120">
        <f>IFERROR(IF(INDEX(Daten_Salden!$A:$ZZ,Berechnung!$C$24,34)="",NA(),INDEX(Daten_Salden!$A:$ZZ,Berechnung!$C$24,34)),NA())</f>
        <v>3</v>
      </c>
      <c r="N120">
        <f>IFERROR(IF(INDEX(Daten_Salden!$A:$ZZ,Berechnung!$B$24,4)="",NA(),INDEX(Daten_Salden!$A:$ZZ,Berechnung!$B$24,4)),NA())</f>
        <v>2.2429999999999999</v>
      </c>
      <c r="O120">
        <f>IFERROR(IF(INDEX(Daten_Salden!$A:$ZZ,Berechnung!$B$25,34)="",NA(),INDEX(Daten_Salden!$A:$ZZ,Berechnung!$B$25,34)),NA())</f>
        <v>1</v>
      </c>
      <c r="P120">
        <f>IFERROR(IF(INDEX(Daten_Salden!$A:$ZZ,Berechnung!$C$25,34)="",NA(),INDEX(Daten_Salden!$A:$ZZ,Berechnung!$C$25,34)),NA())</f>
        <v>-2</v>
      </c>
      <c r="Q120">
        <f>IFERROR(IF(INDEX(Daten_Salden!$A:$ZZ,Berechnung!$B$25,4)="",NA(),INDEX(Daten_Salden!$A:$ZZ,Berechnung!$B$25,4)),NA())</f>
        <v>-1.4</v>
      </c>
    </row>
    <row r="121" spans="1:17" x14ac:dyDescent="0.25">
      <c r="A121" t="s">
        <v>202</v>
      </c>
      <c r="C121">
        <f>IFERROR(IF(INDEX(Daten_Salden!$A:$ZZ,Berechnung!$B$21,35)="",NA(),INDEX(Daten_Salden!$A:$ZZ,Berechnung!$B$21,35)),NA())</f>
        <v>27</v>
      </c>
      <c r="D121">
        <f>IFERROR(IF(INDEX(Daten_Salden!$A:$ZZ,Berechnung!$C$21,35)="",NA(),INDEX(Daten_Salden!$A:$ZZ,Berechnung!$C$21,35)),NA())</f>
        <v>23</v>
      </c>
      <c r="E121">
        <f>IFERROR(IF(INDEX(Daten_Salden!$A:$ZZ,Berechnung!$B$21,4)="",NA(),INDEX(Daten_Salden!$A:$ZZ,Berechnung!$B$21,4)),NA())</f>
        <v>18.585999999999999</v>
      </c>
      <c r="F121">
        <f>IFERROR(IF(INDEX(Daten_Salden!$A:$ZZ,Berechnung!$B$22,35)="",NA(),INDEX(Daten_Salden!$A:$ZZ,Berechnung!$B$22,35)),NA())</f>
        <v>11</v>
      </c>
      <c r="G121">
        <f>IFERROR(IF(INDEX(Daten_Salden!$A:$ZZ,Berechnung!$C$22,35)="",NA(),INDEX(Daten_Salden!$A:$ZZ,Berechnung!$C$22,35)),NA())</f>
        <v>14</v>
      </c>
      <c r="H121">
        <f>IFERROR(IF(INDEX(Daten_Salden!$A:$ZZ,Berechnung!$B$22,4)="",NA(),INDEX(Daten_Salden!$A:$ZZ,Berechnung!$B$22,4)),NA())</f>
        <v>1.986</v>
      </c>
      <c r="I121" t="e">
        <f>IFERROR(IF(INDEX(Daten_Salden!$A:$ZZ,Berechnung!$B$23,35)="",NA(),INDEX(Daten_Salden!$A:$ZZ,Berechnung!$B$23,35)),NA())</f>
        <v>#N/A</v>
      </c>
      <c r="J121">
        <f>IFERROR(IF(INDEX(Daten_Salden!$A:$ZZ,Berechnung!$C$23,35)="",NA(),INDEX(Daten_Salden!$A:$ZZ,Berechnung!$C$23,35)),NA())</f>
        <v>23</v>
      </c>
      <c r="K121" t="e">
        <f>IFERROR(IF(INDEX(Daten_Salden!$A:$ZZ,Berechnung!$B$23,4)="",NA(),INDEX(Daten_Salden!$A:$ZZ,Berechnung!$B$23,4)),NA())</f>
        <v>#N/A</v>
      </c>
      <c r="L121">
        <f>IFERROR(IF(INDEX(Daten_Salden!$A:$ZZ,Berechnung!$B$24,35)="",NA(),INDEX(Daten_Salden!$A:$ZZ,Berechnung!$B$24,35)),NA())</f>
        <v>8</v>
      </c>
      <c r="M121">
        <f>IFERROR(IF(INDEX(Daten_Salden!$A:$ZZ,Berechnung!$C$24,35)="",NA(),INDEX(Daten_Salden!$A:$ZZ,Berechnung!$C$24,35)),NA())</f>
        <v>8</v>
      </c>
      <c r="N121">
        <f>IFERROR(IF(INDEX(Daten_Salden!$A:$ZZ,Berechnung!$B$24,4)="",NA(),INDEX(Daten_Salden!$A:$ZZ,Berechnung!$B$24,4)),NA())</f>
        <v>2.2429999999999999</v>
      </c>
      <c r="O121">
        <f>IFERROR(IF(INDEX(Daten_Salden!$A:$ZZ,Berechnung!$B$25,35)="",NA(),INDEX(Daten_Salden!$A:$ZZ,Berechnung!$B$25,35)),NA())</f>
        <v>4</v>
      </c>
      <c r="P121">
        <f>IFERROR(IF(INDEX(Daten_Salden!$A:$ZZ,Berechnung!$C$25,35)="",NA(),INDEX(Daten_Salden!$A:$ZZ,Berechnung!$C$25,35)),NA())</f>
        <v>1</v>
      </c>
      <c r="Q121">
        <f>IFERROR(IF(INDEX(Daten_Salden!$A:$ZZ,Berechnung!$B$25,4)="",NA(),INDEX(Daten_Salden!$A:$ZZ,Berechnung!$B$25,4)),NA())</f>
        <v>-1.4</v>
      </c>
    </row>
    <row r="122" spans="1:17" x14ac:dyDescent="0.25">
      <c r="A122" t="s">
        <v>203</v>
      </c>
      <c r="B122" t="s">
        <v>320</v>
      </c>
      <c r="C122">
        <f>IFERROR(IF(INDEX(Daten_Salden!$A:$ZZ,Berechnung!$B$21,36)="",NA(),INDEX(Daten_Salden!$A:$ZZ,Berechnung!$B$21,36)),NA())</f>
        <v>32</v>
      </c>
      <c r="D122">
        <f>IFERROR(IF(INDEX(Daten_Salden!$A:$ZZ,Berechnung!$C$21,36)="",NA(),INDEX(Daten_Salden!$A:$ZZ,Berechnung!$C$21,36)),NA())</f>
        <v>31</v>
      </c>
      <c r="E122">
        <f>IFERROR(IF(INDEX(Daten_Salden!$A:$ZZ,Berechnung!$B$21,4)="",NA(),INDEX(Daten_Salden!$A:$ZZ,Berechnung!$B$21,4)),NA())</f>
        <v>18.585999999999999</v>
      </c>
      <c r="F122">
        <f>IFERROR(IF(INDEX(Daten_Salden!$A:$ZZ,Berechnung!$B$22,36)="",NA(),INDEX(Daten_Salden!$A:$ZZ,Berechnung!$B$22,36)),NA())</f>
        <v>17</v>
      </c>
      <c r="G122">
        <f>IFERROR(IF(INDEX(Daten_Salden!$A:$ZZ,Berechnung!$C$22,36)="",NA(),INDEX(Daten_Salden!$A:$ZZ,Berechnung!$C$22,36)),NA())</f>
        <v>24</v>
      </c>
      <c r="H122">
        <f>IFERROR(IF(INDEX(Daten_Salden!$A:$ZZ,Berechnung!$B$22,4)="",NA(),INDEX(Daten_Salden!$A:$ZZ,Berechnung!$B$22,4)),NA())</f>
        <v>1.986</v>
      </c>
      <c r="I122" t="e">
        <f>IFERROR(IF(INDEX(Daten_Salden!$A:$ZZ,Berechnung!$B$23,36)="",NA(),INDEX(Daten_Salden!$A:$ZZ,Berechnung!$B$23,36)),NA())</f>
        <v>#N/A</v>
      </c>
      <c r="J122">
        <f>IFERROR(IF(INDEX(Daten_Salden!$A:$ZZ,Berechnung!$C$23,36)="",NA(),INDEX(Daten_Salden!$A:$ZZ,Berechnung!$C$23,36)),NA())</f>
        <v>30</v>
      </c>
      <c r="K122" t="e">
        <f>IFERROR(IF(INDEX(Daten_Salden!$A:$ZZ,Berechnung!$B$23,4)="",NA(),INDEX(Daten_Salden!$A:$ZZ,Berechnung!$B$23,4)),NA())</f>
        <v>#N/A</v>
      </c>
      <c r="L122">
        <f>IFERROR(IF(INDEX(Daten_Salden!$A:$ZZ,Berechnung!$B$24,36)="",NA(),INDEX(Daten_Salden!$A:$ZZ,Berechnung!$B$24,36)),NA())</f>
        <v>10</v>
      </c>
      <c r="M122">
        <f>IFERROR(IF(INDEX(Daten_Salden!$A:$ZZ,Berechnung!$C$24,36)="",NA(),INDEX(Daten_Salden!$A:$ZZ,Berechnung!$C$24,36)),NA())</f>
        <v>12</v>
      </c>
      <c r="N122">
        <f>IFERROR(IF(INDEX(Daten_Salden!$A:$ZZ,Berechnung!$B$24,4)="",NA(),INDEX(Daten_Salden!$A:$ZZ,Berechnung!$B$24,4)),NA())</f>
        <v>2.2429999999999999</v>
      </c>
      <c r="O122">
        <f>IFERROR(IF(INDEX(Daten_Salden!$A:$ZZ,Berechnung!$B$25,36)="",NA(),INDEX(Daten_Salden!$A:$ZZ,Berechnung!$B$25,36)),NA())</f>
        <v>6</v>
      </c>
      <c r="P122">
        <f>IFERROR(IF(INDEX(Daten_Salden!$A:$ZZ,Berechnung!$C$25,36)="",NA(),INDEX(Daten_Salden!$A:$ZZ,Berechnung!$C$25,36)),NA())</f>
        <v>5</v>
      </c>
      <c r="Q122">
        <f>IFERROR(IF(INDEX(Daten_Salden!$A:$ZZ,Berechnung!$B$25,4)="",NA(),INDEX(Daten_Salden!$A:$ZZ,Berechnung!$B$25,4)),NA())</f>
        <v>-1.4</v>
      </c>
    </row>
    <row r="123" spans="1:17" x14ac:dyDescent="0.25">
      <c r="A123" t="s">
        <v>204</v>
      </c>
      <c r="C123">
        <f>IFERROR(IF(INDEX(Daten_Salden!$A:$ZZ,Berechnung!$B$21,37)="",NA(),INDEX(Daten_Salden!$A:$ZZ,Berechnung!$B$21,37)),NA())</f>
        <v>33</v>
      </c>
      <c r="D123">
        <f>IFERROR(IF(INDEX(Daten_Salden!$A:$ZZ,Berechnung!$C$21,37)="",NA(),INDEX(Daten_Salden!$A:$ZZ,Berechnung!$C$21,37)),NA())</f>
        <v>35</v>
      </c>
      <c r="E123">
        <f>IFERROR(IF(INDEX(Daten_Salden!$A:$ZZ,Berechnung!$B$21,4)="",NA(),INDEX(Daten_Salden!$A:$ZZ,Berechnung!$B$21,4)),NA())</f>
        <v>18.585999999999999</v>
      </c>
      <c r="F123">
        <f>IFERROR(IF(INDEX(Daten_Salden!$A:$ZZ,Berechnung!$B$22,37)="",NA(),INDEX(Daten_Salden!$A:$ZZ,Berechnung!$B$22,37)),NA())</f>
        <v>18</v>
      </c>
      <c r="G123">
        <f>IFERROR(IF(INDEX(Daten_Salden!$A:$ZZ,Berechnung!$C$22,37)="",NA(),INDEX(Daten_Salden!$A:$ZZ,Berechnung!$C$22,37)),NA())</f>
        <v>22</v>
      </c>
      <c r="H123">
        <f>IFERROR(IF(INDEX(Daten_Salden!$A:$ZZ,Berechnung!$B$22,4)="",NA(),INDEX(Daten_Salden!$A:$ZZ,Berechnung!$B$22,4)),NA())</f>
        <v>1.986</v>
      </c>
      <c r="I123" t="e">
        <f>IFERROR(IF(INDEX(Daten_Salden!$A:$ZZ,Berechnung!$B$23,37)="",NA(),INDEX(Daten_Salden!$A:$ZZ,Berechnung!$B$23,37)),NA())</f>
        <v>#N/A</v>
      </c>
      <c r="J123">
        <f>IFERROR(IF(INDEX(Daten_Salden!$A:$ZZ,Berechnung!$C$23,37)="",NA(),INDEX(Daten_Salden!$A:$ZZ,Berechnung!$C$23,37)),NA())</f>
        <v>25</v>
      </c>
      <c r="K123" t="e">
        <f>IFERROR(IF(INDEX(Daten_Salden!$A:$ZZ,Berechnung!$B$23,4)="",NA(),INDEX(Daten_Salden!$A:$ZZ,Berechnung!$B$23,4)),NA())</f>
        <v>#N/A</v>
      </c>
      <c r="L123">
        <f>IFERROR(IF(INDEX(Daten_Salden!$A:$ZZ,Berechnung!$B$24,37)="",NA(),INDEX(Daten_Salden!$A:$ZZ,Berechnung!$B$24,37)),NA())</f>
        <v>11</v>
      </c>
      <c r="M123">
        <f>IFERROR(IF(INDEX(Daten_Salden!$A:$ZZ,Berechnung!$C$24,37)="",NA(),INDEX(Daten_Salden!$A:$ZZ,Berechnung!$C$24,37)),NA())</f>
        <v>13</v>
      </c>
      <c r="N123">
        <f>IFERROR(IF(INDEX(Daten_Salden!$A:$ZZ,Berechnung!$B$24,4)="",NA(),INDEX(Daten_Salden!$A:$ZZ,Berechnung!$B$24,4)),NA())</f>
        <v>2.2429999999999999</v>
      </c>
      <c r="O123">
        <f>IFERROR(IF(INDEX(Daten_Salden!$A:$ZZ,Berechnung!$B$25,37)="",NA(),INDEX(Daten_Salden!$A:$ZZ,Berechnung!$B$25,37)),NA())</f>
        <v>6</v>
      </c>
      <c r="P123">
        <f>IFERROR(IF(INDEX(Daten_Salden!$A:$ZZ,Berechnung!$C$25,37)="",NA(),INDEX(Daten_Salden!$A:$ZZ,Berechnung!$C$25,37)),NA())</f>
        <v>5</v>
      </c>
      <c r="Q123">
        <f>IFERROR(IF(INDEX(Daten_Salden!$A:$ZZ,Berechnung!$B$25,4)="",NA(),INDEX(Daten_Salden!$A:$ZZ,Berechnung!$B$25,4)),NA())</f>
        <v>-1.4</v>
      </c>
    </row>
    <row r="124" spans="1:17" x14ac:dyDescent="0.25">
      <c r="A124" t="s">
        <v>205</v>
      </c>
      <c r="C124">
        <f>IFERROR(IF(INDEX(Daten_Salden!$A:$ZZ,Berechnung!$B$21,38)="",NA(),INDEX(Daten_Salden!$A:$ZZ,Berechnung!$B$21,38)),NA())</f>
        <v>31</v>
      </c>
      <c r="D124">
        <f>IFERROR(IF(INDEX(Daten_Salden!$A:$ZZ,Berechnung!$C$21,38)="",NA(),INDEX(Daten_Salden!$A:$ZZ,Berechnung!$C$21,38)),NA())</f>
        <v>28</v>
      </c>
      <c r="E124">
        <f>IFERROR(IF(INDEX(Daten_Salden!$A:$ZZ,Berechnung!$B$21,4)="",NA(),INDEX(Daten_Salden!$A:$ZZ,Berechnung!$B$21,4)),NA())</f>
        <v>18.585999999999999</v>
      </c>
      <c r="F124">
        <f>IFERROR(IF(INDEX(Daten_Salden!$A:$ZZ,Berechnung!$B$22,38)="",NA(),INDEX(Daten_Salden!$A:$ZZ,Berechnung!$B$22,38)),NA())</f>
        <v>6</v>
      </c>
      <c r="G124">
        <f>IFERROR(IF(INDEX(Daten_Salden!$A:$ZZ,Berechnung!$C$22,38)="",NA(),INDEX(Daten_Salden!$A:$ZZ,Berechnung!$C$22,38)),NA())</f>
        <v>7</v>
      </c>
      <c r="H124">
        <f>IFERROR(IF(INDEX(Daten_Salden!$A:$ZZ,Berechnung!$B$22,4)="",NA(),INDEX(Daten_Salden!$A:$ZZ,Berechnung!$B$22,4)),NA())</f>
        <v>1.986</v>
      </c>
      <c r="I124" t="e">
        <f>IFERROR(IF(INDEX(Daten_Salden!$A:$ZZ,Berechnung!$B$23,38)="",NA(),INDEX(Daten_Salden!$A:$ZZ,Berechnung!$B$23,38)),NA())</f>
        <v>#N/A</v>
      </c>
      <c r="J124">
        <f>IFERROR(IF(INDEX(Daten_Salden!$A:$ZZ,Berechnung!$C$23,38)="",NA(),INDEX(Daten_Salden!$A:$ZZ,Berechnung!$C$23,38)),NA())</f>
        <v>15</v>
      </c>
      <c r="K124" t="e">
        <f>IFERROR(IF(INDEX(Daten_Salden!$A:$ZZ,Berechnung!$B$23,4)="",NA(),INDEX(Daten_Salden!$A:$ZZ,Berechnung!$B$23,4)),NA())</f>
        <v>#N/A</v>
      </c>
      <c r="L124">
        <f>IFERROR(IF(INDEX(Daten_Salden!$A:$ZZ,Berechnung!$B$24,38)="",NA(),INDEX(Daten_Salden!$A:$ZZ,Berechnung!$B$24,38)),NA())</f>
        <v>8</v>
      </c>
      <c r="M124">
        <f>IFERROR(IF(INDEX(Daten_Salden!$A:$ZZ,Berechnung!$C$24,38)="",NA(),INDEX(Daten_Salden!$A:$ZZ,Berechnung!$C$24,38)),NA())</f>
        <v>9</v>
      </c>
      <c r="N124">
        <f>IFERROR(IF(INDEX(Daten_Salden!$A:$ZZ,Berechnung!$B$24,4)="",NA(),INDEX(Daten_Salden!$A:$ZZ,Berechnung!$B$24,4)),NA())</f>
        <v>2.2429999999999999</v>
      </c>
      <c r="O124">
        <f>IFERROR(IF(INDEX(Daten_Salden!$A:$ZZ,Berechnung!$B$25,38)="",NA(),INDEX(Daten_Salden!$A:$ZZ,Berechnung!$B$25,38)),NA())</f>
        <v>2</v>
      </c>
      <c r="P124">
        <f>IFERROR(IF(INDEX(Daten_Salden!$A:$ZZ,Berechnung!$C$25,38)="",NA(),INDEX(Daten_Salden!$A:$ZZ,Berechnung!$C$25,38)),NA())</f>
        <v>0</v>
      </c>
      <c r="Q124">
        <f>IFERROR(IF(INDEX(Daten_Salden!$A:$ZZ,Berechnung!$B$25,4)="",NA(),INDEX(Daten_Salden!$A:$ZZ,Berechnung!$B$25,4)),NA())</f>
        <v>-1.4</v>
      </c>
    </row>
    <row r="125" spans="1:17" x14ac:dyDescent="0.25">
      <c r="A125" t="s">
        <v>206</v>
      </c>
      <c r="B125" t="s">
        <v>321</v>
      </c>
      <c r="C125">
        <f>IFERROR(IF(INDEX(Daten_Salden!$A:$ZZ,Berechnung!$B$21,39)="",NA(),INDEX(Daten_Salden!$A:$ZZ,Berechnung!$B$21,39)),NA())</f>
        <v>32</v>
      </c>
      <c r="D125">
        <f>IFERROR(IF(INDEX(Daten_Salden!$A:$ZZ,Berechnung!$C$21,39)="",NA(),INDEX(Daten_Salden!$A:$ZZ,Berechnung!$C$21,39)),NA())</f>
        <v>30</v>
      </c>
      <c r="E125">
        <f>IFERROR(IF(INDEX(Daten_Salden!$A:$ZZ,Berechnung!$B$21,4)="",NA(),INDEX(Daten_Salden!$A:$ZZ,Berechnung!$B$21,4)),NA())</f>
        <v>18.585999999999999</v>
      </c>
      <c r="F125">
        <f>IFERROR(IF(INDEX(Daten_Salden!$A:$ZZ,Berechnung!$B$22,39)="",NA(),INDEX(Daten_Salden!$A:$ZZ,Berechnung!$B$22,39)),NA())</f>
        <v>7</v>
      </c>
      <c r="G125">
        <f>IFERROR(IF(INDEX(Daten_Salden!$A:$ZZ,Berechnung!$C$22,39)="",NA(),INDEX(Daten_Salden!$A:$ZZ,Berechnung!$C$22,39)),NA())</f>
        <v>11</v>
      </c>
      <c r="H125">
        <f>IFERROR(IF(INDEX(Daten_Salden!$A:$ZZ,Berechnung!$B$22,4)="",NA(),INDEX(Daten_Salden!$A:$ZZ,Berechnung!$B$22,4)),NA())</f>
        <v>1.986</v>
      </c>
      <c r="I125" t="e">
        <f>IFERROR(IF(INDEX(Daten_Salden!$A:$ZZ,Berechnung!$B$23,39)="",NA(),INDEX(Daten_Salden!$A:$ZZ,Berechnung!$B$23,39)),NA())</f>
        <v>#N/A</v>
      </c>
      <c r="J125">
        <f>IFERROR(IF(INDEX(Daten_Salden!$A:$ZZ,Berechnung!$C$23,39)="",NA(),INDEX(Daten_Salden!$A:$ZZ,Berechnung!$C$23,39)),NA())</f>
        <v>17</v>
      </c>
      <c r="K125" t="e">
        <f>IFERROR(IF(INDEX(Daten_Salden!$A:$ZZ,Berechnung!$B$23,4)="",NA(),INDEX(Daten_Salden!$A:$ZZ,Berechnung!$B$23,4)),NA())</f>
        <v>#N/A</v>
      </c>
      <c r="L125">
        <f>IFERROR(IF(INDEX(Daten_Salden!$A:$ZZ,Berechnung!$B$24,39)="",NA(),INDEX(Daten_Salden!$A:$ZZ,Berechnung!$B$24,39)),NA())</f>
        <v>9</v>
      </c>
      <c r="M125">
        <f>IFERROR(IF(INDEX(Daten_Salden!$A:$ZZ,Berechnung!$C$24,39)="",NA(),INDEX(Daten_Salden!$A:$ZZ,Berechnung!$C$24,39)),NA())</f>
        <v>11</v>
      </c>
      <c r="N125">
        <f>IFERROR(IF(INDEX(Daten_Salden!$A:$ZZ,Berechnung!$B$24,4)="",NA(),INDEX(Daten_Salden!$A:$ZZ,Berechnung!$B$24,4)),NA())</f>
        <v>2.2429999999999999</v>
      </c>
      <c r="O125">
        <f>IFERROR(IF(INDEX(Daten_Salden!$A:$ZZ,Berechnung!$B$25,39)="",NA(),INDEX(Daten_Salden!$A:$ZZ,Berechnung!$B$25,39)),NA())</f>
        <v>3</v>
      </c>
      <c r="P125">
        <f>IFERROR(IF(INDEX(Daten_Salden!$A:$ZZ,Berechnung!$C$25,39)="",NA(),INDEX(Daten_Salden!$A:$ZZ,Berechnung!$C$25,39)),NA())</f>
        <v>2</v>
      </c>
      <c r="Q125">
        <f>IFERROR(IF(INDEX(Daten_Salden!$A:$ZZ,Berechnung!$B$25,4)="",NA(),INDEX(Daten_Salden!$A:$ZZ,Berechnung!$B$25,4)),NA())</f>
        <v>-1.4</v>
      </c>
    </row>
    <row r="126" spans="1:17" x14ac:dyDescent="0.25">
      <c r="A126" t="s">
        <v>207</v>
      </c>
      <c r="C126">
        <f>IFERROR(IF(INDEX(Daten_Salden!$A:$ZZ,Berechnung!$B$21,40)="",NA(),INDEX(Daten_Salden!$A:$ZZ,Berechnung!$B$21,40)),NA())</f>
        <v>32</v>
      </c>
      <c r="D126">
        <f>IFERROR(IF(INDEX(Daten_Salden!$A:$ZZ,Berechnung!$C$21,40)="",NA(),INDEX(Daten_Salden!$A:$ZZ,Berechnung!$C$21,40)),NA())</f>
        <v>32</v>
      </c>
      <c r="E126">
        <f>IFERROR(IF(INDEX(Daten_Salden!$A:$ZZ,Berechnung!$B$21,4)="",NA(),INDEX(Daten_Salden!$A:$ZZ,Berechnung!$B$21,4)),NA())</f>
        <v>18.585999999999999</v>
      </c>
      <c r="F126">
        <f>IFERROR(IF(INDEX(Daten_Salden!$A:$ZZ,Berechnung!$B$22,40)="",NA(),INDEX(Daten_Salden!$A:$ZZ,Berechnung!$B$22,40)),NA())</f>
        <v>13</v>
      </c>
      <c r="G126">
        <f>IFERROR(IF(INDEX(Daten_Salden!$A:$ZZ,Berechnung!$C$22,40)="",NA(),INDEX(Daten_Salden!$A:$ZZ,Berechnung!$C$22,40)),NA())</f>
        <v>17</v>
      </c>
      <c r="H126">
        <f>IFERROR(IF(INDEX(Daten_Salden!$A:$ZZ,Berechnung!$B$22,4)="",NA(),INDEX(Daten_Salden!$A:$ZZ,Berechnung!$B$22,4)),NA())</f>
        <v>1.986</v>
      </c>
      <c r="I126" t="e">
        <f>IFERROR(IF(INDEX(Daten_Salden!$A:$ZZ,Berechnung!$B$23,40)="",NA(),INDEX(Daten_Salden!$A:$ZZ,Berechnung!$B$23,40)),NA())</f>
        <v>#N/A</v>
      </c>
      <c r="J126">
        <f>IFERROR(IF(INDEX(Daten_Salden!$A:$ZZ,Berechnung!$C$23,40)="",NA(),INDEX(Daten_Salden!$A:$ZZ,Berechnung!$C$23,40)),NA())</f>
        <v>21</v>
      </c>
      <c r="K126" t="e">
        <f>IFERROR(IF(INDEX(Daten_Salden!$A:$ZZ,Berechnung!$B$23,4)="",NA(),INDEX(Daten_Salden!$A:$ZZ,Berechnung!$B$23,4)),NA())</f>
        <v>#N/A</v>
      </c>
      <c r="L126">
        <f>IFERROR(IF(INDEX(Daten_Salden!$A:$ZZ,Berechnung!$B$24,40)="",NA(),INDEX(Daten_Salden!$A:$ZZ,Berechnung!$B$24,40)),NA())</f>
        <v>12</v>
      </c>
      <c r="M126">
        <f>IFERROR(IF(INDEX(Daten_Salden!$A:$ZZ,Berechnung!$C$24,40)="",NA(),INDEX(Daten_Salden!$A:$ZZ,Berechnung!$C$24,40)),NA())</f>
        <v>13</v>
      </c>
      <c r="N126">
        <f>IFERROR(IF(INDEX(Daten_Salden!$A:$ZZ,Berechnung!$B$24,4)="",NA(),INDEX(Daten_Salden!$A:$ZZ,Berechnung!$B$24,4)),NA())</f>
        <v>2.2429999999999999</v>
      </c>
      <c r="O126">
        <f>IFERROR(IF(INDEX(Daten_Salden!$A:$ZZ,Berechnung!$B$25,40)="",NA(),INDEX(Daten_Salden!$A:$ZZ,Berechnung!$B$25,40)),NA())</f>
        <v>5</v>
      </c>
      <c r="P126">
        <f>IFERROR(IF(INDEX(Daten_Salden!$A:$ZZ,Berechnung!$C$25,40)="",NA(),INDEX(Daten_Salden!$A:$ZZ,Berechnung!$C$25,40)),NA())</f>
        <v>3</v>
      </c>
      <c r="Q126">
        <f>IFERROR(IF(INDEX(Daten_Salden!$A:$ZZ,Berechnung!$B$25,4)="",NA(),INDEX(Daten_Salden!$A:$ZZ,Berechnung!$B$25,4)),NA())</f>
        <v>-1.4</v>
      </c>
    </row>
    <row r="127" spans="1:17" x14ac:dyDescent="0.25">
      <c r="A127" t="s">
        <v>208</v>
      </c>
      <c r="C127">
        <f>IFERROR(IF(INDEX(Daten_Salden!$A:$ZZ,Berechnung!$B$21,41)="",NA(),INDEX(Daten_Salden!$A:$ZZ,Berechnung!$B$21,41)),NA())</f>
        <v>35</v>
      </c>
      <c r="D127">
        <f>IFERROR(IF(INDEX(Daten_Salden!$A:$ZZ,Berechnung!$C$21,41)="",NA(),INDEX(Daten_Salden!$A:$ZZ,Berechnung!$C$21,41)),NA())</f>
        <v>30</v>
      </c>
      <c r="E127">
        <f>IFERROR(IF(INDEX(Daten_Salden!$A:$ZZ,Berechnung!$B$21,4)="",NA(),INDEX(Daten_Salden!$A:$ZZ,Berechnung!$B$21,4)),NA())</f>
        <v>18.585999999999999</v>
      </c>
      <c r="F127">
        <f>IFERROR(IF(INDEX(Daten_Salden!$A:$ZZ,Berechnung!$B$22,41)="",NA(),INDEX(Daten_Salden!$A:$ZZ,Berechnung!$B$22,41)),NA())</f>
        <v>9</v>
      </c>
      <c r="G127">
        <f>IFERROR(IF(INDEX(Daten_Salden!$A:$ZZ,Berechnung!$C$22,41)="",NA(),INDEX(Daten_Salden!$A:$ZZ,Berechnung!$C$22,41)),NA())</f>
        <v>12</v>
      </c>
      <c r="H127">
        <f>IFERROR(IF(INDEX(Daten_Salden!$A:$ZZ,Berechnung!$B$22,4)="",NA(),INDEX(Daten_Salden!$A:$ZZ,Berechnung!$B$22,4)),NA())</f>
        <v>1.986</v>
      </c>
      <c r="I127" t="e">
        <f>IFERROR(IF(INDEX(Daten_Salden!$A:$ZZ,Berechnung!$B$23,41)="",NA(),INDEX(Daten_Salden!$A:$ZZ,Berechnung!$B$23,41)),NA())</f>
        <v>#N/A</v>
      </c>
      <c r="J127">
        <f>IFERROR(IF(INDEX(Daten_Salden!$A:$ZZ,Berechnung!$C$23,41)="",NA(),INDEX(Daten_Salden!$A:$ZZ,Berechnung!$C$23,41)),NA())</f>
        <v>16</v>
      </c>
      <c r="K127" t="e">
        <f>IFERROR(IF(INDEX(Daten_Salden!$A:$ZZ,Berechnung!$B$23,4)="",NA(),INDEX(Daten_Salden!$A:$ZZ,Berechnung!$B$23,4)),NA())</f>
        <v>#N/A</v>
      </c>
      <c r="L127">
        <f>IFERROR(IF(INDEX(Daten_Salden!$A:$ZZ,Berechnung!$B$24,41)="",NA(),INDEX(Daten_Salden!$A:$ZZ,Berechnung!$B$24,41)),NA())</f>
        <v>11</v>
      </c>
      <c r="M127">
        <f>IFERROR(IF(INDEX(Daten_Salden!$A:$ZZ,Berechnung!$C$24,41)="",NA(),INDEX(Daten_Salden!$A:$ZZ,Berechnung!$C$24,41)),NA())</f>
        <v>11</v>
      </c>
      <c r="N127">
        <f>IFERROR(IF(INDEX(Daten_Salden!$A:$ZZ,Berechnung!$B$24,4)="",NA(),INDEX(Daten_Salden!$A:$ZZ,Berechnung!$B$24,4)),NA())</f>
        <v>2.2429999999999999</v>
      </c>
      <c r="O127">
        <f>IFERROR(IF(INDEX(Daten_Salden!$A:$ZZ,Berechnung!$B$25,41)="",NA(),INDEX(Daten_Salden!$A:$ZZ,Berechnung!$B$25,41)),NA())</f>
        <v>5</v>
      </c>
      <c r="P127">
        <f>IFERROR(IF(INDEX(Daten_Salden!$A:$ZZ,Berechnung!$C$25,41)="",NA(),INDEX(Daten_Salden!$A:$ZZ,Berechnung!$C$25,41)),NA())</f>
        <v>2</v>
      </c>
      <c r="Q127">
        <f>IFERROR(IF(INDEX(Daten_Salden!$A:$ZZ,Berechnung!$B$25,4)="",NA(),INDEX(Daten_Salden!$A:$ZZ,Berechnung!$B$25,4)),NA())</f>
        <v>-1.4</v>
      </c>
    </row>
    <row r="128" spans="1:17" x14ac:dyDescent="0.25">
      <c r="A128" t="s">
        <v>209</v>
      </c>
      <c r="B128" t="s">
        <v>322</v>
      </c>
      <c r="C128">
        <f>IFERROR(IF(INDEX(Daten_Salden!$A:$ZZ,Berechnung!$B$21,42)="",NA(),INDEX(Daten_Salden!$A:$ZZ,Berechnung!$B$21,42)),NA())</f>
        <v>38</v>
      </c>
      <c r="D128">
        <f>IFERROR(IF(INDEX(Daten_Salden!$A:$ZZ,Berechnung!$C$21,42)="",NA(),INDEX(Daten_Salden!$A:$ZZ,Berechnung!$C$21,42)),NA())</f>
        <v>34</v>
      </c>
      <c r="E128">
        <f>IFERROR(IF(INDEX(Daten_Salden!$A:$ZZ,Berechnung!$B$21,4)="",NA(),INDEX(Daten_Salden!$A:$ZZ,Berechnung!$B$21,4)),NA())</f>
        <v>18.585999999999999</v>
      </c>
      <c r="F128">
        <f>IFERROR(IF(INDEX(Daten_Salden!$A:$ZZ,Berechnung!$B$22,42)="",NA(),INDEX(Daten_Salden!$A:$ZZ,Berechnung!$B$22,42)),NA())</f>
        <v>11</v>
      </c>
      <c r="G128">
        <f>IFERROR(IF(INDEX(Daten_Salden!$A:$ZZ,Berechnung!$C$22,42)="",NA(),INDEX(Daten_Salden!$A:$ZZ,Berechnung!$C$22,42)),NA())</f>
        <v>16</v>
      </c>
      <c r="H128">
        <f>IFERROR(IF(INDEX(Daten_Salden!$A:$ZZ,Berechnung!$B$22,4)="",NA(),INDEX(Daten_Salden!$A:$ZZ,Berechnung!$B$22,4)),NA())</f>
        <v>1.986</v>
      </c>
      <c r="I128" t="e">
        <f>IFERROR(IF(INDEX(Daten_Salden!$A:$ZZ,Berechnung!$B$23,42)="",NA(),INDEX(Daten_Salden!$A:$ZZ,Berechnung!$B$23,42)),NA())</f>
        <v>#N/A</v>
      </c>
      <c r="J128">
        <f>IFERROR(IF(INDEX(Daten_Salden!$A:$ZZ,Berechnung!$C$23,42)="",NA(),INDEX(Daten_Salden!$A:$ZZ,Berechnung!$C$23,42)),NA())</f>
        <v>20</v>
      </c>
      <c r="K128" t="e">
        <f>IFERROR(IF(INDEX(Daten_Salden!$A:$ZZ,Berechnung!$B$23,4)="",NA(),INDEX(Daten_Salden!$A:$ZZ,Berechnung!$B$23,4)),NA())</f>
        <v>#N/A</v>
      </c>
      <c r="L128">
        <f>IFERROR(IF(INDEX(Daten_Salden!$A:$ZZ,Berechnung!$B$24,42)="",NA(),INDEX(Daten_Salden!$A:$ZZ,Berechnung!$B$24,42)),NA())</f>
        <v>12</v>
      </c>
      <c r="M128">
        <f>IFERROR(IF(INDEX(Daten_Salden!$A:$ZZ,Berechnung!$C$24,42)="",NA(),INDEX(Daten_Salden!$A:$ZZ,Berechnung!$C$24,42)),NA())</f>
        <v>12</v>
      </c>
      <c r="N128">
        <f>IFERROR(IF(INDEX(Daten_Salden!$A:$ZZ,Berechnung!$B$24,4)="",NA(),INDEX(Daten_Salden!$A:$ZZ,Berechnung!$B$24,4)),NA())</f>
        <v>2.2429999999999999</v>
      </c>
      <c r="O128">
        <f>IFERROR(IF(INDEX(Daten_Salden!$A:$ZZ,Berechnung!$B$25,42)="",NA(),INDEX(Daten_Salden!$A:$ZZ,Berechnung!$B$25,42)),NA())</f>
        <v>6</v>
      </c>
      <c r="P128">
        <f>IFERROR(IF(INDEX(Daten_Salden!$A:$ZZ,Berechnung!$C$25,42)="",NA(),INDEX(Daten_Salden!$A:$ZZ,Berechnung!$C$25,42)),NA())</f>
        <v>4</v>
      </c>
      <c r="Q128">
        <f>IFERROR(IF(INDEX(Daten_Salden!$A:$ZZ,Berechnung!$B$25,4)="",NA(),INDEX(Daten_Salden!$A:$ZZ,Berechnung!$B$25,4)),NA())</f>
        <v>-1.4</v>
      </c>
    </row>
    <row r="129" spans="1:17" x14ac:dyDescent="0.25">
      <c r="A129" t="s">
        <v>210</v>
      </c>
      <c r="C129">
        <f>IFERROR(IF(INDEX(Daten_Salden!$A:$ZZ,Berechnung!$B$21,43)="",NA(),INDEX(Daten_Salden!$A:$ZZ,Berechnung!$B$21,43)),NA())</f>
        <v>34</v>
      </c>
      <c r="D129">
        <f>IFERROR(IF(INDEX(Daten_Salden!$A:$ZZ,Berechnung!$C$21,43)="",NA(),INDEX(Daten_Salden!$A:$ZZ,Berechnung!$C$21,43)),NA())</f>
        <v>31</v>
      </c>
      <c r="E129">
        <f>IFERROR(IF(INDEX(Daten_Salden!$A:$ZZ,Berechnung!$B$21,4)="",NA(),INDEX(Daten_Salden!$A:$ZZ,Berechnung!$B$21,4)),NA())</f>
        <v>18.585999999999999</v>
      </c>
      <c r="F129">
        <f>IFERROR(IF(INDEX(Daten_Salden!$A:$ZZ,Berechnung!$B$22,43)="",NA(),INDEX(Daten_Salden!$A:$ZZ,Berechnung!$B$22,43)),NA())</f>
        <v>12</v>
      </c>
      <c r="G129">
        <f>IFERROR(IF(INDEX(Daten_Salden!$A:$ZZ,Berechnung!$C$22,43)="",NA(),INDEX(Daten_Salden!$A:$ZZ,Berechnung!$C$22,43)),NA())</f>
        <v>15</v>
      </c>
      <c r="H129">
        <f>IFERROR(IF(INDEX(Daten_Salden!$A:$ZZ,Berechnung!$B$22,4)="",NA(),INDEX(Daten_Salden!$A:$ZZ,Berechnung!$B$22,4)),NA())</f>
        <v>1.986</v>
      </c>
      <c r="I129" t="e">
        <f>IFERROR(IF(INDEX(Daten_Salden!$A:$ZZ,Berechnung!$B$23,43)="",NA(),INDEX(Daten_Salden!$A:$ZZ,Berechnung!$B$23,43)),NA())</f>
        <v>#N/A</v>
      </c>
      <c r="J129">
        <f>IFERROR(IF(INDEX(Daten_Salden!$A:$ZZ,Berechnung!$C$23,43)="",NA(),INDEX(Daten_Salden!$A:$ZZ,Berechnung!$C$23,43)),NA())</f>
        <v>17</v>
      </c>
      <c r="K129" t="e">
        <f>IFERROR(IF(INDEX(Daten_Salden!$A:$ZZ,Berechnung!$B$23,4)="",NA(),INDEX(Daten_Salden!$A:$ZZ,Berechnung!$B$23,4)),NA())</f>
        <v>#N/A</v>
      </c>
      <c r="L129">
        <f>IFERROR(IF(INDEX(Daten_Salden!$A:$ZZ,Berechnung!$B$24,43)="",NA(),INDEX(Daten_Salden!$A:$ZZ,Berechnung!$B$24,43)),NA())</f>
        <v>12</v>
      </c>
      <c r="M129">
        <f>IFERROR(IF(INDEX(Daten_Salden!$A:$ZZ,Berechnung!$C$24,43)="",NA(),INDEX(Daten_Salden!$A:$ZZ,Berechnung!$C$24,43)),NA())</f>
        <v>13</v>
      </c>
      <c r="N129">
        <f>IFERROR(IF(INDEX(Daten_Salden!$A:$ZZ,Berechnung!$B$24,4)="",NA(),INDEX(Daten_Salden!$A:$ZZ,Berechnung!$B$24,4)),NA())</f>
        <v>2.2429999999999999</v>
      </c>
      <c r="O129">
        <f>IFERROR(IF(INDEX(Daten_Salden!$A:$ZZ,Berechnung!$B$25,43)="",NA(),INDEX(Daten_Salden!$A:$ZZ,Berechnung!$B$25,43)),NA())</f>
        <v>6</v>
      </c>
      <c r="P129">
        <f>IFERROR(IF(INDEX(Daten_Salden!$A:$ZZ,Berechnung!$C$25,43)="",NA(),INDEX(Daten_Salden!$A:$ZZ,Berechnung!$C$25,43)),NA())</f>
        <v>4</v>
      </c>
      <c r="Q129">
        <f>IFERROR(IF(INDEX(Daten_Salden!$A:$ZZ,Berechnung!$B$25,4)="",NA(),INDEX(Daten_Salden!$A:$ZZ,Berechnung!$B$25,4)),NA())</f>
        <v>-1.4</v>
      </c>
    </row>
    <row r="130" spans="1:17" x14ac:dyDescent="0.25">
      <c r="A130" t="s">
        <v>211</v>
      </c>
      <c r="C130">
        <f>IFERROR(IF(INDEX(Daten_Salden!$A:$ZZ,Berechnung!$B$21,44)="",NA(),INDEX(Daten_Salden!$A:$ZZ,Berechnung!$B$21,44)),NA())</f>
        <v>36</v>
      </c>
      <c r="D130">
        <f>IFERROR(IF(INDEX(Daten_Salden!$A:$ZZ,Berechnung!$C$21,44)="",NA(),INDEX(Daten_Salden!$A:$ZZ,Berechnung!$C$21,44)),NA())</f>
        <v>32</v>
      </c>
      <c r="E130">
        <f>IFERROR(IF(INDEX(Daten_Salden!$A:$ZZ,Berechnung!$B$21,4)="",NA(),INDEX(Daten_Salden!$A:$ZZ,Berechnung!$B$21,4)),NA())</f>
        <v>18.585999999999999</v>
      </c>
      <c r="F130">
        <f>IFERROR(IF(INDEX(Daten_Salden!$A:$ZZ,Berechnung!$B$22,44)="",NA(),INDEX(Daten_Salden!$A:$ZZ,Berechnung!$B$22,44)),NA())</f>
        <v>9</v>
      </c>
      <c r="G130">
        <f>IFERROR(IF(INDEX(Daten_Salden!$A:$ZZ,Berechnung!$C$22,44)="",NA(),INDEX(Daten_Salden!$A:$ZZ,Berechnung!$C$22,44)),NA())</f>
        <v>13</v>
      </c>
      <c r="H130">
        <f>IFERROR(IF(INDEX(Daten_Salden!$A:$ZZ,Berechnung!$B$22,4)="",NA(),INDEX(Daten_Salden!$A:$ZZ,Berechnung!$B$22,4)),NA())</f>
        <v>1.986</v>
      </c>
      <c r="I130" t="e">
        <f>IFERROR(IF(INDEX(Daten_Salden!$A:$ZZ,Berechnung!$B$23,44)="",NA(),INDEX(Daten_Salden!$A:$ZZ,Berechnung!$B$23,44)),NA())</f>
        <v>#N/A</v>
      </c>
      <c r="J130">
        <f>IFERROR(IF(INDEX(Daten_Salden!$A:$ZZ,Berechnung!$C$23,44)="",NA(),INDEX(Daten_Salden!$A:$ZZ,Berechnung!$C$23,44)),NA())</f>
        <v>16</v>
      </c>
      <c r="K130" t="e">
        <f>IFERROR(IF(INDEX(Daten_Salden!$A:$ZZ,Berechnung!$B$23,4)="",NA(),INDEX(Daten_Salden!$A:$ZZ,Berechnung!$B$23,4)),NA())</f>
        <v>#N/A</v>
      </c>
      <c r="L130">
        <f>IFERROR(IF(INDEX(Daten_Salden!$A:$ZZ,Berechnung!$B$24,44)="",NA(),INDEX(Daten_Salden!$A:$ZZ,Berechnung!$B$24,44)),NA())</f>
        <v>13</v>
      </c>
      <c r="M130">
        <f>IFERROR(IF(INDEX(Daten_Salden!$A:$ZZ,Berechnung!$C$24,44)="",NA(),INDEX(Daten_Salden!$A:$ZZ,Berechnung!$C$24,44)),NA())</f>
        <v>12</v>
      </c>
      <c r="N130">
        <f>IFERROR(IF(INDEX(Daten_Salden!$A:$ZZ,Berechnung!$B$24,4)="",NA(),INDEX(Daten_Salden!$A:$ZZ,Berechnung!$B$24,4)),NA())</f>
        <v>2.2429999999999999</v>
      </c>
      <c r="O130">
        <f>IFERROR(IF(INDEX(Daten_Salden!$A:$ZZ,Berechnung!$B$25,44)="",NA(),INDEX(Daten_Salden!$A:$ZZ,Berechnung!$B$25,44)),NA())</f>
        <v>6</v>
      </c>
      <c r="P130">
        <f>IFERROR(IF(INDEX(Daten_Salden!$A:$ZZ,Berechnung!$C$25,44)="",NA(),INDEX(Daten_Salden!$A:$ZZ,Berechnung!$C$25,44)),NA())</f>
        <v>5</v>
      </c>
      <c r="Q130">
        <f>IFERROR(IF(INDEX(Daten_Salden!$A:$ZZ,Berechnung!$B$25,4)="",NA(),INDEX(Daten_Salden!$A:$ZZ,Berechnung!$B$25,4)),NA())</f>
        <v>-1.4</v>
      </c>
    </row>
    <row r="131" spans="1:17" x14ac:dyDescent="0.25">
      <c r="A131" t="s">
        <v>212</v>
      </c>
      <c r="B131" t="s">
        <v>323</v>
      </c>
      <c r="C131">
        <f>IFERROR(IF(INDEX(Daten_Salden!$A:$ZZ,Berechnung!$B$21,45)="",NA(),INDEX(Daten_Salden!$A:$ZZ,Berechnung!$B$21,45)),NA())</f>
        <v>38</v>
      </c>
      <c r="D131">
        <f>IFERROR(IF(INDEX(Daten_Salden!$A:$ZZ,Berechnung!$C$21,45)="",NA(),INDEX(Daten_Salden!$A:$ZZ,Berechnung!$C$21,45)),NA())</f>
        <v>36</v>
      </c>
      <c r="E131">
        <f>IFERROR(IF(INDEX(Daten_Salden!$A:$ZZ,Berechnung!$B$21,4)="",NA(),INDEX(Daten_Salden!$A:$ZZ,Berechnung!$B$21,4)),NA())</f>
        <v>18.585999999999999</v>
      </c>
      <c r="F131">
        <f>IFERROR(IF(INDEX(Daten_Salden!$A:$ZZ,Berechnung!$B$22,45)="",NA(),INDEX(Daten_Salden!$A:$ZZ,Berechnung!$B$22,45)),NA())</f>
        <v>11</v>
      </c>
      <c r="G131">
        <f>IFERROR(IF(INDEX(Daten_Salden!$A:$ZZ,Berechnung!$C$22,45)="",NA(),INDEX(Daten_Salden!$A:$ZZ,Berechnung!$C$22,45)),NA())</f>
        <v>17</v>
      </c>
      <c r="H131">
        <f>IFERROR(IF(INDEX(Daten_Salden!$A:$ZZ,Berechnung!$B$22,4)="",NA(),INDEX(Daten_Salden!$A:$ZZ,Berechnung!$B$22,4)),NA())</f>
        <v>1.986</v>
      </c>
      <c r="I131" t="e">
        <f>IFERROR(IF(INDEX(Daten_Salden!$A:$ZZ,Berechnung!$B$23,45)="",NA(),INDEX(Daten_Salden!$A:$ZZ,Berechnung!$B$23,45)),NA())</f>
        <v>#N/A</v>
      </c>
      <c r="J131">
        <f>IFERROR(IF(INDEX(Daten_Salden!$A:$ZZ,Berechnung!$C$23,45)="",NA(),INDEX(Daten_Salden!$A:$ZZ,Berechnung!$C$23,45)),NA())</f>
        <v>23</v>
      </c>
      <c r="K131" t="e">
        <f>IFERROR(IF(INDEX(Daten_Salden!$A:$ZZ,Berechnung!$B$23,4)="",NA(),INDEX(Daten_Salden!$A:$ZZ,Berechnung!$B$23,4)),NA())</f>
        <v>#N/A</v>
      </c>
      <c r="L131">
        <f>IFERROR(IF(INDEX(Daten_Salden!$A:$ZZ,Berechnung!$B$24,45)="",NA(),INDEX(Daten_Salden!$A:$ZZ,Berechnung!$B$24,45)),NA())</f>
        <v>14</v>
      </c>
      <c r="M131">
        <f>IFERROR(IF(INDEX(Daten_Salden!$A:$ZZ,Berechnung!$C$24,45)="",NA(),INDEX(Daten_Salden!$A:$ZZ,Berechnung!$C$24,45)),NA())</f>
        <v>14</v>
      </c>
      <c r="N131">
        <f>IFERROR(IF(INDEX(Daten_Salden!$A:$ZZ,Berechnung!$B$24,4)="",NA(),INDEX(Daten_Salden!$A:$ZZ,Berechnung!$B$24,4)),NA())</f>
        <v>2.2429999999999999</v>
      </c>
      <c r="O131">
        <f>IFERROR(IF(INDEX(Daten_Salden!$A:$ZZ,Berechnung!$B$25,45)="",NA(),INDEX(Daten_Salden!$A:$ZZ,Berechnung!$B$25,45)),NA())</f>
        <v>7</v>
      </c>
      <c r="P131">
        <f>IFERROR(IF(INDEX(Daten_Salden!$A:$ZZ,Berechnung!$C$25,45)="",NA(),INDEX(Daten_Salden!$A:$ZZ,Berechnung!$C$25,45)),NA())</f>
        <v>7</v>
      </c>
      <c r="Q131">
        <f>IFERROR(IF(INDEX(Daten_Salden!$A:$ZZ,Berechnung!$B$25,4)="",NA(),INDEX(Daten_Salden!$A:$ZZ,Berechnung!$B$25,4)),NA())</f>
        <v>-1.4</v>
      </c>
    </row>
    <row r="132" spans="1:17" x14ac:dyDescent="0.25">
      <c r="A132" t="s">
        <v>213</v>
      </c>
      <c r="C132">
        <f>IFERROR(IF(INDEX(Daten_Salden!$A:$ZZ,Berechnung!$B$21,46)="",NA(),INDEX(Daten_Salden!$A:$ZZ,Berechnung!$B$21,46)),NA())</f>
        <v>40</v>
      </c>
      <c r="D132">
        <f>IFERROR(IF(INDEX(Daten_Salden!$A:$ZZ,Berechnung!$C$21,46)="",NA(),INDEX(Daten_Salden!$A:$ZZ,Berechnung!$C$21,46)),NA())</f>
        <v>44</v>
      </c>
      <c r="E132">
        <f>IFERROR(IF(INDEX(Daten_Salden!$A:$ZZ,Berechnung!$B$21,4)="",NA(),INDEX(Daten_Salden!$A:$ZZ,Berechnung!$B$21,4)),NA())</f>
        <v>18.585999999999999</v>
      </c>
      <c r="F132">
        <f>IFERROR(IF(INDEX(Daten_Salden!$A:$ZZ,Berechnung!$B$22,46)="",NA(),INDEX(Daten_Salden!$A:$ZZ,Berechnung!$B$22,46)),NA())</f>
        <v>16</v>
      </c>
      <c r="G132">
        <f>IFERROR(IF(INDEX(Daten_Salden!$A:$ZZ,Berechnung!$C$22,46)="",NA(),INDEX(Daten_Salden!$A:$ZZ,Berechnung!$C$22,46)),NA())</f>
        <v>21</v>
      </c>
      <c r="H132">
        <f>IFERROR(IF(INDEX(Daten_Salden!$A:$ZZ,Berechnung!$B$22,4)="",NA(),INDEX(Daten_Salden!$A:$ZZ,Berechnung!$B$22,4)),NA())</f>
        <v>1.986</v>
      </c>
      <c r="I132" t="e">
        <f>IFERROR(IF(INDEX(Daten_Salden!$A:$ZZ,Berechnung!$B$23,46)="",NA(),INDEX(Daten_Salden!$A:$ZZ,Berechnung!$B$23,46)),NA())</f>
        <v>#N/A</v>
      </c>
      <c r="J132">
        <f>IFERROR(IF(INDEX(Daten_Salden!$A:$ZZ,Berechnung!$C$23,46)="",NA(),INDEX(Daten_Salden!$A:$ZZ,Berechnung!$C$23,46)),NA())</f>
        <v>24</v>
      </c>
      <c r="K132" t="e">
        <f>IFERROR(IF(INDEX(Daten_Salden!$A:$ZZ,Berechnung!$B$23,4)="",NA(),INDEX(Daten_Salden!$A:$ZZ,Berechnung!$B$23,4)),NA())</f>
        <v>#N/A</v>
      </c>
      <c r="L132">
        <f>IFERROR(IF(INDEX(Daten_Salden!$A:$ZZ,Berechnung!$B$24,46)="",NA(),INDEX(Daten_Salden!$A:$ZZ,Berechnung!$B$24,46)),NA())</f>
        <v>17</v>
      </c>
      <c r="M132">
        <f>IFERROR(IF(INDEX(Daten_Salden!$A:$ZZ,Berechnung!$C$24,46)="",NA(),INDEX(Daten_Salden!$A:$ZZ,Berechnung!$C$24,46)),NA())</f>
        <v>21</v>
      </c>
      <c r="N132">
        <f>IFERROR(IF(INDEX(Daten_Salden!$A:$ZZ,Berechnung!$B$24,4)="",NA(),INDEX(Daten_Salden!$A:$ZZ,Berechnung!$B$24,4)),NA())</f>
        <v>2.2429999999999999</v>
      </c>
      <c r="O132">
        <f>IFERROR(IF(INDEX(Daten_Salden!$A:$ZZ,Berechnung!$B$25,46)="",NA(),INDEX(Daten_Salden!$A:$ZZ,Berechnung!$B$25,46)),NA())</f>
        <v>9</v>
      </c>
      <c r="P132">
        <f>IFERROR(IF(INDEX(Daten_Salden!$A:$ZZ,Berechnung!$C$25,46)="",NA(),INDEX(Daten_Salden!$A:$ZZ,Berechnung!$C$25,46)),NA())</f>
        <v>12</v>
      </c>
      <c r="Q132">
        <f>IFERROR(IF(INDEX(Daten_Salden!$A:$ZZ,Berechnung!$B$25,4)="",NA(),INDEX(Daten_Salden!$A:$ZZ,Berechnung!$B$25,4)),NA())</f>
        <v>-1.4</v>
      </c>
    </row>
    <row r="133" spans="1:17" x14ac:dyDescent="0.25">
      <c r="A133" t="s">
        <v>214</v>
      </c>
      <c r="C133">
        <f>IFERROR(IF(INDEX(Daten_Salden!$A:$ZZ,Berechnung!$B$21,47)="",NA(),INDEX(Daten_Salden!$A:$ZZ,Berechnung!$B$21,47)),NA())</f>
        <v>45</v>
      </c>
      <c r="D133">
        <f>IFERROR(IF(INDEX(Daten_Salden!$A:$ZZ,Berechnung!$C$21,47)="",NA(),INDEX(Daten_Salden!$A:$ZZ,Berechnung!$C$21,47)),NA())</f>
        <v>48</v>
      </c>
      <c r="E133">
        <f>IFERROR(IF(INDEX(Daten_Salden!$A:$ZZ,Berechnung!$B$21,4)="",NA(),INDEX(Daten_Salden!$A:$ZZ,Berechnung!$B$21,4)),NA())</f>
        <v>18.585999999999999</v>
      </c>
      <c r="F133">
        <f>IFERROR(IF(INDEX(Daten_Salden!$A:$ZZ,Berechnung!$B$22,47)="",NA(),INDEX(Daten_Salden!$A:$ZZ,Berechnung!$B$22,47)),NA())</f>
        <v>14</v>
      </c>
      <c r="G133">
        <f>IFERROR(IF(INDEX(Daten_Salden!$A:$ZZ,Berechnung!$C$22,47)="",NA(),INDEX(Daten_Salden!$A:$ZZ,Berechnung!$C$22,47)),NA())</f>
        <v>18</v>
      </c>
      <c r="H133">
        <f>IFERROR(IF(INDEX(Daten_Salden!$A:$ZZ,Berechnung!$B$22,4)="",NA(),INDEX(Daten_Salden!$A:$ZZ,Berechnung!$B$22,4)),NA())</f>
        <v>1.986</v>
      </c>
      <c r="I133" t="e">
        <f>IFERROR(IF(INDEX(Daten_Salden!$A:$ZZ,Berechnung!$B$23,47)="",NA(),INDEX(Daten_Salden!$A:$ZZ,Berechnung!$B$23,47)),NA())</f>
        <v>#N/A</v>
      </c>
      <c r="J133">
        <f>IFERROR(IF(INDEX(Daten_Salden!$A:$ZZ,Berechnung!$C$23,47)="",NA(),INDEX(Daten_Salden!$A:$ZZ,Berechnung!$C$23,47)),NA())</f>
        <v>25</v>
      </c>
      <c r="K133" t="e">
        <f>IFERROR(IF(INDEX(Daten_Salden!$A:$ZZ,Berechnung!$B$23,4)="",NA(),INDEX(Daten_Salden!$A:$ZZ,Berechnung!$B$23,4)),NA())</f>
        <v>#N/A</v>
      </c>
      <c r="L133">
        <f>IFERROR(IF(INDEX(Daten_Salden!$A:$ZZ,Berechnung!$B$24,47)="",NA(),INDEX(Daten_Salden!$A:$ZZ,Berechnung!$B$24,47)),NA())</f>
        <v>19</v>
      </c>
      <c r="M133">
        <f>IFERROR(IF(INDEX(Daten_Salden!$A:$ZZ,Berechnung!$C$24,47)="",NA(),INDEX(Daten_Salden!$A:$ZZ,Berechnung!$C$24,47)),NA())</f>
        <v>24</v>
      </c>
      <c r="N133">
        <f>IFERROR(IF(INDEX(Daten_Salden!$A:$ZZ,Berechnung!$B$24,4)="",NA(),INDEX(Daten_Salden!$A:$ZZ,Berechnung!$B$24,4)),NA())</f>
        <v>2.2429999999999999</v>
      </c>
      <c r="O133">
        <f>IFERROR(IF(INDEX(Daten_Salden!$A:$ZZ,Berechnung!$B$25,47)="",NA(),INDEX(Daten_Salden!$A:$ZZ,Berechnung!$B$25,47)),NA())</f>
        <v>11</v>
      </c>
      <c r="P133">
        <f>IFERROR(IF(INDEX(Daten_Salden!$A:$ZZ,Berechnung!$C$25,47)="",NA(),INDEX(Daten_Salden!$A:$ZZ,Berechnung!$C$25,47)),NA())</f>
        <v>16</v>
      </c>
      <c r="Q133">
        <f>IFERROR(IF(INDEX(Daten_Salden!$A:$ZZ,Berechnung!$B$25,4)="",NA(),INDEX(Daten_Salden!$A:$ZZ,Berechnung!$B$25,4)),NA())</f>
        <v>-1.4</v>
      </c>
    </row>
    <row r="134" spans="1:17" x14ac:dyDescent="0.25">
      <c r="A134" t="s">
        <v>215</v>
      </c>
      <c r="B134" t="s">
        <v>324</v>
      </c>
      <c r="C134">
        <f>IFERROR(IF(INDEX(Daten_Salden!$A:$ZZ,Berechnung!$B$21,48)="",NA(),INDEX(Daten_Salden!$A:$ZZ,Berechnung!$B$21,48)),NA())</f>
        <v>48</v>
      </c>
      <c r="D134">
        <f>IFERROR(IF(INDEX(Daten_Salden!$A:$ZZ,Berechnung!$C$21,48)="",NA(),INDEX(Daten_Salden!$A:$ZZ,Berechnung!$C$21,48)),NA())</f>
        <v>54</v>
      </c>
      <c r="E134">
        <f>IFERROR(IF(INDEX(Daten_Salden!$A:$ZZ,Berechnung!$B$21,4)="",NA(),INDEX(Daten_Salden!$A:$ZZ,Berechnung!$B$21,4)),NA())</f>
        <v>18.585999999999999</v>
      </c>
      <c r="F134">
        <f>IFERROR(IF(INDEX(Daten_Salden!$A:$ZZ,Berechnung!$B$22,48)="",NA(),INDEX(Daten_Salden!$A:$ZZ,Berechnung!$B$22,48)),NA())</f>
        <v>18</v>
      </c>
      <c r="G134">
        <f>IFERROR(IF(INDEX(Daten_Salden!$A:$ZZ,Berechnung!$C$22,48)="",NA(),INDEX(Daten_Salden!$A:$ZZ,Berechnung!$C$22,48)),NA())</f>
        <v>24</v>
      </c>
      <c r="H134">
        <f>IFERROR(IF(INDEX(Daten_Salden!$A:$ZZ,Berechnung!$B$22,4)="",NA(),INDEX(Daten_Salden!$A:$ZZ,Berechnung!$B$22,4)),NA())</f>
        <v>1.986</v>
      </c>
      <c r="I134" t="e">
        <f>IFERROR(IF(INDEX(Daten_Salden!$A:$ZZ,Berechnung!$B$23,48)="",NA(),INDEX(Daten_Salden!$A:$ZZ,Berechnung!$B$23,48)),NA())</f>
        <v>#N/A</v>
      </c>
      <c r="J134">
        <f>IFERROR(IF(INDEX(Daten_Salden!$A:$ZZ,Berechnung!$C$23,48)="",NA(),INDEX(Daten_Salden!$A:$ZZ,Berechnung!$C$23,48)),NA())</f>
        <v>31</v>
      </c>
      <c r="K134" t="e">
        <f>IFERROR(IF(INDEX(Daten_Salden!$A:$ZZ,Berechnung!$B$23,4)="",NA(),INDEX(Daten_Salden!$A:$ZZ,Berechnung!$B$23,4)),NA())</f>
        <v>#N/A</v>
      </c>
      <c r="L134">
        <f>IFERROR(IF(INDEX(Daten_Salden!$A:$ZZ,Berechnung!$B$24,48)="",NA(),INDEX(Daten_Salden!$A:$ZZ,Berechnung!$B$24,48)),NA())</f>
        <v>22</v>
      </c>
      <c r="M134">
        <f>IFERROR(IF(INDEX(Daten_Salden!$A:$ZZ,Berechnung!$C$24,48)="",NA(),INDEX(Daten_Salden!$A:$ZZ,Berechnung!$C$24,48)),NA())</f>
        <v>27</v>
      </c>
      <c r="N134">
        <f>IFERROR(IF(INDEX(Daten_Salden!$A:$ZZ,Berechnung!$B$24,4)="",NA(),INDEX(Daten_Salden!$A:$ZZ,Berechnung!$B$24,4)),NA())</f>
        <v>2.2429999999999999</v>
      </c>
      <c r="O134">
        <f>IFERROR(IF(INDEX(Daten_Salden!$A:$ZZ,Berechnung!$B$25,48)="",NA(),INDEX(Daten_Salden!$A:$ZZ,Berechnung!$B$25,48)),NA())</f>
        <v>14</v>
      </c>
      <c r="P134">
        <f>IFERROR(IF(INDEX(Daten_Salden!$A:$ZZ,Berechnung!$C$25,48)="",NA(),INDEX(Daten_Salden!$A:$ZZ,Berechnung!$C$25,48)),NA())</f>
        <v>21</v>
      </c>
      <c r="Q134">
        <f>IFERROR(IF(INDEX(Daten_Salden!$A:$ZZ,Berechnung!$B$25,4)="",NA(),INDEX(Daten_Salden!$A:$ZZ,Berechnung!$B$25,4)),NA())</f>
        <v>-1.4</v>
      </c>
    </row>
    <row r="135" spans="1:17" x14ac:dyDescent="0.25">
      <c r="A135" t="s">
        <v>216</v>
      </c>
      <c r="C135">
        <f>IFERROR(IF(INDEX(Daten_Salden!$A:$ZZ,Berechnung!$B$21,49)="",NA(),INDEX(Daten_Salden!$A:$ZZ,Berechnung!$B$21,49)),NA())</f>
        <v>45</v>
      </c>
      <c r="D135">
        <f>IFERROR(IF(INDEX(Daten_Salden!$A:$ZZ,Berechnung!$C$21,49)="",NA(),INDEX(Daten_Salden!$A:$ZZ,Berechnung!$C$21,49)),NA())</f>
        <v>52</v>
      </c>
      <c r="E135">
        <f>IFERROR(IF(INDEX(Daten_Salden!$A:$ZZ,Berechnung!$B$21,4)="",NA(),INDEX(Daten_Salden!$A:$ZZ,Berechnung!$B$21,4)),NA())</f>
        <v>18.585999999999999</v>
      </c>
      <c r="F135">
        <f>IFERROR(IF(INDEX(Daten_Salden!$A:$ZZ,Berechnung!$B$22,49)="",NA(),INDEX(Daten_Salden!$A:$ZZ,Berechnung!$B$22,49)),NA())</f>
        <v>17</v>
      </c>
      <c r="G135">
        <f>IFERROR(IF(INDEX(Daten_Salden!$A:$ZZ,Berechnung!$C$22,49)="",NA(),INDEX(Daten_Salden!$A:$ZZ,Berechnung!$C$22,49)),NA())</f>
        <v>20</v>
      </c>
      <c r="H135">
        <f>IFERROR(IF(INDEX(Daten_Salden!$A:$ZZ,Berechnung!$B$22,4)="",NA(),INDEX(Daten_Salden!$A:$ZZ,Berechnung!$B$22,4)),NA())</f>
        <v>1.986</v>
      </c>
      <c r="I135" t="e">
        <f>IFERROR(IF(INDEX(Daten_Salden!$A:$ZZ,Berechnung!$B$23,49)="",NA(),INDEX(Daten_Salden!$A:$ZZ,Berechnung!$B$23,49)),NA())</f>
        <v>#N/A</v>
      </c>
      <c r="J135">
        <f>IFERROR(IF(INDEX(Daten_Salden!$A:$ZZ,Berechnung!$C$23,49)="",NA(),INDEX(Daten_Salden!$A:$ZZ,Berechnung!$C$23,49)),NA())</f>
        <v>24</v>
      </c>
      <c r="K135" t="e">
        <f>IFERROR(IF(INDEX(Daten_Salden!$A:$ZZ,Berechnung!$B$23,4)="",NA(),INDEX(Daten_Salden!$A:$ZZ,Berechnung!$B$23,4)),NA())</f>
        <v>#N/A</v>
      </c>
      <c r="L135">
        <f>IFERROR(IF(INDEX(Daten_Salden!$A:$ZZ,Berechnung!$B$24,49)="",NA(),INDEX(Daten_Salden!$A:$ZZ,Berechnung!$B$24,49)),NA())</f>
        <v>21</v>
      </c>
      <c r="M135">
        <f>IFERROR(IF(INDEX(Daten_Salden!$A:$ZZ,Berechnung!$C$24,49)="",NA(),INDEX(Daten_Salden!$A:$ZZ,Berechnung!$C$24,49)),NA())</f>
        <v>26</v>
      </c>
      <c r="N135">
        <f>IFERROR(IF(INDEX(Daten_Salden!$A:$ZZ,Berechnung!$B$24,4)="",NA(),INDEX(Daten_Salden!$A:$ZZ,Berechnung!$B$24,4)),NA())</f>
        <v>2.2429999999999999</v>
      </c>
      <c r="O135">
        <f>IFERROR(IF(INDEX(Daten_Salden!$A:$ZZ,Berechnung!$B$25,49)="",NA(),INDEX(Daten_Salden!$A:$ZZ,Berechnung!$B$25,49)),NA())</f>
        <v>12</v>
      </c>
      <c r="P135">
        <f>IFERROR(IF(INDEX(Daten_Salden!$A:$ZZ,Berechnung!$C$25,49)="",NA(),INDEX(Daten_Salden!$A:$ZZ,Berechnung!$C$25,49)),NA())</f>
        <v>17</v>
      </c>
      <c r="Q135">
        <f>IFERROR(IF(INDEX(Daten_Salden!$A:$ZZ,Berechnung!$B$25,4)="",NA(),INDEX(Daten_Salden!$A:$ZZ,Berechnung!$B$25,4)),NA())</f>
        <v>-1.4</v>
      </c>
    </row>
    <row r="136" spans="1:17" x14ac:dyDescent="0.25">
      <c r="A136" t="s">
        <v>217</v>
      </c>
      <c r="C136">
        <f>IFERROR(IF(INDEX(Daten_Salden!$A:$ZZ,Berechnung!$B$21,50)="",NA(),INDEX(Daten_Salden!$A:$ZZ,Berechnung!$B$21,50)),NA())</f>
        <v>45</v>
      </c>
      <c r="D136">
        <f>IFERROR(IF(INDEX(Daten_Salden!$A:$ZZ,Berechnung!$C$21,50)="",NA(),INDEX(Daten_Salden!$A:$ZZ,Berechnung!$C$21,50)),NA())</f>
        <v>47</v>
      </c>
      <c r="E136">
        <f>IFERROR(IF(INDEX(Daten_Salden!$A:$ZZ,Berechnung!$B$21,4)="",NA(),INDEX(Daten_Salden!$A:$ZZ,Berechnung!$B$21,4)),NA())</f>
        <v>18.585999999999999</v>
      </c>
      <c r="F136">
        <f>IFERROR(IF(INDEX(Daten_Salden!$A:$ZZ,Berechnung!$B$22,50)="",NA(),INDEX(Daten_Salden!$A:$ZZ,Berechnung!$B$22,50)),NA())</f>
        <v>11</v>
      </c>
      <c r="G136">
        <f>IFERROR(IF(INDEX(Daten_Salden!$A:$ZZ,Berechnung!$C$22,50)="",NA(),INDEX(Daten_Salden!$A:$ZZ,Berechnung!$C$22,50)),NA())</f>
        <v>12</v>
      </c>
      <c r="H136">
        <f>IFERROR(IF(INDEX(Daten_Salden!$A:$ZZ,Berechnung!$B$22,4)="",NA(),INDEX(Daten_Salden!$A:$ZZ,Berechnung!$B$22,4)),NA())</f>
        <v>1.986</v>
      </c>
      <c r="I136" t="e">
        <f>IFERROR(IF(INDEX(Daten_Salden!$A:$ZZ,Berechnung!$B$23,50)="",NA(),INDEX(Daten_Salden!$A:$ZZ,Berechnung!$B$23,50)),NA())</f>
        <v>#N/A</v>
      </c>
      <c r="J136">
        <f>IFERROR(IF(INDEX(Daten_Salden!$A:$ZZ,Berechnung!$C$23,50)="",NA(),INDEX(Daten_Salden!$A:$ZZ,Berechnung!$C$23,50)),NA())</f>
        <v>17</v>
      </c>
      <c r="K136" t="e">
        <f>IFERROR(IF(INDEX(Daten_Salden!$A:$ZZ,Berechnung!$B$23,4)="",NA(),INDEX(Daten_Salden!$A:$ZZ,Berechnung!$B$23,4)),NA())</f>
        <v>#N/A</v>
      </c>
      <c r="L136">
        <f>IFERROR(IF(INDEX(Daten_Salden!$A:$ZZ,Berechnung!$B$24,50)="",NA(),INDEX(Daten_Salden!$A:$ZZ,Berechnung!$B$24,50)),NA())</f>
        <v>19</v>
      </c>
      <c r="M136">
        <f>IFERROR(IF(INDEX(Daten_Salden!$A:$ZZ,Berechnung!$C$24,50)="",NA(),INDEX(Daten_Salden!$A:$ZZ,Berechnung!$C$24,50)),NA())</f>
        <v>22</v>
      </c>
      <c r="N136">
        <f>IFERROR(IF(INDEX(Daten_Salden!$A:$ZZ,Berechnung!$B$24,4)="",NA(),INDEX(Daten_Salden!$A:$ZZ,Berechnung!$B$24,4)),NA())</f>
        <v>2.2429999999999999</v>
      </c>
      <c r="O136">
        <f>IFERROR(IF(INDEX(Daten_Salden!$A:$ZZ,Berechnung!$B$25,50)="",NA(),INDEX(Daten_Salden!$A:$ZZ,Berechnung!$B$25,50)),NA())</f>
        <v>11</v>
      </c>
      <c r="P136">
        <f>IFERROR(IF(INDEX(Daten_Salden!$A:$ZZ,Berechnung!$C$25,50)="",NA(),INDEX(Daten_Salden!$A:$ZZ,Berechnung!$C$25,50)),NA())</f>
        <v>15</v>
      </c>
      <c r="Q136">
        <f>IFERROR(IF(INDEX(Daten_Salden!$A:$ZZ,Berechnung!$B$25,4)="",NA(),INDEX(Daten_Salden!$A:$ZZ,Berechnung!$B$25,4)),NA())</f>
        <v>-1.4</v>
      </c>
    </row>
    <row r="137" spans="1:17" x14ac:dyDescent="0.25">
      <c r="A137" t="s">
        <v>218</v>
      </c>
      <c r="B137" t="s">
        <v>325</v>
      </c>
      <c r="C137">
        <f>IFERROR(IF(INDEX(Daten_Salden!$A:$ZZ,Berechnung!$B$21,51)="",NA(),INDEX(Daten_Salden!$A:$ZZ,Berechnung!$B$21,51)),NA())</f>
        <v>43</v>
      </c>
      <c r="D137">
        <f>IFERROR(IF(INDEX(Daten_Salden!$A:$ZZ,Berechnung!$C$21,51)="",NA(),INDEX(Daten_Salden!$A:$ZZ,Berechnung!$C$21,51)),NA())</f>
        <v>43</v>
      </c>
      <c r="E137">
        <f>IFERROR(IF(INDEX(Daten_Salden!$A:$ZZ,Berechnung!$B$21,4)="",NA(),INDEX(Daten_Salden!$A:$ZZ,Berechnung!$B$21,4)),NA())</f>
        <v>18.585999999999999</v>
      </c>
      <c r="F137">
        <f>IFERROR(IF(INDEX(Daten_Salden!$A:$ZZ,Berechnung!$B$22,51)="",NA(),INDEX(Daten_Salden!$A:$ZZ,Berechnung!$B$22,51)),NA())</f>
        <v>7</v>
      </c>
      <c r="G137">
        <f>IFERROR(IF(INDEX(Daten_Salden!$A:$ZZ,Berechnung!$C$22,51)="",NA(),INDEX(Daten_Salden!$A:$ZZ,Berechnung!$C$22,51)),NA())</f>
        <v>6</v>
      </c>
      <c r="H137">
        <f>IFERROR(IF(INDEX(Daten_Salden!$A:$ZZ,Berechnung!$B$22,4)="",NA(),INDEX(Daten_Salden!$A:$ZZ,Berechnung!$B$22,4)),NA())</f>
        <v>1.986</v>
      </c>
      <c r="I137" t="e">
        <f>IFERROR(IF(INDEX(Daten_Salden!$A:$ZZ,Berechnung!$B$23,51)="",NA(),INDEX(Daten_Salden!$A:$ZZ,Berechnung!$B$23,51)),NA())</f>
        <v>#N/A</v>
      </c>
      <c r="J137">
        <f>IFERROR(IF(INDEX(Daten_Salden!$A:$ZZ,Berechnung!$C$23,51)="",NA(),INDEX(Daten_Salden!$A:$ZZ,Berechnung!$C$23,51)),NA())</f>
        <v>13</v>
      </c>
      <c r="K137" t="e">
        <f>IFERROR(IF(INDEX(Daten_Salden!$A:$ZZ,Berechnung!$B$23,4)="",NA(),INDEX(Daten_Salden!$A:$ZZ,Berechnung!$B$23,4)),NA())</f>
        <v>#N/A</v>
      </c>
      <c r="L137">
        <f>IFERROR(IF(INDEX(Daten_Salden!$A:$ZZ,Berechnung!$B$24,51)="",NA(),INDEX(Daten_Salden!$A:$ZZ,Berechnung!$B$24,51)),NA())</f>
        <v>16</v>
      </c>
      <c r="M137">
        <f>IFERROR(IF(INDEX(Daten_Salden!$A:$ZZ,Berechnung!$C$24,51)="",NA(),INDEX(Daten_Salden!$A:$ZZ,Berechnung!$C$24,51)),NA())</f>
        <v>16</v>
      </c>
      <c r="N137">
        <f>IFERROR(IF(INDEX(Daten_Salden!$A:$ZZ,Berechnung!$B$24,4)="",NA(),INDEX(Daten_Salden!$A:$ZZ,Berechnung!$B$24,4)),NA())</f>
        <v>2.2429999999999999</v>
      </c>
      <c r="O137">
        <f>IFERROR(IF(INDEX(Daten_Salden!$A:$ZZ,Berechnung!$B$25,51)="",NA(),INDEX(Daten_Salden!$A:$ZZ,Berechnung!$B$25,51)),NA())</f>
        <v>10</v>
      </c>
      <c r="P137">
        <f>IFERROR(IF(INDEX(Daten_Salden!$A:$ZZ,Berechnung!$C$25,51)="",NA(),INDEX(Daten_Salden!$A:$ZZ,Berechnung!$C$25,51)),NA())</f>
        <v>10</v>
      </c>
      <c r="Q137">
        <f>IFERROR(IF(INDEX(Daten_Salden!$A:$ZZ,Berechnung!$B$25,4)="",NA(),INDEX(Daten_Salden!$A:$ZZ,Berechnung!$B$25,4)),NA())</f>
        <v>-1.4</v>
      </c>
    </row>
    <row r="138" spans="1:17" x14ac:dyDescent="0.25">
      <c r="A138" t="s">
        <v>219</v>
      </c>
      <c r="C138">
        <f>IFERROR(IF(INDEX(Daten_Salden!$A:$ZZ,Berechnung!$B$21,52)="",NA(),INDEX(Daten_Salden!$A:$ZZ,Berechnung!$B$21,52)),NA())</f>
        <v>36</v>
      </c>
      <c r="D138">
        <f>IFERROR(IF(INDEX(Daten_Salden!$A:$ZZ,Berechnung!$C$21,52)="",NA(),INDEX(Daten_Salden!$A:$ZZ,Berechnung!$C$21,52)),NA())</f>
        <v>34</v>
      </c>
      <c r="E138">
        <f>IFERROR(IF(INDEX(Daten_Salden!$A:$ZZ,Berechnung!$B$21,4)="",NA(),INDEX(Daten_Salden!$A:$ZZ,Berechnung!$B$21,4)),NA())</f>
        <v>18.585999999999999</v>
      </c>
      <c r="F138">
        <f>IFERROR(IF(INDEX(Daten_Salden!$A:$ZZ,Berechnung!$B$22,52)="",NA(),INDEX(Daten_Salden!$A:$ZZ,Berechnung!$B$22,52)),NA())</f>
        <v>5</v>
      </c>
      <c r="G138">
        <f>IFERROR(IF(INDEX(Daten_Salden!$A:$ZZ,Berechnung!$C$22,52)="",NA(),INDEX(Daten_Salden!$A:$ZZ,Berechnung!$C$22,52)),NA())</f>
        <v>1</v>
      </c>
      <c r="H138">
        <f>IFERROR(IF(INDEX(Daten_Salden!$A:$ZZ,Berechnung!$B$22,4)="",NA(),INDEX(Daten_Salden!$A:$ZZ,Berechnung!$B$22,4)),NA())</f>
        <v>1.986</v>
      </c>
      <c r="I138" t="e">
        <f>IFERROR(IF(INDEX(Daten_Salden!$A:$ZZ,Berechnung!$B$23,52)="",NA(),INDEX(Daten_Salden!$A:$ZZ,Berechnung!$B$23,52)),NA())</f>
        <v>#N/A</v>
      </c>
      <c r="J138">
        <f>IFERROR(IF(INDEX(Daten_Salden!$A:$ZZ,Berechnung!$C$23,52)="",NA(),INDEX(Daten_Salden!$A:$ZZ,Berechnung!$C$23,52)),NA())</f>
        <v>2</v>
      </c>
      <c r="K138" t="e">
        <f>IFERROR(IF(INDEX(Daten_Salden!$A:$ZZ,Berechnung!$B$23,4)="",NA(),INDEX(Daten_Salden!$A:$ZZ,Berechnung!$B$23,4)),NA())</f>
        <v>#N/A</v>
      </c>
      <c r="L138">
        <f>IFERROR(IF(INDEX(Daten_Salden!$A:$ZZ,Berechnung!$B$24,52)="",NA(),INDEX(Daten_Salden!$A:$ZZ,Berechnung!$B$24,52)),NA())</f>
        <v>14</v>
      </c>
      <c r="M138">
        <f>IFERROR(IF(INDEX(Daten_Salden!$A:$ZZ,Berechnung!$C$24,52)="",NA(),INDEX(Daten_Salden!$A:$ZZ,Berechnung!$C$24,52)),NA())</f>
        <v>10</v>
      </c>
      <c r="N138">
        <f>IFERROR(IF(INDEX(Daten_Salden!$A:$ZZ,Berechnung!$B$24,4)="",NA(),INDEX(Daten_Salden!$A:$ZZ,Berechnung!$B$24,4)),NA())</f>
        <v>2.2429999999999999</v>
      </c>
      <c r="O138">
        <f>IFERROR(IF(INDEX(Daten_Salden!$A:$ZZ,Berechnung!$B$25,52)="",NA(),INDEX(Daten_Salden!$A:$ZZ,Berechnung!$B$25,52)),NA())</f>
        <v>6</v>
      </c>
      <c r="P138">
        <f>IFERROR(IF(INDEX(Daten_Salden!$A:$ZZ,Berechnung!$C$25,52)="",NA(),INDEX(Daten_Salden!$A:$ZZ,Berechnung!$C$25,52)),NA())</f>
        <v>2</v>
      </c>
      <c r="Q138">
        <f>IFERROR(IF(INDEX(Daten_Salden!$A:$ZZ,Berechnung!$B$25,4)="",NA(),INDEX(Daten_Salden!$A:$ZZ,Berechnung!$B$25,4)),NA())</f>
        <v>-1.4</v>
      </c>
    </row>
    <row r="139" spans="1:17" x14ac:dyDescent="0.25">
      <c r="A139" t="s">
        <v>220</v>
      </c>
      <c r="C139">
        <f>IFERROR(IF(INDEX(Daten_Salden!$A:$ZZ,Berechnung!$B$21,53)="",NA(),INDEX(Daten_Salden!$A:$ZZ,Berechnung!$B$21,53)),NA())</f>
        <v>30</v>
      </c>
      <c r="D139">
        <f>IFERROR(IF(INDEX(Daten_Salden!$A:$ZZ,Berechnung!$C$21,53)="",NA(),INDEX(Daten_Salden!$A:$ZZ,Berechnung!$C$21,53)),NA())</f>
        <v>16</v>
      </c>
      <c r="E139">
        <f>IFERROR(IF(INDEX(Daten_Salden!$A:$ZZ,Berechnung!$B$21,4)="",NA(),INDEX(Daten_Salden!$A:$ZZ,Berechnung!$B$21,4)),NA())</f>
        <v>18.585999999999999</v>
      </c>
      <c r="F139">
        <f>IFERROR(IF(INDEX(Daten_Salden!$A:$ZZ,Berechnung!$B$22,53)="",NA(),INDEX(Daten_Salden!$A:$ZZ,Berechnung!$B$22,53)),NA())</f>
        <v>-7</v>
      </c>
      <c r="G139">
        <f>IFERROR(IF(INDEX(Daten_Salden!$A:$ZZ,Berechnung!$C$22,53)="",NA(),INDEX(Daten_Salden!$A:$ZZ,Berechnung!$C$22,53)),NA())</f>
        <v>-15</v>
      </c>
      <c r="H139">
        <f>IFERROR(IF(INDEX(Daten_Salden!$A:$ZZ,Berechnung!$B$22,4)="",NA(),INDEX(Daten_Salden!$A:$ZZ,Berechnung!$B$22,4)),NA())</f>
        <v>1.986</v>
      </c>
      <c r="I139" t="e">
        <f>IFERROR(IF(INDEX(Daten_Salden!$A:$ZZ,Berechnung!$B$23,53)="",NA(),INDEX(Daten_Salden!$A:$ZZ,Berechnung!$B$23,53)),NA())</f>
        <v>#N/A</v>
      </c>
      <c r="J139">
        <f>IFERROR(IF(INDEX(Daten_Salden!$A:$ZZ,Berechnung!$C$23,53)="",NA(),INDEX(Daten_Salden!$A:$ZZ,Berechnung!$C$23,53)),NA())</f>
        <v>-12</v>
      </c>
      <c r="K139" t="e">
        <f>IFERROR(IF(INDEX(Daten_Salden!$A:$ZZ,Berechnung!$B$23,4)="",NA(),INDEX(Daten_Salden!$A:$ZZ,Berechnung!$B$23,4)),NA())</f>
        <v>#N/A</v>
      </c>
      <c r="L139">
        <f>IFERROR(IF(INDEX(Daten_Salden!$A:$ZZ,Berechnung!$B$24,53)="",NA(),INDEX(Daten_Salden!$A:$ZZ,Berechnung!$B$24,53)),NA())</f>
        <v>5</v>
      </c>
      <c r="M139">
        <f>IFERROR(IF(INDEX(Daten_Salden!$A:$ZZ,Berechnung!$C$24,53)="",NA(),INDEX(Daten_Salden!$A:$ZZ,Berechnung!$C$24,53)),NA())</f>
        <v>-4</v>
      </c>
      <c r="N139">
        <f>IFERROR(IF(INDEX(Daten_Salden!$A:$ZZ,Berechnung!$B$24,4)="",NA(),INDEX(Daten_Salden!$A:$ZZ,Berechnung!$B$24,4)),NA())</f>
        <v>2.2429999999999999</v>
      </c>
      <c r="O139">
        <f>IFERROR(IF(INDEX(Daten_Salden!$A:$ZZ,Berechnung!$B$25,53)="",NA(),INDEX(Daten_Salden!$A:$ZZ,Berechnung!$B$25,53)),NA())</f>
        <v>0</v>
      </c>
      <c r="P139">
        <f>IFERROR(IF(INDEX(Daten_Salden!$A:$ZZ,Berechnung!$C$25,53)="",NA(),INDEX(Daten_Salden!$A:$ZZ,Berechnung!$C$25,53)),NA())</f>
        <v>-10</v>
      </c>
      <c r="Q139">
        <f>IFERROR(IF(INDEX(Daten_Salden!$A:$ZZ,Berechnung!$B$25,4)="",NA(),INDEX(Daten_Salden!$A:$ZZ,Berechnung!$B$25,4)),NA())</f>
        <v>-1.4</v>
      </c>
    </row>
    <row r="140" spans="1:17" x14ac:dyDescent="0.25">
      <c r="A140" t="s">
        <v>221</v>
      </c>
      <c r="B140" t="s">
        <v>326</v>
      </c>
      <c r="C140">
        <f>IFERROR(IF(INDEX(Daten_Salden!$A:$ZZ,Berechnung!$B$21,54)="",NA(),INDEX(Daten_Salden!$A:$ZZ,Berechnung!$B$21,54)),NA())</f>
        <v>30</v>
      </c>
      <c r="D140">
        <f>IFERROR(IF(INDEX(Daten_Salden!$A:$ZZ,Berechnung!$C$21,54)="",NA(),INDEX(Daten_Salden!$A:$ZZ,Berechnung!$C$21,54)),NA())</f>
        <v>16</v>
      </c>
      <c r="E140">
        <f>IFERROR(IF(INDEX(Daten_Salden!$A:$ZZ,Berechnung!$B$21,4)="",NA(),INDEX(Daten_Salden!$A:$ZZ,Berechnung!$B$21,4)),NA())</f>
        <v>18.585999999999999</v>
      </c>
      <c r="F140">
        <f>IFERROR(IF(INDEX(Daten_Salden!$A:$ZZ,Berechnung!$B$22,54)="",NA(),INDEX(Daten_Salden!$A:$ZZ,Berechnung!$B$22,54)),NA())</f>
        <v>-2</v>
      </c>
      <c r="G140">
        <f>IFERROR(IF(INDEX(Daten_Salden!$A:$ZZ,Berechnung!$C$22,54)="",NA(),INDEX(Daten_Salden!$A:$ZZ,Berechnung!$C$22,54)),NA())</f>
        <v>-5</v>
      </c>
      <c r="H140">
        <f>IFERROR(IF(INDEX(Daten_Salden!$A:$ZZ,Berechnung!$B$22,4)="",NA(),INDEX(Daten_Salden!$A:$ZZ,Berechnung!$B$22,4)),NA())</f>
        <v>1.986</v>
      </c>
      <c r="I140" t="e">
        <f>IFERROR(IF(INDEX(Daten_Salden!$A:$ZZ,Berechnung!$B$23,54)="",NA(),INDEX(Daten_Salden!$A:$ZZ,Berechnung!$B$23,54)),NA())</f>
        <v>#N/A</v>
      </c>
      <c r="J140">
        <f>IFERROR(IF(INDEX(Daten_Salden!$A:$ZZ,Berechnung!$C$23,54)="",NA(),INDEX(Daten_Salden!$A:$ZZ,Berechnung!$C$23,54)),NA())</f>
        <v>0</v>
      </c>
      <c r="K140" t="e">
        <f>IFERROR(IF(INDEX(Daten_Salden!$A:$ZZ,Berechnung!$B$23,4)="",NA(),INDEX(Daten_Salden!$A:$ZZ,Berechnung!$B$23,4)),NA())</f>
        <v>#N/A</v>
      </c>
      <c r="L140">
        <f>IFERROR(IF(INDEX(Daten_Salden!$A:$ZZ,Berechnung!$B$24,54)="",NA(),INDEX(Daten_Salden!$A:$ZZ,Berechnung!$B$24,54)),NA())</f>
        <v>6</v>
      </c>
      <c r="M140">
        <f>IFERROR(IF(INDEX(Daten_Salden!$A:$ZZ,Berechnung!$C$24,54)="",NA(),INDEX(Daten_Salden!$A:$ZZ,Berechnung!$C$24,54)),NA())</f>
        <v>-1</v>
      </c>
      <c r="N140">
        <f>IFERROR(IF(INDEX(Daten_Salden!$A:$ZZ,Berechnung!$B$24,4)="",NA(),INDEX(Daten_Salden!$A:$ZZ,Berechnung!$B$24,4)),NA())</f>
        <v>2.2429999999999999</v>
      </c>
      <c r="O140">
        <f>IFERROR(IF(INDEX(Daten_Salden!$A:$ZZ,Berechnung!$B$25,54)="",NA(),INDEX(Daten_Salden!$A:$ZZ,Berechnung!$B$25,54)),NA())</f>
        <v>0</v>
      </c>
      <c r="P140">
        <f>IFERROR(IF(INDEX(Daten_Salden!$A:$ZZ,Berechnung!$C$25,54)="",NA(),INDEX(Daten_Salden!$A:$ZZ,Berechnung!$C$25,54)),NA())</f>
        <v>-10</v>
      </c>
      <c r="Q140">
        <f>IFERROR(IF(INDEX(Daten_Salden!$A:$ZZ,Berechnung!$B$25,4)="",NA(),INDEX(Daten_Salden!$A:$ZZ,Berechnung!$B$25,4)),NA())</f>
        <v>-1.4</v>
      </c>
    </row>
    <row r="141" spans="1:17" x14ac:dyDescent="0.25">
      <c r="A141" t="s">
        <v>104</v>
      </c>
      <c r="C141">
        <f>IFERROR(IF(INDEX(Daten_Salden!$A:$ZZ,Berechnung!$B$21,55)="",NA(),INDEX(Daten_Salden!$A:$ZZ,Berechnung!$B$21,55)),NA())</f>
        <v>-26</v>
      </c>
      <c r="D141">
        <f>IFERROR(IF(INDEX(Daten_Salden!$A:$ZZ,Berechnung!$C$21,55)="",NA(),INDEX(Daten_Salden!$A:$ZZ,Berechnung!$C$21,55)),NA())</f>
        <v>-23</v>
      </c>
      <c r="E141">
        <f>IFERROR(IF(INDEX(Daten_Salden!$A:$ZZ,Berechnung!$B$21,4)="",NA(),INDEX(Daten_Salden!$A:$ZZ,Berechnung!$B$21,4)),NA())</f>
        <v>18.585999999999999</v>
      </c>
      <c r="F141">
        <f>IFERROR(IF(INDEX(Daten_Salden!$A:$ZZ,Berechnung!$B$22,55)="",NA(),INDEX(Daten_Salden!$A:$ZZ,Berechnung!$B$22,55)),NA())</f>
        <v>-44</v>
      </c>
      <c r="G141">
        <f>IFERROR(IF(INDEX(Daten_Salden!$A:$ZZ,Berechnung!$C$22,55)="",NA(),INDEX(Daten_Salden!$A:$ZZ,Berechnung!$C$22,55)),NA())</f>
        <v>-43</v>
      </c>
      <c r="H141">
        <f>IFERROR(IF(INDEX(Daten_Salden!$A:$ZZ,Berechnung!$B$22,4)="",NA(),INDEX(Daten_Salden!$A:$ZZ,Berechnung!$B$22,4)),NA())</f>
        <v>1.986</v>
      </c>
      <c r="I141" t="e">
        <f>IFERROR(IF(INDEX(Daten_Salden!$A:$ZZ,Berechnung!$B$23,55)="",NA(),INDEX(Daten_Salden!$A:$ZZ,Berechnung!$B$23,55)),NA())</f>
        <v>#N/A</v>
      </c>
      <c r="J141">
        <f>IFERROR(IF(INDEX(Daten_Salden!$A:$ZZ,Berechnung!$C$23,55)="",NA(),INDEX(Daten_Salden!$A:$ZZ,Berechnung!$C$23,55)),NA())</f>
        <v>-56</v>
      </c>
      <c r="K141" t="e">
        <f>IFERROR(IF(INDEX(Daten_Salden!$A:$ZZ,Berechnung!$B$23,4)="",NA(),INDEX(Daten_Salden!$A:$ZZ,Berechnung!$B$23,4)),NA())</f>
        <v>#N/A</v>
      </c>
      <c r="L141">
        <f>IFERROR(IF(INDEX(Daten_Salden!$A:$ZZ,Berechnung!$B$24,55)="",NA(),INDEX(Daten_Salden!$A:$ZZ,Berechnung!$B$24,55)),NA())</f>
        <v>-37</v>
      </c>
      <c r="M141">
        <f>IFERROR(IF(INDEX(Daten_Salden!$A:$ZZ,Berechnung!$C$24,55)="",NA(),INDEX(Daten_Salden!$A:$ZZ,Berechnung!$C$24,55)),NA())</f>
        <v>-41</v>
      </c>
      <c r="N141">
        <f>IFERROR(IF(INDEX(Daten_Salden!$A:$ZZ,Berechnung!$B$24,4)="",NA(),INDEX(Daten_Salden!$A:$ZZ,Berechnung!$B$24,4)),NA())</f>
        <v>2.2429999999999999</v>
      </c>
      <c r="O141">
        <f>IFERROR(IF(INDEX(Daten_Salden!$A:$ZZ,Berechnung!$B$25,55)="",NA(),INDEX(Daten_Salden!$A:$ZZ,Berechnung!$B$25,55)),NA())</f>
        <v>-28</v>
      </c>
      <c r="P141">
        <f>IFERROR(IF(INDEX(Daten_Salden!$A:$ZZ,Berechnung!$C$25,55)="",NA(),INDEX(Daten_Salden!$A:$ZZ,Berechnung!$C$25,55)),NA())</f>
        <v>-33</v>
      </c>
      <c r="Q141">
        <f>IFERROR(IF(INDEX(Daten_Salden!$A:$ZZ,Berechnung!$B$25,4)="",NA(),INDEX(Daten_Salden!$A:$ZZ,Berechnung!$B$25,4)),NA())</f>
        <v>-1.4</v>
      </c>
    </row>
    <row r="142" spans="1:17" x14ac:dyDescent="0.25">
      <c r="A142" t="s">
        <v>222</v>
      </c>
      <c r="C142">
        <f>IFERROR(IF(INDEX(Daten_Salden!$A:$ZZ,Berechnung!$B$21,56)="",NA(),INDEX(Daten_Salden!$A:$ZZ,Berechnung!$B$21,56)),NA())</f>
        <v>-1</v>
      </c>
      <c r="D142">
        <f>IFERROR(IF(INDEX(Daten_Salden!$A:$ZZ,Berechnung!$C$21,56)="",NA(),INDEX(Daten_Salden!$A:$ZZ,Berechnung!$C$21,56)),NA())</f>
        <v>-10</v>
      </c>
      <c r="E142">
        <f>IFERROR(IF(INDEX(Daten_Salden!$A:$ZZ,Berechnung!$B$21,4)="",NA(),INDEX(Daten_Salden!$A:$ZZ,Berechnung!$B$21,4)),NA())</f>
        <v>18.585999999999999</v>
      </c>
      <c r="F142">
        <f>IFERROR(IF(INDEX(Daten_Salden!$A:$ZZ,Berechnung!$B$22,56)="",NA(),INDEX(Daten_Salden!$A:$ZZ,Berechnung!$B$22,56)),NA())</f>
        <v>-7</v>
      </c>
      <c r="G142">
        <f>IFERROR(IF(INDEX(Daten_Salden!$A:$ZZ,Berechnung!$C$22,56)="",NA(),INDEX(Daten_Salden!$A:$ZZ,Berechnung!$C$22,56)),NA())</f>
        <v>5</v>
      </c>
      <c r="H142">
        <f>IFERROR(IF(INDEX(Daten_Salden!$A:$ZZ,Berechnung!$B$22,4)="",NA(),INDEX(Daten_Salden!$A:$ZZ,Berechnung!$B$22,4)),NA())</f>
        <v>1.986</v>
      </c>
      <c r="I142" t="e">
        <f>IFERROR(IF(INDEX(Daten_Salden!$A:$ZZ,Berechnung!$B$23,56)="",NA(),INDEX(Daten_Salden!$A:$ZZ,Berechnung!$B$23,56)),NA())</f>
        <v>#N/A</v>
      </c>
      <c r="J142">
        <f>IFERROR(IF(INDEX(Daten_Salden!$A:$ZZ,Berechnung!$C$23,56)="",NA(),INDEX(Daten_Salden!$A:$ZZ,Berechnung!$C$23,56)),NA())</f>
        <v>-4</v>
      </c>
      <c r="K142" t="e">
        <f>IFERROR(IF(INDEX(Daten_Salden!$A:$ZZ,Berechnung!$B$23,4)="",NA(),INDEX(Daten_Salden!$A:$ZZ,Berechnung!$B$23,4)),NA())</f>
        <v>#N/A</v>
      </c>
      <c r="L142">
        <f>IFERROR(IF(INDEX(Daten_Salden!$A:$ZZ,Berechnung!$B$24,56)="",NA(),INDEX(Daten_Salden!$A:$ZZ,Berechnung!$B$24,56)),NA())</f>
        <v>-15</v>
      </c>
      <c r="M142">
        <f>IFERROR(IF(INDEX(Daten_Salden!$A:$ZZ,Berechnung!$C$24,56)="",NA(),INDEX(Daten_Salden!$A:$ZZ,Berechnung!$C$24,56)),NA())</f>
        <v>-17</v>
      </c>
      <c r="N142">
        <f>IFERROR(IF(INDEX(Daten_Salden!$A:$ZZ,Berechnung!$B$24,4)="",NA(),INDEX(Daten_Salden!$A:$ZZ,Berechnung!$B$24,4)),NA())</f>
        <v>2.2429999999999999</v>
      </c>
      <c r="O142">
        <f>IFERROR(IF(INDEX(Daten_Salden!$A:$ZZ,Berechnung!$B$25,56)="",NA(),INDEX(Daten_Salden!$A:$ZZ,Berechnung!$B$25,56)),NA())</f>
        <v>-13</v>
      </c>
      <c r="P142">
        <f>IFERROR(IF(INDEX(Daten_Salden!$A:$ZZ,Berechnung!$C$25,56)="",NA(),INDEX(Daten_Salden!$A:$ZZ,Berechnung!$C$25,56)),NA())</f>
        <v>-21</v>
      </c>
      <c r="Q142">
        <f>IFERROR(IF(INDEX(Daten_Salden!$A:$ZZ,Berechnung!$B$25,4)="",NA(),INDEX(Daten_Salden!$A:$ZZ,Berechnung!$B$25,4)),NA())</f>
        <v>-1.4</v>
      </c>
    </row>
    <row r="143" spans="1:17" x14ac:dyDescent="0.25">
      <c r="A143" t="s">
        <v>223</v>
      </c>
      <c r="B143" t="s">
        <v>327</v>
      </c>
      <c r="C143">
        <f>IFERROR(IF(INDEX(Daten_Salden!$A:$ZZ,Berechnung!$B$21,57)="",NA(),INDEX(Daten_Salden!$A:$ZZ,Berechnung!$B$21,57)),NA())</f>
        <v>-3</v>
      </c>
      <c r="D143">
        <f>IFERROR(IF(INDEX(Daten_Salden!$A:$ZZ,Berechnung!$C$21,57)="",NA(),INDEX(Daten_Salden!$A:$ZZ,Berechnung!$C$21,57)),NA())</f>
        <v>6</v>
      </c>
      <c r="E143">
        <f>IFERROR(IF(INDEX(Daten_Salden!$A:$ZZ,Berechnung!$B$21,4)="",NA(),INDEX(Daten_Salden!$A:$ZZ,Berechnung!$B$21,4)),NA())</f>
        <v>18.585999999999999</v>
      </c>
      <c r="F143">
        <f>IFERROR(IF(INDEX(Daten_Salden!$A:$ZZ,Berechnung!$B$22,57)="",NA(),INDEX(Daten_Salden!$A:$ZZ,Berechnung!$B$22,57)),NA())</f>
        <v>-9</v>
      </c>
      <c r="G143">
        <f>IFERROR(IF(INDEX(Daten_Salden!$A:$ZZ,Berechnung!$C$22,57)="",NA(),INDEX(Daten_Salden!$A:$ZZ,Berechnung!$C$22,57)),NA())</f>
        <v>8</v>
      </c>
      <c r="H143">
        <f>IFERROR(IF(INDEX(Daten_Salden!$A:$ZZ,Berechnung!$B$22,4)="",NA(),INDEX(Daten_Salden!$A:$ZZ,Berechnung!$B$22,4)),NA())</f>
        <v>1.986</v>
      </c>
      <c r="I143" t="e">
        <f>IFERROR(IF(INDEX(Daten_Salden!$A:$ZZ,Berechnung!$B$23,57)="",NA(),INDEX(Daten_Salden!$A:$ZZ,Berechnung!$B$23,57)),NA())</f>
        <v>#N/A</v>
      </c>
      <c r="J143">
        <f>IFERROR(IF(INDEX(Daten_Salden!$A:$ZZ,Berechnung!$C$23,57)="",NA(),INDEX(Daten_Salden!$A:$ZZ,Berechnung!$C$23,57)),NA())</f>
        <v>9</v>
      </c>
      <c r="K143" t="e">
        <f>IFERROR(IF(INDEX(Daten_Salden!$A:$ZZ,Berechnung!$B$23,4)="",NA(),INDEX(Daten_Salden!$A:$ZZ,Berechnung!$B$23,4)),NA())</f>
        <v>#N/A</v>
      </c>
      <c r="L143">
        <f>IFERROR(IF(INDEX(Daten_Salden!$A:$ZZ,Berechnung!$B$24,57)="",NA(),INDEX(Daten_Salden!$A:$ZZ,Berechnung!$B$24,57)),NA())</f>
        <v>-8</v>
      </c>
      <c r="M143">
        <f>IFERROR(IF(INDEX(Daten_Salden!$A:$ZZ,Berechnung!$C$24,57)="",NA(),INDEX(Daten_Salden!$A:$ZZ,Berechnung!$C$24,57)),NA())</f>
        <v>-1</v>
      </c>
      <c r="N143">
        <f>IFERROR(IF(INDEX(Daten_Salden!$A:$ZZ,Berechnung!$B$24,4)="",NA(),INDEX(Daten_Salden!$A:$ZZ,Berechnung!$B$24,4)),NA())</f>
        <v>2.2429999999999999</v>
      </c>
      <c r="O143">
        <f>IFERROR(IF(INDEX(Daten_Salden!$A:$ZZ,Berechnung!$B$25,57)="",NA(),INDEX(Daten_Salden!$A:$ZZ,Berechnung!$B$25,57)),NA())</f>
        <v>-9</v>
      </c>
      <c r="P143">
        <f>IFERROR(IF(INDEX(Daten_Salden!$A:$ZZ,Berechnung!$C$25,57)="",NA(),INDEX(Daten_Salden!$A:$ZZ,Berechnung!$C$25,57)),NA())</f>
        <v>-9</v>
      </c>
      <c r="Q143">
        <f>IFERROR(IF(INDEX(Daten_Salden!$A:$ZZ,Berechnung!$B$25,4)="",NA(),INDEX(Daten_Salden!$A:$ZZ,Berechnung!$B$25,4)),NA())</f>
        <v>-1.4</v>
      </c>
    </row>
    <row r="144" spans="1:17" x14ac:dyDescent="0.25">
      <c r="A144" t="s">
        <v>224</v>
      </c>
      <c r="C144">
        <f>IFERROR(IF(INDEX(Daten_Salden!$A:$ZZ,Berechnung!$B$21,58)="",NA(),INDEX(Daten_Salden!$A:$ZZ,Berechnung!$B$21,58)),NA())</f>
        <v>2</v>
      </c>
      <c r="D144">
        <f>IFERROR(IF(INDEX(Daten_Salden!$A:$ZZ,Berechnung!$C$21,58)="",NA(),INDEX(Daten_Salden!$A:$ZZ,Berechnung!$C$21,58)),NA())</f>
        <v>25</v>
      </c>
      <c r="E144">
        <f>IFERROR(IF(INDEX(Daten_Salden!$A:$ZZ,Berechnung!$B$21,4)="",NA(),INDEX(Daten_Salden!$A:$ZZ,Berechnung!$B$21,4)),NA())</f>
        <v>18.585999999999999</v>
      </c>
      <c r="F144">
        <f>IFERROR(IF(INDEX(Daten_Salden!$A:$ZZ,Berechnung!$B$22,58)="",NA(),INDEX(Daten_Salden!$A:$ZZ,Berechnung!$B$22,58)),NA())</f>
        <v>1</v>
      </c>
      <c r="G144">
        <f>IFERROR(IF(INDEX(Daten_Salden!$A:$ZZ,Berechnung!$C$22,58)="",NA(),INDEX(Daten_Salden!$A:$ZZ,Berechnung!$C$22,58)),NA())</f>
        <v>16</v>
      </c>
      <c r="H144">
        <f>IFERROR(IF(INDEX(Daten_Salden!$A:$ZZ,Berechnung!$B$22,4)="",NA(),INDEX(Daten_Salden!$A:$ZZ,Berechnung!$B$22,4)),NA())</f>
        <v>1.986</v>
      </c>
      <c r="I144" t="e">
        <f>IFERROR(IF(INDEX(Daten_Salden!$A:$ZZ,Berechnung!$B$23,58)="",NA(),INDEX(Daten_Salden!$A:$ZZ,Berechnung!$B$23,58)),NA())</f>
        <v>#N/A</v>
      </c>
      <c r="J144">
        <f>IFERROR(IF(INDEX(Daten_Salden!$A:$ZZ,Berechnung!$C$23,58)="",NA(),INDEX(Daten_Salden!$A:$ZZ,Berechnung!$C$23,58)),NA())</f>
        <v>17</v>
      </c>
      <c r="K144" t="e">
        <f>IFERROR(IF(INDEX(Daten_Salden!$A:$ZZ,Berechnung!$B$23,4)="",NA(),INDEX(Daten_Salden!$A:$ZZ,Berechnung!$B$23,4)),NA())</f>
        <v>#N/A</v>
      </c>
      <c r="L144">
        <f>IFERROR(IF(INDEX(Daten_Salden!$A:$ZZ,Berechnung!$B$24,58)="",NA(),INDEX(Daten_Salden!$A:$ZZ,Berechnung!$B$24,58)),NA())</f>
        <v>0</v>
      </c>
      <c r="M144">
        <f>IFERROR(IF(INDEX(Daten_Salden!$A:$ZZ,Berechnung!$C$24,58)="",NA(),INDEX(Daten_Salden!$A:$ZZ,Berechnung!$C$24,58)),NA())</f>
        <v>13</v>
      </c>
      <c r="N144">
        <f>IFERROR(IF(INDEX(Daten_Salden!$A:$ZZ,Berechnung!$B$24,4)="",NA(),INDEX(Daten_Salden!$A:$ZZ,Berechnung!$B$24,4)),NA())</f>
        <v>2.2429999999999999</v>
      </c>
      <c r="O144">
        <f>IFERROR(IF(INDEX(Daten_Salden!$A:$ZZ,Berechnung!$B$25,58)="",NA(),INDEX(Daten_Salden!$A:$ZZ,Berechnung!$B$25,58)),NA())</f>
        <v>-3</v>
      </c>
      <c r="P144">
        <f>IFERROR(IF(INDEX(Daten_Salden!$A:$ZZ,Berechnung!$C$25,58)="",NA(),INDEX(Daten_Salden!$A:$ZZ,Berechnung!$C$25,58)),NA())</f>
        <v>3</v>
      </c>
      <c r="Q144">
        <f>IFERROR(IF(INDEX(Daten_Salden!$A:$ZZ,Berechnung!$B$25,4)="",NA(),INDEX(Daten_Salden!$A:$ZZ,Berechnung!$B$25,4)),NA())</f>
        <v>-1.4</v>
      </c>
    </row>
    <row r="145" spans="1:17" x14ac:dyDescent="0.25">
      <c r="A145" t="s">
        <v>225</v>
      </c>
      <c r="C145">
        <f>IFERROR(IF(INDEX(Daten_Salden!$A:$ZZ,Berechnung!$B$21,59)="",NA(),INDEX(Daten_Salden!$A:$ZZ,Berechnung!$B$21,59)),NA())</f>
        <v>29</v>
      </c>
      <c r="D145">
        <f>IFERROR(IF(INDEX(Daten_Salden!$A:$ZZ,Berechnung!$C$21,59)="",NA(),INDEX(Daten_Salden!$A:$ZZ,Berechnung!$C$21,59)),NA())</f>
        <v>35</v>
      </c>
      <c r="E145">
        <f>IFERROR(IF(INDEX(Daten_Salden!$A:$ZZ,Berechnung!$B$21,4)="",NA(),INDEX(Daten_Salden!$A:$ZZ,Berechnung!$B$21,4)),NA())</f>
        <v>18.585999999999999</v>
      </c>
      <c r="F145">
        <f>IFERROR(IF(INDEX(Daten_Salden!$A:$ZZ,Berechnung!$B$22,59)="",NA(),INDEX(Daten_Salden!$A:$ZZ,Berechnung!$B$22,59)),NA())</f>
        <v>10</v>
      </c>
      <c r="G145">
        <f>IFERROR(IF(INDEX(Daten_Salden!$A:$ZZ,Berechnung!$C$22,59)="",NA(),INDEX(Daten_Salden!$A:$ZZ,Berechnung!$C$22,59)),NA())</f>
        <v>17</v>
      </c>
      <c r="H145">
        <f>IFERROR(IF(INDEX(Daten_Salden!$A:$ZZ,Berechnung!$B$22,4)="",NA(),INDEX(Daten_Salden!$A:$ZZ,Berechnung!$B$22,4)),NA())</f>
        <v>1.986</v>
      </c>
      <c r="I145" t="e">
        <f>IFERROR(IF(INDEX(Daten_Salden!$A:$ZZ,Berechnung!$B$23,59)="",NA(),INDEX(Daten_Salden!$A:$ZZ,Berechnung!$B$23,59)),NA())</f>
        <v>#N/A</v>
      </c>
      <c r="J145">
        <f>IFERROR(IF(INDEX(Daten_Salden!$A:$ZZ,Berechnung!$C$23,59)="",NA(),INDEX(Daten_Salden!$A:$ZZ,Berechnung!$C$23,59)),NA())</f>
        <v>21</v>
      </c>
      <c r="K145" t="e">
        <f>IFERROR(IF(INDEX(Daten_Salden!$A:$ZZ,Berechnung!$B$23,4)="",NA(),INDEX(Daten_Salden!$A:$ZZ,Berechnung!$B$23,4)),NA())</f>
        <v>#N/A</v>
      </c>
      <c r="L145">
        <f>IFERROR(IF(INDEX(Daten_Salden!$A:$ZZ,Berechnung!$B$24,59)="",NA(),INDEX(Daten_Salden!$A:$ZZ,Berechnung!$B$24,59)),NA())</f>
        <v>13</v>
      </c>
      <c r="M145">
        <f>IFERROR(IF(INDEX(Daten_Salden!$A:$ZZ,Berechnung!$C$24,59)="",NA(),INDEX(Daten_Salden!$A:$ZZ,Berechnung!$C$24,59)),NA())</f>
        <v>21</v>
      </c>
      <c r="N145">
        <f>IFERROR(IF(INDEX(Daten_Salden!$A:$ZZ,Berechnung!$B$24,4)="",NA(),INDEX(Daten_Salden!$A:$ZZ,Berechnung!$B$24,4)),NA())</f>
        <v>2.2429999999999999</v>
      </c>
      <c r="O145">
        <f>IFERROR(IF(INDEX(Daten_Salden!$A:$ZZ,Berechnung!$B$25,59)="",NA(),INDEX(Daten_Salden!$A:$ZZ,Berechnung!$B$25,59)),NA())</f>
        <v>9</v>
      </c>
      <c r="P145">
        <f>IFERROR(IF(INDEX(Daten_Salden!$A:$ZZ,Berechnung!$C$25,59)="",NA(),INDEX(Daten_Salden!$A:$ZZ,Berechnung!$C$25,59)),NA())</f>
        <v>14</v>
      </c>
      <c r="Q145">
        <f>IFERROR(IF(INDEX(Daten_Salden!$A:$ZZ,Berechnung!$B$25,4)="",NA(),INDEX(Daten_Salden!$A:$ZZ,Berechnung!$B$25,4)),NA())</f>
        <v>-1.4</v>
      </c>
    </row>
    <row r="146" spans="1:17" x14ac:dyDescent="0.25">
      <c r="A146" t="s">
        <v>226</v>
      </c>
      <c r="B146" t="s">
        <v>328</v>
      </c>
      <c r="C146">
        <f>IFERROR(IF(INDEX(Daten_Salden!$A:$ZZ,Berechnung!$B$21,60)="",NA(),INDEX(Daten_Salden!$A:$ZZ,Berechnung!$B$21,60)),NA())</f>
        <v>18</v>
      </c>
      <c r="D146">
        <f>IFERROR(IF(INDEX(Daten_Salden!$A:$ZZ,Berechnung!$C$21,60)="",NA(),INDEX(Daten_Salden!$A:$ZZ,Berechnung!$C$21,60)),NA())</f>
        <v>35</v>
      </c>
      <c r="E146">
        <f>IFERROR(IF(INDEX(Daten_Salden!$A:$ZZ,Berechnung!$B$21,4)="",NA(),INDEX(Daten_Salden!$A:$ZZ,Berechnung!$B$21,4)),NA())</f>
        <v>18.585999999999999</v>
      </c>
      <c r="F146">
        <f>IFERROR(IF(INDEX(Daten_Salden!$A:$ZZ,Berechnung!$B$22,60)="",NA(),INDEX(Daten_Salden!$A:$ZZ,Berechnung!$B$22,60)),NA())</f>
        <v>5</v>
      </c>
      <c r="G146">
        <f>IFERROR(IF(INDEX(Daten_Salden!$A:$ZZ,Berechnung!$C$22,60)="",NA(),INDEX(Daten_Salden!$A:$ZZ,Berechnung!$C$22,60)),NA())</f>
        <v>12</v>
      </c>
      <c r="H146">
        <f>IFERROR(IF(INDEX(Daten_Salden!$A:$ZZ,Berechnung!$B$22,4)="",NA(),INDEX(Daten_Salden!$A:$ZZ,Berechnung!$B$22,4)),NA())</f>
        <v>1.986</v>
      </c>
      <c r="I146" t="e">
        <f>IFERROR(IF(INDEX(Daten_Salden!$A:$ZZ,Berechnung!$B$23,60)="",NA(),INDEX(Daten_Salden!$A:$ZZ,Berechnung!$B$23,60)),NA())</f>
        <v>#N/A</v>
      </c>
      <c r="J146">
        <f>IFERROR(IF(INDEX(Daten_Salden!$A:$ZZ,Berechnung!$C$23,60)="",NA(),INDEX(Daten_Salden!$A:$ZZ,Berechnung!$C$23,60)),NA())</f>
        <v>20</v>
      </c>
      <c r="K146" t="e">
        <f>IFERROR(IF(INDEX(Daten_Salden!$A:$ZZ,Berechnung!$B$23,4)="",NA(),INDEX(Daten_Salden!$A:$ZZ,Berechnung!$B$23,4)),NA())</f>
        <v>#N/A</v>
      </c>
      <c r="L146">
        <f>IFERROR(IF(INDEX(Daten_Salden!$A:$ZZ,Berechnung!$B$24,60)="",NA(),INDEX(Daten_Salden!$A:$ZZ,Berechnung!$B$24,60)),NA())</f>
        <v>12</v>
      </c>
      <c r="M146">
        <f>IFERROR(IF(INDEX(Daten_Salden!$A:$ZZ,Berechnung!$C$24,60)="",NA(),INDEX(Daten_Salden!$A:$ZZ,Berechnung!$C$24,60)),NA())</f>
        <v>23</v>
      </c>
      <c r="N146">
        <f>IFERROR(IF(INDEX(Daten_Salden!$A:$ZZ,Berechnung!$B$24,4)="",NA(),INDEX(Daten_Salden!$A:$ZZ,Berechnung!$B$24,4)),NA())</f>
        <v>2.2429999999999999</v>
      </c>
      <c r="O146">
        <f>IFERROR(IF(INDEX(Daten_Salden!$A:$ZZ,Berechnung!$B$25,60)="",NA(),INDEX(Daten_Salden!$A:$ZZ,Berechnung!$B$25,60)),NA())</f>
        <v>8</v>
      </c>
      <c r="P146">
        <f>IFERROR(IF(INDEX(Daten_Salden!$A:$ZZ,Berechnung!$C$25,60)="",NA(),INDEX(Daten_Salden!$A:$ZZ,Berechnung!$C$25,60)),NA())</f>
        <v>15</v>
      </c>
      <c r="Q146">
        <f>IFERROR(IF(INDEX(Daten_Salden!$A:$ZZ,Berechnung!$B$25,4)="",NA(),INDEX(Daten_Salden!$A:$ZZ,Berechnung!$B$25,4)),NA())</f>
        <v>-1.4</v>
      </c>
    </row>
    <row r="147" spans="1:17" x14ac:dyDescent="0.25">
      <c r="A147" t="s">
        <v>227</v>
      </c>
      <c r="C147">
        <f>IFERROR(IF(INDEX(Daten_Salden!$A:$ZZ,Berechnung!$B$21,61)="",NA(),INDEX(Daten_Salden!$A:$ZZ,Berechnung!$B$21,61)),NA())</f>
        <v>19</v>
      </c>
      <c r="D147">
        <f>IFERROR(IF(INDEX(Daten_Salden!$A:$ZZ,Berechnung!$C$21,61)="",NA(),INDEX(Daten_Salden!$A:$ZZ,Berechnung!$C$21,61)),NA())</f>
        <v>29</v>
      </c>
      <c r="E147">
        <f>IFERROR(IF(INDEX(Daten_Salden!$A:$ZZ,Berechnung!$B$21,4)="",NA(),INDEX(Daten_Salden!$A:$ZZ,Berechnung!$B$21,4)),NA())</f>
        <v>18.585999999999999</v>
      </c>
      <c r="F147">
        <f>IFERROR(IF(INDEX(Daten_Salden!$A:$ZZ,Berechnung!$B$22,61)="",NA(),INDEX(Daten_Salden!$A:$ZZ,Berechnung!$B$22,61)),NA())</f>
        <v>-14</v>
      </c>
      <c r="G147">
        <f>IFERROR(IF(INDEX(Daten_Salden!$A:$ZZ,Berechnung!$C$22,61)="",NA(),INDEX(Daten_Salden!$A:$ZZ,Berechnung!$C$22,61)),NA())</f>
        <v>-23</v>
      </c>
      <c r="H147">
        <f>IFERROR(IF(INDEX(Daten_Salden!$A:$ZZ,Berechnung!$B$22,4)="",NA(),INDEX(Daten_Salden!$A:$ZZ,Berechnung!$B$22,4)),NA())</f>
        <v>1.986</v>
      </c>
      <c r="I147" t="e">
        <f>IFERROR(IF(INDEX(Daten_Salden!$A:$ZZ,Berechnung!$B$23,61)="",NA(),INDEX(Daten_Salden!$A:$ZZ,Berechnung!$B$23,61)),NA())</f>
        <v>#N/A</v>
      </c>
      <c r="J147">
        <f>IFERROR(IF(INDEX(Daten_Salden!$A:$ZZ,Berechnung!$C$23,61)="",NA(),INDEX(Daten_Salden!$A:$ZZ,Berechnung!$C$23,61)),NA())</f>
        <v>-9</v>
      </c>
      <c r="K147" t="e">
        <f>IFERROR(IF(INDEX(Daten_Salden!$A:$ZZ,Berechnung!$B$23,4)="",NA(),INDEX(Daten_Salden!$A:$ZZ,Berechnung!$B$23,4)),NA())</f>
        <v>#N/A</v>
      </c>
      <c r="L147">
        <f>IFERROR(IF(INDEX(Daten_Salden!$A:$ZZ,Berechnung!$B$24,61)="",NA(),INDEX(Daten_Salden!$A:$ZZ,Berechnung!$B$24,61)),NA())</f>
        <v>6</v>
      </c>
      <c r="M147">
        <f>IFERROR(IF(INDEX(Daten_Salden!$A:$ZZ,Berechnung!$C$24,61)="",NA(),INDEX(Daten_Salden!$A:$ZZ,Berechnung!$C$24,61)),NA())</f>
        <v>9</v>
      </c>
      <c r="N147">
        <f>IFERROR(IF(INDEX(Daten_Salden!$A:$ZZ,Berechnung!$B$24,4)="",NA(),INDEX(Daten_Salden!$A:$ZZ,Berechnung!$B$24,4)),NA())</f>
        <v>2.2429999999999999</v>
      </c>
      <c r="O147">
        <f>IFERROR(IF(INDEX(Daten_Salden!$A:$ZZ,Berechnung!$B$25,61)="",NA(),INDEX(Daten_Salden!$A:$ZZ,Berechnung!$B$25,61)),NA())</f>
        <v>5</v>
      </c>
      <c r="P147">
        <f>IFERROR(IF(INDEX(Daten_Salden!$A:$ZZ,Berechnung!$C$25,61)="",NA(),INDEX(Daten_Salden!$A:$ZZ,Berechnung!$C$25,61)),NA())</f>
        <v>8</v>
      </c>
      <c r="Q147">
        <f>IFERROR(IF(INDEX(Daten_Salden!$A:$ZZ,Berechnung!$B$25,4)="",NA(),INDEX(Daten_Salden!$A:$ZZ,Berechnung!$B$25,4)),NA())</f>
        <v>-1.4</v>
      </c>
    </row>
    <row r="148" spans="1:17" x14ac:dyDescent="0.25">
      <c r="A148" t="s">
        <v>228</v>
      </c>
      <c r="C148">
        <f>IFERROR(IF(INDEX(Daten_Salden!$A:$ZZ,Berechnung!$B$21,62)="",NA(),INDEX(Daten_Salden!$A:$ZZ,Berechnung!$B$21,62)),NA())</f>
        <v>13</v>
      </c>
      <c r="D148">
        <f>IFERROR(IF(INDEX(Daten_Salden!$A:$ZZ,Berechnung!$C$21,62)="",NA(),INDEX(Daten_Salden!$A:$ZZ,Berechnung!$C$21,62)),NA())</f>
        <v>14</v>
      </c>
      <c r="E148">
        <f>IFERROR(IF(INDEX(Daten_Salden!$A:$ZZ,Berechnung!$B$21,4)="",NA(),INDEX(Daten_Salden!$A:$ZZ,Berechnung!$B$21,4)),NA())</f>
        <v>18.585999999999999</v>
      </c>
      <c r="F148">
        <f>IFERROR(IF(INDEX(Daten_Salden!$A:$ZZ,Berechnung!$B$22,62)="",NA(),INDEX(Daten_Salden!$A:$ZZ,Berechnung!$B$22,62)),NA())</f>
        <v>-44</v>
      </c>
      <c r="G148">
        <f>IFERROR(IF(INDEX(Daten_Salden!$A:$ZZ,Berechnung!$C$22,62)="",NA(),INDEX(Daten_Salden!$A:$ZZ,Berechnung!$C$22,62)),NA())</f>
        <v>-46</v>
      </c>
      <c r="H148">
        <f>IFERROR(IF(INDEX(Daten_Salden!$A:$ZZ,Berechnung!$B$22,4)="",NA(),INDEX(Daten_Salden!$A:$ZZ,Berechnung!$B$22,4)),NA())</f>
        <v>1.986</v>
      </c>
      <c r="I148" t="e">
        <f>IFERROR(IF(INDEX(Daten_Salden!$A:$ZZ,Berechnung!$B$23,62)="",NA(),INDEX(Daten_Salden!$A:$ZZ,Berechnung!$B$23,62)),NA())</f>
        <v>#N/A</v>
      </c>
      <c r="J148">
        <f>IFERROR(IF(INDEX(Daten_Salden!$A:$ZZ,Berechnung!$C$23,62)="",NA(),INDEX(Daten_Salden!$A:$ZZ,Berechnung!$C$23,62)),NA())</f>
        <v>-24</v>
      </c>
      <c r="K148" t="e">
        <f>IFERROR(IF(INDEX(Daten_Salden!$A:$ZZ,Berechnung!$B$23,4)="",NA(),INDEX(Daten_Salden!$A:$ZZ,Berechnung!$B$23,4)),NA())</f>
        <v>#N/A</v>
      </c>
      <c r="L148">
        <f>IFERROR(IF(INDEX(Daten_Salden!$A:$ZZ,Berechnung!$B$24,62)="",NA(),INDEX(Daten_Salden!$A:$ZZ,Berechnung!$B$24,62)),NA())</f>
        <v>-10</v>
      </c>
      <c r="M148">
        <f>IFERROR(IF(INDEX(Daten_Salden!$A:$ZZ,Berechnung!$C$24,62)="",NA(),INDEX(Daten_Salden!$A:$ZZ,Berechnung!$C$24,62)),NA())</f>
        <v>-10</v>
      </c>
      <c r="N148">
        <f>IFERROR(IF(INDEX(Daten_Salden!$A:$ZZ,Berechnung!$B$24,4)="",NA(),INDEX(Daten_Salden!$A:$ZZ,Berechnung!$B$24,4)),NA())</f>
        <v>2.2429999999999999</v>
      </c>
      <c r="O148">
        <f>IFERROR(IF(INDEX(Daten_Salden!$A:$ZZ,Berechnung!$B$25,62)="",NA(),INDEX(Daten_Salden!$A:$ZZ,Berechnung!$B$25,62)),NA())</f>
        <v>-7</v>
      </c>
      <c r="P148">
        <f>IFERROR(IF(INDEX(Daten_Salden!$A:$ZZ,Berechnung!$C$25,62)="",NA(),INDEX(Daten_Salden!$A:$ZZ,Berechnung!$C$25,62)),NA())</f>
        <v>-7</v>
      </c>
      <c r="Q148">
        <f>IFERROR(IF(INDEX(Daten_Salden!$A:$ZZ,Berechnung!$B$25,4)="",NA(),INDEX(Daten_Salden!$A:$ZZ,Berechnung!$B$25,4)),NA())</f>
        <v>-1.4</v>
      </c>
    </row>
    <row r="149" spans="1:17" x14ac:dyDescent="0.25">
      <c r="A149" t="s">
        <v>229</v>
      </c>
      <c r="B149" t="s">
        <v>329</v>
      </c>
      <c r="C149">
        <f>IFERROR(IF(INDEX(Daten_Salden!$A:$ZZ,Berechnung!$B$21,63)="",NA(),INDEX(Daten_Salden!$A:$ZZ,Berechnung!$B$21,63)),NA())</f>
        <v>19</v>
      </c>
      <c r="D149">
        <f>IFERROR(IF(INDEX(Daten_Salden!$A:$ZZ,Berechnung!$C$21,63)="",NA(),INDEX(Daten_Salden!$A:$ZZ,Berechnung!$C$21,63)),NA())</f>
        <v>21</v>
      </c>
      <c r="E149">
        <f>IFERROR(IF(INDEX(Daten_Salden!$A:$ZZ,Berechnung!$B$21,4)="",NA(),INDEX(Daten_Salden!$A:$ZZ,Berechnung!$B$21,4)),NA())</f>
        <v>18.585999999999999</v>
      </c>
      <c r="F149">
        <f>IFERROR(IF(INDEX(Daten_Salden!$A:$ZZ,Berechnung!$B$22,63)="",NA(),INDEX(Daten_Salden!$A:$ZZ,Berechnung!$B$22,63)),NA())</f>
        <v>-14</v>
      </c>
      <c r="G149">
        <f>IFERROR(IF(INDEX(Daten_Salden!$A:$ZZ,Berechnung!$C$22,63)="",NA(),INDEX(Daten_Salden!$A:$ZZ,Berechnung!$C$22,63)),NA())</f>
        <v>-12</v>
      </c>
      <c r="H149">
        <f>IFERROR(IF(INDEX(Daten_Salden!$A:$ZZ,Berechnung!$B$22,4)="",NA(),INDEX(Daten_Salden!$A:$ZZ,Berechnung!$B$22,4)),NA())</f>
        <v>1.986</v>
      </c>
      <c r="I149" t="e">
        <f>IFERROR(IF(INDEX(Daten_Salden!$A:$ZZ,Berechnung!$B$23,63)="",NA(),INDEX(Daten_Salden!$A:$ZZ,Berechnung!$B$23,63)),NA())</f>
        <v>#N/A</v>
      </c>
      <c r="J149">
        <f>IFERROR(IF(INDEX(Daten_Salden!$A:$ZZ,Berechnung!$C$23,63)="",NA(),INDEX(Daten_Salden!$A:$ZZ,Berechnung!$C$23,63)),NA())</f>
        <v>-1</v>
      </c>
      <c r="K149" t="e">
        <f>IFERROR(IF(INDEX(Daten_Salden!$A:$ZZ,Berechnung!$B$23,4)="",NA(),INDEX(Daten_Salden!$A:$ZZ,Berechnung!$B$23,4)),NA())</f>
        <v>#N/A</v>
      </c>
      <c r="L149">
        <f>IFERROR(IF(INDEX(Daten_Salden!$A:$ZZ,Berechnung!$B$24,63)="",NA(),INDEX(Daten_Salden!$A:$ZZ,Berechnung!$B$24,63)),NA())</f>
        <v>1</v>
      </c>
      <c r="M149">
        <f>IFERROR(IF(INDEX(Daten_Salden!$A:$ZZ,Berechnung!$C$24,63)="",NA(),INDEX(Daten_Salden!$A:$ZZ,Berechnung!$C$24,63)),NA())</f>
        <v>3</v>
      </c>
      <c r="N149">
        <f>IFERROR(IF(INDEX(Daten_Salden!$A:$ZZ,Berechnung!$B$24,4)="",NA(),INDEX(Daten_Salden!$A:$ZZ,Berechnung!$B$24,4)),NA())</f>
        <v>2.2429999999999999</v>
      </c>
      <c r="O149">
        <f>IFERROR(IF(INDEX(Daten_Salden!$A:$ZZ,Berechnung!$B$25,63)="",NA(),INDEX(Daten_Salden!$A:$ZZ,Berechnung!$B$25,63)),NA())</f>
        <v>2</v>
      </c>
      <c r="P149">
        <f>IFERROR(IF(INDEX(Daten_Salden!$A:$ZZ,Berechnung!$C$25,63)="",NA(),INDEX(Daten_Salden!$A:$ZZ,Berechnung!$C$25,63)),NA())</f>
        <v>4</v>
      </c>
      <c r="Q149">
        <f>IFERROR(IF(INDEX(Daten_Salden!$A:$ZZ,Berechnung!$B$25,4)="",NA(),INDEX(Daten_Salden!$A:$ZZ,Berechnung!$B$25,4)),NA())</f>
        <v>-1.4</v>
      </c>
    </row>
    <row r="150" spans="1:17" x14ac:dyDescent="0.25">
      <c r="A150" t="s">
        <v>230</v>
      </c>
      <c r="C150">
        <f>IFERROR(IF(INDEX(Daten_Salden!$A:$ZZ,Berechnung!$B$21,64)="",NA(),INDEX(Daten_Salden!$A:$ZZ,Berechnung!$B$21,64)),NA())</f>
        <v>19</v>
      </c>
      <c r="D150">
        <f>IFERROR(IF(INDEX(Daten_Salden!$A:$ZZ,Berechnung!$C$21,64)="",NA(),INDEX(Daten_Salden!$A:$ZZ,Berechnung!$C$21,64)),NA())</f>
        <v>19</v>
      </c>
      <c r="E150">
        <f>IFERROR(IF(INDEX(Daten_Salden!$A:$ZZ,Berechnung!$B$21,4)="",NA(),INDEX(Daten_Salden!$A:$ZZ,Berechnung!$B$21,4)),NA())</f>
        <v>18.585999999999999</v>
      </c>
      <c r="F150">
        <f>IFERROR(IF(INDEX(Daten_Salden!$A:$ZZ,Berechnung!$B$22,64)="",NA(),INDEX(Daten_Salden!$A:$ZZ,Berechnung!$B$22,64)),NA())</f>
        <v>-5</v>
      </c>
      <c r="G150">
        <f>IFERROR(IF(INDEX(Daten_Salden!$A:$ZZ,Berechnung!$C$22,64)="",NA(),INDEX(Daten_Salden!$A:$ZZ,Berechnung!$C$22,64)),NA())</f>
        <v>-6</v>
      </c>
      <c r="H150">
        <f>IFERROR(IF(INDEX(Daten_Salden!$A:$ZZ,Berechnung!$B$22,4)="",NA(),INDEX(Daten_Salden!$A:$ZZ,Berechnung!$B$22,4)),NA())</f>
        <v>1.986</v>
      </c>
      <c r="I150" t="e">
        <f>IFERROR(IF(INDEX(Daten_Salden!$A:$ZZ,Berechnung!$B$23,64)="",NA(),INDEX(Daten_Salden!$A:$ZZ,Berechnung!$B$23,64)),NA())</f>
        <v>#N/A</v>
      </c>
      <c r="J150">
        <f>IFERROR(IF(INDEX(Daten_Salden!$A:$ZZ,Berechnung!$C$23,64)="",NA(),INDEX(Daten_Salden!$A:$ZZ,Berechnung!$C$23,64)),NA())</f>
        <v>1</v>
      </c>
      <c r="K150" t="e">
        <f>IFERROR(IF(INDEX(Daten_Salden!$A:$ZZ,Berechnung!$B$23,4)="",NA(),INDEX(Daten_Salden!$A:$ZZ,Berechnung!$B$23,4)),NA())</f>
        <v>#N/A</v>
      </c>
      <c r="L150">
        <f>IFERROR(IF(INDEX(Daten_Salden!$A:$ZZ,Berechnung!$B$24,64)="",NA(),INDEX(Daten_Salden!$A:$ZZ,Berechnung!$B$24,64)),NA())</f>
        <v>4</v>
      </c>
      <c r="M150">
        <f>IFERROR(IF(INDEX(Daten_Salden!$A:$ZZ,Berechnung!$C$24,64)="",NA(),INDEX(Daten_Salden!$A:$ZZ,Berechnung!$C$24,64)),NA())</f>
        <v>7</v>
      </c>
      <c r="N150">
        <f>IFERROR(IF(INDEX(Daten_Salden!$A:$ZZ,Berechnung!$B$24,4)="",NA(),INDEX(Daten_Salden!$A:$ZZ,Berechnung!$B$24,4)),NA())</f>
        <v>2.2429999999999999</v>
      </c>
      <c r="O150">
        <f>IFERROR(IF(INDEX(Daten_Salden!$A:$ZZ,Berechnung!$B$25,64)="",NA(),INDEX(Daten_Salden!$A:$ZZ,Berechnung!$B$25,64)),NA())</f>
        <v>2</v>
      </c>
      <c r="P150">
        <f>IFERROR(IF(INDEX(Daten_Salden!$A:$ZZ,Berechnung!$C$25,64)="",NA(),INDEX(Daten_Salden!$A:$ZZ,Berechnung!$C$25,64)),NA())</f>
        <v>2</v>
      </c>
      <c r="Q150">
        <f>IFERROR(IF(INDEX(Daten_Salden!$A:$ZZ,Berechnung!$B$25,4)="",NA(),INDEX(Daten_Salden!$A:$ZZ,Berechnung!$B$25,4)),NA())</f>
        <v>-1.4</v>
      </c>
    </row>
    <row r="151" spans="1:17" x14ac:dyDescent="0.25">
      <c r="A151" t="s">
        <v>231</v>
      </c>
      <c r="C151">
        <f>IFERROR(IF(INDEX(Daten_Salden!$A:$ZZ,Berechnung!$B$21,65)="",NA(),INDEX(Daten_Salden!$A:$ZZ,Berechnung!$B$21,65)),NA())</f>
        <v>9</v>
      </c>
      <c r="D151">
        <f>IFERROR(IF(INDEX(Daten_Salden!$A:$ZZ,Berechnung!$C$21,65)="",NA(),INDEX(Daten_Salden!$A:$ZZ,Berechnung!$C$21,65)),NA())</f>
        <v>0</v>
      </c>
      <c r="E151">
        <f>IFERROR(IF(INDEX(Daten_Salden!$A:$ZZ,Berechnung!$B$21,4)="",NA(),INDEX(Daten_Salden!$A:$ZZ,Berechnung!$B$21,4)),NA())</f>
        <v>18.585999999999999</v>
      </c>
      <c r="F151">
        <f>IFERROR(IF(INDEX(Daten_Salden!$A:$ZZ,Berechnung!$B$22,65)="",NA(),INDEX(Daten_Salden!$A:$ZZ,Berechnung!$B$22,65)),NA())</f>
        <v>-22</v>
      </c>
      <c r="G151">
        <f>IFERROR(IF(INDEX(Daten_Salden!$A:$ZZ,Berechnung!$C$22,65)="",NA(),INDEX(Daten_Salden!$A:$ZZ,Berechnung!$C$22,65)),NA())</f>
        <v>-26</v>
      </c>
      <c r="H151">
        <f>IFERROR(IF(INDEX(Daten_Salden!$A:$ZZ,Berechnung!$B$22,4)="",NA(),INDEX(Daten_Salden!$A:$ZZ,Berechnung!$B$22,4)),NA())</f>
        <v>1.986</v>
      </c>
      <c r="I151" t="e">
        <f>IFERROR(IF(INDEX(Daten_Salden!$A:$ZZ,Berechnung!$B$23,65)="",NA(),INDEX(Daten_Salden!$A:$ZZ,Berechnung!$B$23,65)),NA())</f>
        <v>#N/A</v>
      </c>
      <c r="J151">
        <f>IFERROR(IF(INDEX(Daten_Salden!$A:$ZZ,Berechnung!$C$23,65)="",NA(),INDEX(Daten_Salden!$A:$ZZ,Berechnung!$C$23,65)),NA())</f>
        <v>-15</v>
      </c>
      <c r="K151" t="e">
        <f>IFERROR(IF(INDEX(Daten_Salden!$A:$ZZ,Berechnung!$B$23,4)="",NA(),INDEX(Daten_Salden!$A:$ZZ,Berechnung!$B$23,4)),NA())</f>
        <v>#N/A</v>
      </c>
      <c r="L151">
        <f>IFERROR(IF(INDEX(Daten_Salden!$A:$ZZ,Berechnung!$B$24,65)="",NA(),INDEX(Daten_Salden!$A:$ZZ,Berechnung!$B$24,65)),NA())</f>
        <v>-7</v>
      </c>
      <c r="M151">
        <f>IFERROR(IF(INDEX(Daten_Salden!$A:$ZZ,Berechnung!$C$24,65)="",NA(),INDEX(Daten_Salden!$A:$ZZ,Berechnung!$C$24,65)),NA())</f>
        <v>-12</v>
      </c>
      <c r="N151">
        <f>IFERROR(IF(INDEX(Daten_Salden!$A:$ZZ,Berechnung!$B$24,4)="",NA(),INDEX(Daten_Salden!$A:$ZZ,Berechnung!$B$24,4)),NA())</f>
        <v>2.2429999999999999</v>
      </c>
      <c r="O151">
        <f>IFERROR(IF(INDEX(Daten_Salden!$A:$ZZ,Berechnung!$B$25,65)="",NA(),INDEX(Daten_Salden!$A:$ZZ,Berechnung!$B$25,65)),NA())</f>
        <v>-9</v>
      </c>
      <c r="P151">
        <f>IFERROR(IF(INDEX(Daten_Salden!$A:$ZZ,Berechnung!$C$25,65)="",NA(),INDEX(Daten_Salden!$A:$ZZ,Berechnung!$C$25,65)),NA())</f>
        <v>-12</v>
      </c>
      <c r="Q151">
        <f>IFERROR(IF(INDEX(Daten_Salden!$A:$ZZ,Berechnung!$B$25,4)="",NA(),INDEX(Daten_Salden!$A:$ZZ,Berechnung!$B$25,4)),NA())</f>
        <v>-1.4</v>
      </c>
    </row>
    <row r="152" spans="1:17" x14ac:dyDescent="0.25">
      <c r="A152" t="s">
        <v>232</v>
      </c>
      <c r="B152" t="s">
        <v>330</v>
      </c>
      <c r="C152">
        <f>IFERROR(IF(INDEX(Daten_Salden!$A:$ZZ,Berechnung!$B$21,66)="",NA(),INDEX(Daten_Salden!$A:$ZZ,Berechnung!$B$21,66)),NA())</f>
        <v>7</v>
      </c>
      <c r="D152">
        <f>IFERROR(IF(INDEX(Daten_Salden!$A:$ZZ,Berechnung!$C$21,66)="",NA(),INDEX(Daten_Salden!$A:$ZZ,Berechnung!$C$21,66)),NA())</f>
        <v>-1</v>
      </c>
      <c r="E152">
        <f>IFERROR(IF(INDEX(Daten_Salden!$A:$ZZ,Berechnung!$B$21,4)="",NA(),INDEX(Daten_Salden!$A:$ZZ,Berechnung!$B$21,4)),NA())</f>
        <v>18.585999999999999</v>
      </c>
      <c r="F152">
        <f>IFERROR(IF(INDEX(Daten_Salden!$A:$ZZ,Berechnung!$B$22,66)="",NA(),INDEX(Daten_Salden!$A:$ZZ,Berechnung!$B$22,66)),NA())</f>
        <v>-21</v>
      </c>
      <c r="G152">
        <f>IFERROR(IF(INDEX(Daten_Salden!$A:$ZZ,Berechnung!$C$22,66)="",NA(),INDEX(Daten_Salden!$A:$ZZ,Berechnung!$C$22,66)),NA())</f>
        <v>-21</v>
      </c>
      <c r="H152">
        <f>IFERROR(IF(INDEX(Daten_Salden!$A:$ZZ,Berechnung!$B$22,4)="",NA(),INDEX(Daten_Salden!$A:$ZZ,Berechnung!$B$22,4)),NA())</f>
        <v>1.986</v>
      </c>
      <c r="I152" t="e">
        <f>IFERROR(IF(INDEX(Daten_Salden!$A:$ZZ,Berechnung!$B$23,66)="",NA(),INDEX(Daten_Salden!$A:$ZZ,Berechnung!$B$23,66)),NA())</f>
        <v>#N/A</v>
      </c>
      <c r="J152">
        <f>IFERROR(IF(INDEX(Daten_Salden!$A:$ZZ,Berechnung!$C$23,66)="",NA(),INDEX(Daten_Salden!$A:$ZZ,Berechnung!$C$23,66)),NA())</f>
        <v>-7</v>
      </c>
      <c r="K152" t="e">
        <f>IFERROR(IF(INDEX(Daten_Salden!$A:$ZZ,Berechnung!$B$23,4)="",NA(),INDEX(Daten_Salden!$A:$ZZ,Berechnung!$B$23,4)),NA())</f>
        <v>#N/A</v>
      </c>
      <c r="L152">
        <f>IFERROR(IF(INDEX(Daten_Salden!$A:$ZZ,Berechnung!$B$24,66)="",NA(),INDEX(Daten_Salden!$A:$ZZ,Berechnung!$B$24,66)),NA())</f>
        <v>-9</v>
      </c>
      <c r="M152">
        <f>IFERROR(IF(INDEX(Daten_Salden!$A:$ZZ,Berechnung!$C$24,66)="",NA(),INDEX(Daten_Salden!$A:$ZZ,Berechnung!$C$24,66)),NA())</f>
        <v>-11</v>
      </c>
      <c r="N152">
        <f>IFERROR(IF(INDEX(Daten_Salden!$A:$ZZ,Berechnung!$B$24,4)="",NA(),INDEX(Daten_Salden!$A:$ZZ,Berechnung!$B$24,4)),NA())</f>
        <v>2.2429999999999999</v>
      </c>
      <c r="O152">
        <f>IFERROR(IF(INDEX(Daten_Salden!$A:$ZZ,Berechnung!$B$25,66)="",NA(),INDEX(Daten_Salden!$A:$ZZ,Berechnung!$B$25,66)),NA())</f>
        <v>-8</v>
      </c>
      <c r="P152">
        <f>IFERROR(IF(INDEX(Daten_Salden!$A:$ZZ,Berechnung!$C$25,66)="",NA(),INDEX(Daten_Salden!$A:$ZZ,Berechnung!$C$25,66)),NA())</f>
        <v>-13</v>
      </c>
      <c r="Q152">
        <f>IFERROR(IF(INDEX(Daten_Salden!$A:$ZZ,Berechnung!$B$25,4)="",NA(),INDEX(Daten_Salden!$A:$ZZ,Berechnung!$B$25,4)),NA())</f>
        <v>-1.4</v>
      </c>
    </row>
    <row r="153" spans="1:17" x14ac:dyDescent="0.25">
      <c r="A153" t="s">
        <v>233</v>
      </c>
      <c r="C153">
        <f>IFERROR(IF(INDEX(Daten_Salden!$A:$ZZ,Berechnung!$B$21,67)="",NA(),INDEX(Daten_Salden!$A:$ZZ,Berechnung!$B$21,67)),NA())</f>
        <v>5</v>
      </c>
      <c r="D153">
        <f>IFERROR(IF(INDEX(Daten_Salden!$A:$ZZ,Berechnung!$C$21,67)="",NA(),INDEX(Daten_Salden!$A:$ZZ,Berechnung!$C$21,67)),NA())</f>
        <v>-5</v>
      </c>
      <c r="E153">
        <f>IFERROR(IF(INDEX(Daten_Salden!$A:$ZZ,Berechnung!$B$21,4)="",NA(),INDEX(Daten_Salden!$A:$ZZ,Berechnung!$B$21,4)),NA())</f>
        <v>18.585999999999999</v>
      </c>
      <c r="F153">
        <f>IFERROR(IF(INDEX(Daten_Salden!$A:$ZZ,Berechnung!$B$22,67)="",NA(),INDEX(Daten_Salden!$A:$ZZ,Berechnung!$B$22,67)),NA())</f>
        <v>-10</v>
      </c>
      <c r="G153">
        <f>IFERROR(IF(INDEX(Daten_Salden!$A:$ZZ,Berechnung!$C$22,67)="",NA(),INDEX(Daten_Salden!$A:$ZZ,Berechnung!$C$22,67)),NA())</f>
        <v>-11</v>
      </c>
      <c r="H153">
        <f>IFERROR(IF(INDEX(Daten_Salden!$A:$ZZ,Berechnung!$B$22,4)="",NA(),INDEX(Daten_Salden!$A:$ZZ,Berechnung!$B$22,4)),NA())</f>
        <v>1.986</v>
      </c>
      <c r="I153" t="e">
        <f>IFERROR(IF(INDEX(Daten_Salden!$A:$ZZ,Berechnung!$B$23,67)="",NA(),INDEX(Daten_Salden!$A:$ZZ,Berechnung!$B$23,67)),NA())</f>
        <v>#N/A</v>
      </c>
      <c r="J153">
        <f>IFERROR(IF(INDEX(Daten_Salden!$A:$ZZ,Berechnung!$C$23,67)="",NA(),INDEX(Daten_Salden!$A:$ZZ,Berechnung!$C$23,67)),NA())</f>
        <v>-5</v>
      </c>
      <c r="K153" t="e">
        <f>IFERROR(IF(INDEX(Daten_Salden!$A:$ZZ,Berechnung!$B$23,4)="",NA(),INDEX(Daten_Salden!$A:$ZZ,Berechnung!$B$23,4)),NA())</f>
        <v>#N/A</v>
      </c>
      <c r="L153">
        <f>IFERROR(IF(INDEX(Daten_Salden!$A:$ZZ,Berechnung!$B$24,67)="",NA(),INDEX(Daten_Salden!$A:$ZZ,Berechnung!$B$24,67)),NA())</f>
        <v>-7</v>
      </c>
      <c r="M153">
        <f>IFERROR(IF(INDEX(Daten_Salden!$A:$ZZ,Berechnung!$C$24,67)="",NA(),INDEX(Daten_Salden!$A:$ZZ,Berechnung!$C$24,67)),NA())</f>
        <v>-10</v>
      </c>
      <c r="N153">
        <f>IFERROR(IF(INDEX(Daten_Salden!$A:$ZZ,Berechnung!$B$24,4)="",NA(),INDEX(Daten_Salden!$A:$ZZ,Berechnung!$B$24,4)),NA())</f>
        <v>2.2429999999999999</v>
      </c>
      <c r="O153">
        <f>IFERROR(IF(INDEX(Daten_Salden!$A:$ZZ,Berechnung!$B$25,67)="",NA(),INDEX(Daten_Salden!$A:$ZZ,Berechnung!$B$25,67)),NA())</f>
        <v>-7</v>
      </c>
      <c r="P153">
        <f>IFERROR(IF(INDEX(Daten_Salden!$A:$ZZ,Berechnung!$C$25,67)="",NA(),INDEX(Daten_Salden!$A:$ZZ,Berechnung!$C$25,67)),NA())</f>
        <v>-14</v>
      </c>
      <c r="Q153">
        <f>IFERROR(IF(INDEX(Daten_Salden!$A:$ZZ,Berechnung!$B$25,4)="",NA(),INDEX(Daten_Salden!$A:$ZZ,Berechnung!$B$25,4)),NA())</f>
        <v>-1.4</v>
      </c>
    </row>
    <row r="154" spans="1:17" x14ac:dyDescent="0.25">
      <c r="A154" t="s">
        <v>234</v>
      </c>
      <c r="C154">
        <f>IFERROR(IF(INDEX(Daten_Salden!$A:$ZZ,Berechnung!$B$21,68)="",NA(),INDEX(Daten_Salden!$A:$ZZ,Berechnung!$B$21,68)),NA())</f>
        <v>1</v>
      </c>
      <c r="D154">
        <f>IFERROR(IF(INDEX(Daten_Salden!$A:$ZZ,Berechnung!$C$21,68)="",NA(),INDEX(Daten_Salden!$A:$ZZ,Berechnung!$C$21,68)),NA())</f>
        <v>-16</v>
      </c>
      <c r="E154">
        <f>IFERROR(IF(INDEX(Daten_Salden!$A:$ZZ,Berechnung!$B$21,4)="",NA(),INDEX(Daten_Salden!$A:$ZZ,Berechnung!$B$21,4)),NA())</f>
        <v>18.585999999999999</v>
      </c>
      <c r="F154">
        <f>IFERROR(IF(INDEX(Daten_Salden!$A:$ZZ,Berechnung!$B$22,68)="",NA(),INDEX(Daten_Salden!$A:$ZZ,Berechnung!$B$22,68)),NA())</f>
        <v>-18</v>
      </c>
      <c r="G154">
        <f>IFERROR(IF(INDEX(Daten_Salden!$A:$ZZ,Berechnung!$C$22,68)="",NA(),INDEX(Daten_Salden!$A:$ZZ,Berechnung!$C$22,68)),NA())</f>
        <v>-19</v>
      </c>
      <c r="H154">
        <f>IFERROR(IF(INDEX(Daten_Salden!$A:$ZZ,Berechnung!$B$22,4)="",NA(),INDEX(Daten_Salden!$A:$ZZ,Berechnung!$B$22,4)),NA())</f>
        <v>1.986</v>
      </c>
      <c r="I154" t="e">
        <f>IFERROR(IF(INDEX(Daten_Salden!$A:$ZZ,Berechnung!$B$23,68)="",NA(),INDEX(Daten_Salden!$A:$ZZ,Berechnung!$B$23,68)),NA())</f>
        <v>#N/A</v>
      </c>
      <c r="J154">
        <f>IFERROR(IF(INDEX(Daten_Salden!$A:$ZZ,Berechnung!$C$23,68)="",NA(),INDEX(Daten_Salden!$A:$ZZ,Berechnung!$C$23,68)),NA())</f>
        <v>-12</v>
      </c>
      <c r="K154" t="e">
        <f>IFERROR(IF(INDEX(Daten_Salden!$A:$ZZ,Berechnung!$B$23,4)="",NA(),INDEX(Daten_Salden!$A:$ZZ,Berechnung!$B$23,4)),NA())</f>
        <v>#N/A</v>
      </c>
      <c r="L154">
        <f>IFERROR(IF(INDEX(Daten_Salden!$A:$ZZ,Berechnung!$B$24,68)="",NA(),INDEX(Daten_Salden!$A:$ZZ,Berechnung!$B$24,68)),NA())</f>
        <v>-10</v>
      </c>
      <c r="M154">
        <f>IFERROR(IF(INDEX(Daten_Salden!$A:$ZZ,Berechnung!$C$24,68)="",NA(),INDEX(Daten_Salden!$A:$ZZ,Berechnung!$C$24,68)),NA())</f>
        <v>-17</v>
      </c>
      <c r="N154">
        <f>IFERROR(IF(INDEX(Daten_Salden!$A:$ZZ,Berechnung!$B$24,4)="",NA(),INDEX(Daten_Salden!$A:$ZZ,Berechnung!$B$24,4)),NA())</f>
        <v>2.2429999999999999</v>
      </c>
      <c r="O154">
        <f>IFERROR(IF(INDEX(Daten_Salden!$A:$ZZ,Berechnung!$B$25,68)="",NA(),INDEX(Daten_Salden!$A:$ZZ,Berechnung!$B$25,68)),NA())</f>
        <v>-12</v>
      </c>
      <c r="P154">
        <f>IFERROR(IF(INDEX(Daten_Salden!$A:$ZZ,Berechnung!$C$25,68)="",NA(),INDEX(Daten_Salden!$A:$ZZ,Berechnung!$C$25,68)),NA())</f>
        <v>-20</v>
      </c>
      <c r="Q154">
        <f>IFERROR(IF(INDEX(Daten_Salden!$A:$ZZ,Berechnung!$B$25,4)="",NA(),INDEX(Daten_Salden!$A:$ZZ,Berechnung!$B$25,4)),NA())</f>
        <v>-1.4</v>
      </c>
    </row>
    <row r="155" spans="1:17" x14ac:dyDescent="0.25">
      <c r="A155" t="s">
        <v>235</v>
      </c>
      <c r="B155" t="s">
        <v>331</v>
      </c>
      <c r="C155">
        <f>IFERROR(IF(INDEX(Daten_Salden!$A:$ZZ,Berechnung!$B$21,69)="",NA(),INDEX(Daten_Salden!$A:$ZZ,Berechnung!$B$21,69)),NA())</f>
        <v>1</v>
      </c>
      <c r="D155">
        <f>IFERROR(IF(INDEX(Daten_Salden!$A:$ZZ,Berechnung!$C$21,69)="",NA(),INDEX(Daten_Salden!$A:$ZZ,Berechnung!$C$21,69)),NA())</f>
        <v>-14</v>
      </c>
      <c r="E155">
        <f>IFERROR(IF(INDEX(Daten_Salden!$A:$ZZ,Berechnung!$B$21,4)="",NA(),INDEX(Daten_Salden!$A:$ZZ,Berechnung!$B$21,4)),NA())</f>
        <v>18.585999999999999</v>
      </c>
      <c r="F155">
        <f>IFERROR(IF(INDEX(Daten_Salden!$A:$ZZ,Berechnung!$B$22,69)="",NA(),INDEX(Daten_Salden!$A:$ZZ,Berechnung!$B$22,69)),NA())</f>
        <v>-17</v>
      </c>
      <c r="G155">
        <f>IFERROR(IF(INDEX(Daten_Salden!$A:$ZZ,Berechnung!$C$22,69)="",NA(),INDEX(Daten_Salden!$A:$ZZ,Berechnung!$C$22,69)),NA())</f>
        <v>-17</v>
      </c>
      <c r="H155">
        <f>IFERROR(IF(INDEX(Daten_Salden!$A:$ZZ,Berechnung!$B$22,4)="",NA(),INDEX(Daten_Salden!$A:$ZZ,Berechnung!$B$22,4)),NA())</f>
        <v>1.986</v>
      </c>
      <c r="I155" t="e">
        <f>IFERROR(IF(INDEX(Daten_Salden!$A:$ZZ,Berechnung!$B$23,69)="",NA(),INDEX(Daten_Salden!$A:$ZZ,Berechnung!$B$23,69)),NA())</f>
        <v>#N/A</v>
      </c>
      <c r="J155">
        <f>IFERROR(IF(INDEX(Daten_Salden!$A:$ZZ,Berechnung!$C$23,69)="",NA(),INDEX(Daten_Salden!$A:$ZZ,Berechnung!$C$23,69)),NA())</f>
        <v>-8</v>
      </c>
      <c r="K155" t="e">
        <f>IFERROR(IF(INDEX(Daten_Salden!$A:$ZZ,Berechnung!$B$23,4)="",NA(),INDEX(Daten_Salden!$A:$ZZ,Berechnung!$B$23,4)),NA())</f>
        <v>#N/A</v>
      </c>
      <c r="L155">
        <f>IFERROR(IF(INDEX(Daten_Salden!$A:$ZZ,Berechnung!$B$24,69)="",NA(),INDEX(Daten_Salden!$A:$ZZ,Berechnung!$B$24,69)),NA())</f>
        <v>-10</v>
      </c>
      <c r="M155">
        <f>IFERROR(IF(INDEX(Daten_Salden!$A:$ZZ,Berechnung!$C$24,69)="",NA(),INDEX(Daten_Salden!$A:$ZZ,Berechnung!$C$24,69)),NA())</f>
        <v>-17</v>
      </c>
      <c r="N155">
        <f>IFERROR(IF(INDEX(Daten_Salden!$A:$ZZ,Berechnung!$B$24,4)="",NA(),INDEX(Daten_Salden!$A:$ZZ,Berechnung!$B$24,4)),NA())</f>
        <v>2.2429999999999999</v>
      </c>
      <c r="O155">
        <f>IFERROR(IF(INDEX(Daten_Salden!$A:$ZZ,Berechnung!$B$25,69)="",NA(),INDEX(Daten_Salden!$A:$ZZ,Berechnung!$B$25,69)),NA())</f>
        <v>-10</v>
      </c>
      <c r="P155">
        <f>IFERROR(IF(INDEX(Daten_Salden!$A:$ZZ,Berechnung!$C$25,69)="",NA(),INDEX(Daten_Salden!$A:$ZZ,Berechnung!$C$25,69)),NA())</f>
        <v>-19</v>
      </c>
      <c r="Q155">
        <f>IFERROR(IF(INDEX(Daten_Salden!$A:$ZZ,Berechnung!$B$25,4)="",NA(),INDEX(Daten_Salden!$A:$ZZ,Berechnung!$B$25,4)),NA())</f>
        <v>-1.4</v>
      </c>
    </row>
    <row r="156" spans="1:17" x14ac:dyDescent="0.25">
      <c r="A156" t="s">
        <v>236</v>
      </c>
      <c r="C156">
        <f>IFERROR(IF(INDEX(Daten_Salden!$A:$ZZ,Berechnung!$B$21,70)="",NA(),INDEX(Daten_Salden!$A:$ZZ,Berechnung!$B$21,70)),NA())</f>
        <v>0</v>
      </c>
      <c r="D156">
        <f>IFERROR(IF(INDEX(Daten_Salden!$A:$ZZ,Berechnung!$C$21,70)="",NA(),INDEX(Daten_Salden!$A:$ZZ,Berechnung!$C$21,70)),NA())</f>
        <v>-11</v>
      </c>
      <c r="E156">
        <f>IFERROR(IF(INDEX(Daten_Salden!$A:$ZZ,Berechnung!$B$21,4)="",NA(),INDEX(Daten_Salden!$A:$ZZ,Berechnung!$B$21,4)),NA())</f>
        <v>18.585999999999999</v>
      </c>
      <c r="F156">
        <f>IFERROR(IF(INDEX(Daten_Salden!$A:$ZZ,Berechnung!$B$22,70)="",NA(),INDEX(Daten_Salden!$A:$ZZ,Berechnung!$B$22,70)),NA())</f>
        <v>-10</v>
      </c>
      <c r="G156">
        <f>IFERROR(IF(INDEX(Daten_Salden!$A:$ZZ,Berechnung!$C$22,70)="",NA(),INDEX(Daten_Salden!$A:$ZZ,Berechnung!$C$22,70)),NA())</f>
        <v>-8</v>
      </c>
      <c r="H156">
        <f>IFERROR(IF(INDEX(Daten_Salden!$A:$ZZ,Berechnung!$B$22,4)="",NA(),INDEX(Daten_Salden!$A:$ZZ,Berechnung!$B$22,4)),NA())</f>
        <v>1.986</v>
      </c>
      <c r="I156" t="e">
        <f>IFERROR(IF(INDEX(Daten_Salden!$A:$ZZ,Berechnung!$B$23,70)="",NA(),INDEX(Daten_Salden!$A:$ZZ,Berechnung!$B$23,70)),NA())</f>
        <v>#N/A</v>
      </c>
      <c r="J156">
        <f>IFERROR(IF(INDEX(Daten_Salden!$A:$ZZ,Berechnung!$C$23,70)="",NA(),INDEX(Daten_Salden!$A:$ZZ,Berechnung!$C$23,70)),NA())</f>
        <v>-10</v>
      </c>
      <c r="K156" t="e">
        <f>IFERROR(IF(INDEX(Daten_Salden!$A:$ZZ,Berechnung!$B$23,4)="",NA(),INDEX(Daten_Salden!$A:$ZZ,Berechnung!$B$23,4)),NA())</f>
        <v>#N/A</v>
      </c>
      <c r="L156">
        <f>IFERROR(IF(INDEX(Daten_Salden!$A:$ZZ,Berechnung!$B$24,70)="",NA(),INDEX(Daten_Salden!$A:$ZZ,Berechnung!$B$24,70)),NA())</f>
        <v>-7</v>
      </c>
      <c r="M156">
        <f>IFERROR(IF(INDEX(Daten_Salden!$A:$ZZ,Berechnung!$C$24,70)="",NA(),INDEX(Daten_Salden!$A:$ZZ,Berechnung!$C$24,70)),NA())</f>
        <v>-12</v>
      </c>
      <c r="N156">
        <f>IFERROR(IF(INDEX(Daten_Salden!$A:$ZZ,Berechnung!$B$24,4)="",NA(),INDEX(Daten_Salden!$A:$ZZ,Berechnung!$B$24,4)),NA())</f>
        <v>2.2429999999999999</v>
      </c>
      <c r="O156">
        <f>IFERROR(IF(INDEX(Daten_Salden!$A:$ZZ,Berechnung!$B$25,70)="",NA(),INDEX(Daten_Salden!$A:$ZZ,Berechnung!$B$25,70)),NA())</f>
        <v>-9</v>
      </c>
      <c r="P156">
        <f>IFERROR(IF(INDEX(Daten_Salden!$A:$ZZ,Berechnung!$C$25,70)="",NA(),INDEX(Daten_Salden!$A:$ZZ,Berechnung!$C$25,70)),NA())</f>
        <v>-17</v>
      </c>
      <c r="Q156">
        <f>IFERROR(IF(INDEX(Daten_Salden!$A:$ZZ,Berechnung!$B$25,4)="",NA(),INDEX(Daten_Salden!$A:$ZZ,Berechnung!$B$25,4)),NA())</f>
        <v>-1.4</v>
      </c>
    </row>
    <row r="157" spans="1:17" x14ac:dyDescent="0.25">
      <c r="A157" t="s">
        <v>237</v>
      </c>
      <c r="C157">
        <f>IFERROR(IF(INDEX(Daten_Salden!$A:$ZZ,Berechnung!$B$21,71)="",NA(),INDEX(Daten_Salden!$A:$ZZ,Berechnung!$B$21,71)),NA())</f>
        <v>0</v>
      </c>
      <c r="D157">
        <f>IFERROR(IF(INDEX(Daten_Salden!$A:$ZZ,Berechnung!$C$21,71)="",NA(),INDEX(Daten_Salden!$A:$ZZ,Berechnung!$C$21,71)),NA())</f>
        <v>-15</v>
      </c>
      <c r="E157">
        <f>IFERROR(IF(INDEX(Daten_Salden!$A:$ZZ,Berechnung!$B$21,4)="",NA(),INDEX(Daten_Salden!$A:$ZZ,Berechnung!$B$21,4)),NA())</f>
        <v>18.585999999999999</v>
      </c>
      <c r="F157">
        <f>IFERROR(IF(INDEX(Daten_Salden!$A:$ZZ,Berechnung!$B$22,71)="",NA(),INDEX(Daten_Salden!$A:$ZZ,Berechnung!$B$22,71)),NA())</f>
        <v>-12</v>
      </c>
      <c r="G157">
        <f>IFERROR(IF(INDEX(Daten_Salden!$A:$ZZ,Berechnung!$C$22,71)="",NA(),INDEX(Daten_Salden!$A:$ZZ,Berechnung!$C$22,71)),NA())</f>
        <v>-9</v>
      </c>
      <c r="H157">
        <f>IFERROR(IF(INDEX(Daten_Salden!$A:$ZZ,Berechnung!$B$22,4)="",NA(),INDEX(Daten_Salden!$A:$ZZ,Berechnung!$B$22,4)),NA())</f>
        <v>1.986</v>
      </c>
      <c r="I157" t="e">
        <f>IFERROR(IF(INDEX(Daten_Salden!$A:$ZZ,Berechnung!$B$23,71)="",NA(),INDEX(Daten_Salden!$A:$ZZ,Berechnung!$B$23,71)),NA())</f>
        <v>#N/A</v>
      </c>
      <c r="J157">
        <f>IFERROR(IF(INDEX(Daten_Salden!$A:$ZZ,Berechnung!$C$23,71)="",NA(),INDEX(Daten_Salden!$A:$ZZ,Berechnung!$C$23,71)),NA())</f>
        <v>-10</v>
      </c>
      <c r="K157" t="e">
        <f>IFERROR(IF(INDEX(Daten_Salden!$A:$ZZ,Berechnung!$B$23,4)="",NA(),INDEX(Daten_Salden!$A:$ZZ,Berechnung!$B$23,4)),NA())</f>
        <v>#N/A</v>
      </c>
      <c r="L157">
        <f>IFERROR(IF(INDEX(Daten_Salden!$A:$ZZ,Berechnung!$B$24,71)="",NA(),INDEX(Daten_Salden!$A:$ZZ,Berechnung!$B$24,71)),NA())</f>
        <v>-9</v>
      </c>
      <c r="M157">
        <f>IFERROR(IF(INDEX(Daten_Salden!$A:$ZZ,Berechnung!$C$24,71)="",NA(),INDEX(Daten_Salden!$A:$ZZ,Berechnung!$C$24,71)),NA())</f>
        <v>-16</v>
      </c>
      <c r="N157">
        <f>IFERROR(IF(INDEX(Daten_Salden!$A:$ZZ,Berechnung!$B$24,4)="",NA(),INDEX(Daten_Salden!$A:$ZZ,Berechnung!$B$24,4)),NA())</f>
        <v>2.2429999999999999</v>
      </c>
      <c r="O157">
        <f>IFERROR(IF(INDEX(Daten_Salden!$A:$ZZ,Berechnung!$B$25,71)="",NA(),INDEX(Daten_Salden!$A:$ZZ,Berechnung!$B$25,71)),NA())</f>
        <v>-13</v>
      </c>
      <c r="P157">
        <f>IFERROR(IF(INDEX(Daten_Salden!$A:$ZZ,Berechnung!$C$25,71)="",NA(),INDEX(Daten_Salden!$A:$ZZ,Berechnung!$C$25,71)),NA())</f>
        <v>-21</v>
      </c>
      <c r="Q157">
        <f>IFERROR(IF(INDEX(Daten_Salden!$A:$ZZ,Berechnung!$B$25,4)="",NA(),INDEX(Daten_Salden!$A:$ZZ,Berechnung!$B$25,4)),NA())</f>
        <v>-1.4</v>
      </c>
    </row>
    <row r="158" spans="1:17" x14ac:dyDescent="0.25">
      <c r="A158" t="s">
        <v>238</v>
      </c>
      <c r="B158" t="s">
        <v>332</v>
      </c>
      <c r="C158">
        <f>IFERROR(IF(INDEX(Daten_Salden!$A:$ZZ,Berechnung!$B$21,72)="",NA(),INDEX(Daten_Salden!$A:$ZZ,Berechnung!$B$21,72)),NA())</f>
        <v>1</v>
      </c>
      <c r="D158">
        <f>IFERROR(IF(INDEX(Daten_Salden!$A:$ZZ,Berechnung!$C$21,72)="",NA(),INDEX(Daten_Salden!$A:$ZZ,Berechnung!$C$21,72)),NA())</f>
        <v>-10</v>
      </c>
      <c r="E158">
        <f>IFERROR(IF(INDEX(Daten_Salden!$A:$ZZ,Berechnung!$B$21,4)="",NA(),INDEX(Daten_Salden!$A:$ZZ,Berechnung!$B$21,4)),NA())</f>
        <v>18.585999999999999</v>
      </c>
      <c r="F158">
        <f>IFERROR(IF(INDEX(Daten_Salden!$A:$ZZ,Berechnung!$B$22,72)="",NA(),INDEX(Daten_Salden!$A:$ZZ,Berechnung!$B$22,72)),NA())</f>
        <v>-9</v>
      </c>
      <c r="G158">
        <f>IFERROR(IF(INDEX(Daten_Salden!$A:$ZZ,Berechnung!$C$22,72)="",NA(),INDEX(Daten_Salden!$A:$ZZ,Berechnung!$C$22,72)),NA())</f>
        <v>-4</v>
      </c>
      <c r="H158">
        <f>IFERROR(IF(INDEX(Daten_Salden!$A:$ZZ,Berechnung!$B$22,4)="",NA(),INDEX(Daten_Salden!$A:$ZZ,Berechnung!$B$22,4)),NA())</f>
        <v>1.986</v>
      </c>
      <c r="I158" t="e">
        <f>IFERROR(IF(INDEX(Daten_Salden!$A:$ZZ,Berechnung!$B$23,72)="",NA(),INDEX(Daten_Salden!$A:$ZZ,Berechnung!$B$23,72)),NA())</f>
        <v>#N/A</v>
      </c>
      <c r="J158">
        <f>IFERROR(IF(INDEX(Daten_Salden!$A:$ZZ,Berechnung!$C$23,72)="",NA(),INDEX(Daten_Salden!$A:$ZZ,Berechnung!$C$23,72)),NA())</f>
        <v>0</v>
      </c>
      <c r="K158" t="e">
        <f>IFERROR(IF(INDEX(Daten_Salden!$A:$ZZ,Berechnung!$B$23,4)="",NA(),INDEX(Daten_Salden!$A:$ZZ,Berechnung!$B$23,4)),NA())</f>
        <v>#N/A</v>
      </c>
      <c r="L158">
        <f>IFERROR(IF(INDEX(Daten_Salden!$A:$ZZ,Berechnung!$B$24,72)="",NA(),INDEX(Daten_Salden!$A:$ZZ,Berechnung!$B$24,72)),NA())</f>
        <v>-8</v>
      </c>
      <c r="M158">
        <f>IFERROR(IF(INDEX(Daten_Salden!$A:$ZZ,Berechnung!$C$24,72)="",NA(),INDEX(Daten_Salden!$A:$ZZ,Berechnung!$C$24,72)),NA())</f>
        <v>-13</v>
      </c>
      <c r="N158">
        <f>IFERROR(IF(INDEX(Daten_Salden!$A:$ZZ,Berechnung!$B$24,4)="",NA(),INDEX(Daten_Salden!$A:$ZZ,Berechnung!$B$24,4)),NA())</f>
        <v>2.2429999999999999</v>
      </c>
      <c r="O158">
        <f>IFERROR(IF(INDEX(Daten_Salden!$A:$ZZ,Berechnung!$B$25,72)="",NA(),INDEX(Daten_Salden!$A:$ZZ,Berechnung!$B$25,72)),NA())</f>
        <v>-11</v>
      </c>
      <c r="P158">
        <f>IFERROR(IF(INDEX(Daten_Salden!$A:$ZZ,Berechnung!$C$25,72)="",NA(),INDEX(Daten_Salden!$A:$ZZ,Berechnung!$C$25,72)),NA())</f>
        <v>-18</v>
      </c>
      <c r="Q158">
        <f>IFERROR(IF(INDEX(Daten_Salden!$A:$ZZ,Berechnung!$B$25,4)="",NA(),INDEX(Daten_Salden!$A:$ZZ,Berechnung!$B$25,4)),NA())</f>
        <v>-1.4</v>
      </c>
    </row>
    <row r="159" spans="1:17" x14ac:dyDescent="0.25">
      <c r="A159" t="s">
        <v>239</v>
      </c>
      <c r="C159">
        <f>IFERROR(IF(INDEX(Daten_Salden!$A:$ZZ,Berechnung!$B$21,73)="",NA(),INDEX(Daten_Salden!$A:$ZZ,Berechnung!$B$21,73)),NA())</f>
        <v>-3</v>
      </c>
      <c r="D159">
        <f>IFERROR(IF(INDEX(Daten_Salden!$A:$ZZ,Berechnung!$C$21,73)="",NA(),INDEX(Daten_Salden!$A:$ZZ,Berechnung!$C$21,73)),NA())</f>
        <v>-7</v>
      </c>
      <c r="E159">
        <f>IFERROR(IF(INDEX(Daten_Salden!$A:$ZZ,Berechnung!$B$21,4)="",NA(),INDEX(Daten_Salden!$A:$ZZ,Berechnung!$B$21,4)),NA())</f>
        <v>18.585999999999999</v>
      </c>
      <c r="F159">
        <f>IFERROR(IF(INDEX(Daten_Salden!$A:$ZZ,Berechnung!$B$22,73)="",NA(),INDEX(Daten_Salden!$A:$ZZ,Berechnung!$B$22,73)),NA())</f>
        <v>-20</v>
      </c>
      <c r="G159">
        <f>IFERROR(IF(INDEX(Daten_Salden!$A:$ZZ,Berechnung!$C$22,73)="",NA(),INDEX(Daten_Salden!$A:$ZZ,Berechnung!$C$22,73)),NA())</f>
        <v>-16</v>
      </c>
      <c r="H159">
        <f>IFERROR(IF(INDEX(Daten_Salden!$A:$ZZ,Berechnung!$B$22,4)="",NA(),INDEX(Daten_Salden!$A:$ZZ,Berechnung!$B$22,4)),NA())</f>
        <v>1.986</v>
      </c>
      <c r="I159" t="e">
        <f>IFERROR(IF(INDEX(Daten_Salden!$A:$ZZ,Berechnung!$B$23,73)="",NA(),INDEX(Daten_Salden!$A:$ZZ,Berechnung!$B$23,73)),NA())</f>
        <v>#N/A</v>
      </c>
      <c r="J159">
        <f>IFERROR(IF(INDEX(Daten_Salden!$A:$ZZ,Berechnung!$C$23,73)="",NA(),INDEX(Daten_Salden!$A:$ZZ,Berechnung!$C$23,73)),NA())</f>
        <v>-10</v>
      </c>
      <c r="K159" t="e">
        <f>IFERROR(IF(INDEX(Daten_Salden!$A:$ZZ,Berechnung!$B$23,4)="",NA(),INDEX(Daten_Salden!$A:$ZZ,Berechnung!$B$23,4)),NA())</f>
        <v>#N/A</v>
      </c>
      <c r="L159">
        <f>IFERROR(IF(INDEX(Daten_Salden!$A:$ZZ,Berechnung!$B$24,73)="",NA(),INDEX(Daten_Salden!$A:$ZZ,Berechnung!$B$24,73)),NA())</f>
        <v>-11</v>
      </c>
      <c r="M159">
        <f>IFERROR(IF(INDEX(Daten_Salden!$A:$ZZ,Berechnung!$C$24,73)="",NA(),INDEX(Daten_Salden!$A:$ZZ,Berechnung!$C$24,73)),NA())</f>
        <v>-15</v>
      </c>
      <c r="N159">
        <f>IFERROR(IF(INDEX(Daten_Salden!$A:$ZZ,Berechnung!$B$24,4)="",NA(),INDEX(Daten_Salden!$A:$ZZ,Berechnung!$B$24,4)),NA())</f>
        <v>2.2429999999999999</v>
      </c>
      <c r="O159">
        <f>IFERROR(IF(INDEX(Daten_Salden!$A:$ZZ,Berechnung!$B$25,73)="",NA(),INDEX(Daten_Salden!$A:$ZZ,Berechnung!$B$25,73)),NA())</f>
        <v>-14</v>
      </c>
      <c r="P159">
        <f>IFERROR(IF(INDEX(Daten_Salden!$A:$ZZ,Berechnung!$C$25,73)="",NA(),INDEX(Daten_Salden!$A:$ZZ,Berechnung!$C$25,73)),NA())</f>
        <v>-20</v>
      </c>
      <c r="Q159">
        <f>IFERROR(IF(INDEX(Daten_Salden!$A:$ZZ,Berechnung!$B$25,4)="",NA(),INDEX(Daten_Salden!$A:$ZZ,Berechnung!$B$25,4)),NA())</f>
        <v>-1.4</v>
      </c>
    </row>
    <row r="160" spans="1:17" x14ac:dyDescent="0.25">
      <c r="A160" t="s">
        <v>47</v>
      </c>
      <c r="C160">
        <f>IFERROR(IF(INDEX(Daten_Salden!$A:$ZZ,Berechnung!$B$21,74)="",NA(),INDEX(Daten_Salden!$A:$ZZ,Berechnung!$B$21,74)),NA())</f>
        <v>3</v>
      </c>
      <c r="D160">
        <f>IFERROR(IF(INDEX(Daten_Salden!$A:$ZZ,Berechnung!$C$21,74)="",NA(),INDEX(Daten_Salden!$A:$ZZ,Berechnung!$C$21,74)),NA())</f>
        <v>-1</v>
      </c>
      <c r="E160">
        <f>IFERROR(IF(INDEX(Daten_Salden!$A:$ZZ,Berechnung!$B$21,4)="",NA(),INDEX(Daten_Salden!$A:$ZZ,Berechnung!$B$21,4)),NA())</f>
        <v>18.585999999999999</v>
      </c>
      <c r="F160">
        <f>IFERROR(IF(INDEX(Daten_Salden!$A:$ZZ,Berechnung!$B$22,74)="",NA(),INDEX(Daten_Salden!$A:$ZZ,Berechnung!$B$22,74)),NA())</f>
        <v>-13</v>
      </c>
      <c r="G160">
        <f>IFERROR(IF(INDEX(Daten_Salden!$A:$ZZ,Berechnung!$C$22,74)="",NA(),INDEX(Daten_Salden!$A:$ZZ,Berechnung!$C$22,74)),NA())</f>
        <v>-4</v>
      </c>
      <c r="H160">
        <f>IFERROR(IF(INDEX(Daten_Salden!$A:$ZZ,Berechnung!$B$22,4)="",NA(),INDEX(Daten_Salden!$A:$ZZ,Berechnung!$B$22,4)),NA())</f>
        <v>1.986</v>
      </c>
      <c r="I160" t="e">
        <f>IFERROR(IF(INDEX(Daten_Salden!$A:$ZZ,Berechnung!$B$23,74)="",NA(),INDEX(Daten_Salden!$A:$ZZ,Berechnung!$B$23,74)),NA())</f>
        <v>#N/A</v>
      </c>
      <c r="J160">
        <f>IFERROR(IF(INDEX(Daten_Salden!$A:$ZZ,Berechnung!$C$23,74)="",NA(),INDEX(Daten_Salden!$A:$ZZ,Berechnung!$C$23,74)),NA())</f>
        <v>3</v>
      </c>
      <c r="K160" t="e">
        <f>IFERROR(IF(INDEX(Daten_Salden!$A:$ZZ,Berechnung!$B$23,4)="",NA(),INDEX(Daten_Salden!$A:$ZZ,Berechnung!$B$23,4)),NA())</f>
        <v>#N/A</v>
      </c>
      <c r="L160">
        <f>IFERROR(IF(INDEX(Daten_Salden!$A:$ZZ,Berechnung!$B$24,74)="",NA(),INDEX(Daten_Salden!$A:$ZZ,Berechnung!$B$24,74)),NA())</f>
        <v>-6</v>
      </c>
      <c r="M160">
        <f>IFERROR(IF(INDEX(Daten_Salden!$A:$ZZ,Berechnung!$C$24,74)="",NA(),INDEX(Daten_Salden!$A:$ZZ,Berechnung!$C$24,74)),NA())</f>
        <v>-9</v>
      </c>
      <c r="N160">
        <f>IFERROR(IF(INDEX(Daten_Salden!$A:$ZZ,Berechnung!$B$24,4)="",NA(),INDEX(Daten_Salden!$A:$ZZ,Berechnung!$B$24,4)),NA())</f>
        <v>2.2429999999999999</v>
      </c>
      <c r="O160">
        <f>IFERROR(IF(INDEX(Daten_Salden!$A:$ZZ,Berechnung!$B$25,74)="",NA(),INDEX(Daten_Salden!$A:$ZZ,Berechnung!$B$25,74)),NA())</f>
        <v>-13</v>
      </c>
      <c r="P160">
        <f>IFERROR(IF(INDEX(Daten_Salden!$A:$ZZ,Berechnung!$C$25,74)="",NA(),INDEX(Daten_Salden!$A:$ZZ,Berechnung!$C$25,74)),NA())</f>
        <v>-16</v>
      </c>
      <c r="Q160">
        <f>IFERROR(IF(INDEX(Daten_Salden!$A:$ZZ,Berechnung!$B$25,4)="",NA(),INDEX(Daten_Salden!$A:$ZZ,Berechnung!$B$25,4)),NA())</f>
        <v>-1.4</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72"/>
  <sheetViews>
    <sheetView workbookViewId="0"/>
  </sheetViews>
  <sheetFormatPr baseColWidth="10" defaultColWidth="9.140625" defaultRowHeight="15" x14ac:dyDescent="0.25"/>
  <sheetData>
    <row r="1" spans="1:12" x14ac:dyDescent="0.25">
      <c r="A1" t="s">
        <v>333</v>
      </c>
    </row>
    <row r="2" spans="1:12" x14ac:dyDescent="0.25">
      <c r="A2" t="s">
        <v>70</v>
      </c>
      <c r="B2" t="s">
        <v>308</v>
      </c>
      <c r="C2" t="s">
        <v>308</v>
      </c>
      <c r="D2" t="s">
        <v>59</v>
      </c>
      <c r="G2" t="s">
        <v>105</v>
      </c>
      <c r="H2" t="s">
        <v>106</v>
      </c>
      <c r="K2" t="s">
        <v>105</v>
      </c>
      <c r="L2" t="s">
        <v>106</v>
      </c>
    </row>
    <row r="3" spans="1:12" x14ac:dyDescent="0.25">
      <c r="A3" t="s">
        <v>173</v>
      </c>
      <c r="C3" t="s">
        <v>316</v>
      </c>
      <c r="D3">
        <v>102.5</v>
      </c>
      <c r="F3" t="s">
        <v>107</v>
      </c>
      <c r="G3">
        <v>67</v>
      </c>
      <c r="H3">
        <v>70</v>
      </c>
      <c r="J3" t="s">
        <v>92</v>
      </c>
      <c r="K3">
        <v>66</v>
      </c>
      <c r="L3">
        <v>67</v>
      </c>
    </row>
    <row r="4" spans="1:12" x14ac:dyDescent="0.25">
      <c r="A4" t="s">
        <v>174</v>
      </c>
      <c r="B4" t="s">
        <v>310</v>
      </c>
      <c r="D4">
        <v>114.4</v>
      </c>
      <c r="F4" t="s">
        <v>87</v>
      </c>
      <c r="G4">
        <v>58</v>
      </c>
      <c r="H4">
        <v>58</v>
      </c>
      <c r="J4" t="s">
        <v>93</v>
      </c>
      <c r="K4">
        <v>34</v>
      </c>
      <c r="L4">
        <v>34</v>
      </c>
    </row>
    <row r="5" spans="1:12" x14ac:dyDescent="0.25">
      <c r="A5" t="s">
        <v>175</v>
      </c>
      <c r="D5">
        <v>124</v>
      </c>
      <c r="F5" t="s">
        <v>85</v>
      </c>
      <c r="G5">
        <v>56</v>
      </c>
      <c r="H5">
        <v>57</v>
      </c>
      <c r="J5" t="s">
        <v>108</v>
      </c>
      <c r="K5">
        <v>28</v>
      </c>
      <c r="L5">
        <v>27</v>
      </c>
    </row>
    <row r="6" spans="1:12" x14ac:dyDescent="0.25">
      <c r="A6" t="s">
        <v>176</v>
      </c>
      <c r="D6">
        <v>128.9</v>
      </c>
      <c r="F6" t="s">
        <v>86</v>
      </c>
      <c r="G6">
        <v>54</v>
      </c>
      <c r="H6">
        <v>56</v>
      </c>
      <c r="J6" t="s">
        <v>109</v>
      </c>
      <c r="K6">
        <v>19</v>
      </c>
      <c r="L6">
        <v>19</v>
      </c>
    </row>
    <row r="7" spans="1:12" x14ac:dyDescent="0.25">
      <c r="A7" t="s">
        <v>177</v>
      </c>
      <c r="B7" t="s">
        <v>311</v>
      </c>
      <c r="D7">
        <v>130.9</v>
      </c>
      <c r="F7" t="s">
        <v>334</v>
      </c>
      <c r="G7">
        <v>38</v>
      </c>
      <c r="H7">
        <v>45</v>
      </c>
      <c r="J7" t="s">
        <v>95</v>
      </c>
      <c r="K7">
        <v>17</v>
      </c>
      <c r="L7">
        <v>16</v>
      </c>
    </row>
    <row r="8" spans="1:12" x14ac:dyDescent="0.25">
      <c r="A8" t="s">
        <v>178</v>
      </c>
      <c r="D8">
        <v>121.1</v>
      </c>
      <c r="F8" t="s">
        <v>88</v>
      </c>
      <c r="G8">
        <v>36</v>
      </c>
      <c r="H8">
        <v>36</v>
      </c>
    </row>
    <row r="9" spans="1:12" x14ac:dyDescent="0.25">
      <c r="A9" t="s">
        <v>179</v>
      </c>
      <c r="C9" t="s">
        <v>318</v>
      </c>
      <c r="D9">
        <v>119.9</v>
      </c>
      <c r="F9" t="s">
        <v>90</v>
      </c>
      <c r="G9">
        <v>16</v>
      </c>
      <c r="H9">
        <v>15</v>
      </c>
    </row>
    <row r="10" spans="1:12" x14ac:dyDescent="0.25">
      <c r="A10" t="s">
        <v>180</v>
      </c>
      <c r="B10" t="s">
        <v>312</v>
      </c>
      <c r="D10">
        <v>121</v>
      </c>
      <c r="F10" t="s">
        <v>335</v>
      </c>
      <c r="G10">
        <v>5</v>
      </c>
      <c r="H10">
        <v>7</v>
      </c>
    </row>
    <row r="11" spans="1:12" x14ac:dyDescent="0.25">
      <c r="A11" t="s">
        <v>181</v>
      </c>
      <c r="D11">
        <v>110.4</v>
      </c>
    </row>
    <row r="12" spans="1:12" x14ac:dyDescent="0.25">
      <c r="A12" t="s">
        <v>182</v>
      </c>
      <c r="D12">
        <v>113.8</v>
      </c>
    </row>
    <row r="13" spans="1:12" x14ac:dyDescent="0.25">
      <c r="A13" t="s">
        <v>43</v>
      </c>
      <c r="B13" t="s">
        <v>313</v>
      </c>
      <c r="D13">
        <v>112.9</v>
      </c>
    </row>
    <row r="14" spans="1:12" x14ac:dyDescent="0.25">
      <c r="A14" t="s">
        <v>183</v>
      </c>
      <c r="D14">
        <v>118.7</v>
      </c>
    </row>
    <row r="15" spans="1:12" x14ac:dyDescent="0.25">
      <c r="A15" t="s">
        <v>184</v>
      </c>
      <c r="C15" t="s">
        <v>320</v>
      </c>
      <c r="D15">
        <v>124.3</v>
      </c>
    </row>
    <row r="16" spans="1:12" x14ac:dyDescent="0.25">
      <c r="A16" t="s">
        <v>185</v>
      </c>
      <c r="B16" t="s">
        <v>314</v>
      </c>
      <c r="D16">
        <v>125.3</v>
      </c>
    </row>
    <row r="17" spans="1:4" x14ac:dyDescent="0.25">
      <c r="A17" t="s">
        <v>186</v>
      </c>
      <c r="D17">
        <v>117.8</v>
      </c>
    </row>
    <row r="18" spans="1:4" x14ac:dyDescent="0.25">
      <c r="A18" t="s">
        <v>187</v>
      </c>
      <c r="D18">
        <v>118.8</v>
      </c>
    </row>
    <row r="19" spans="1:4" x14ac:dyDescent="0.25">
      <c r="A19" t="s">
        <v>188</v>
      </c>
      <c r="B19" t="s">
        <v>315</v>
      </c>
      <c r="D19">
        <v>122.1</v>
      </c>
    </row>
    <row r="20" spans="1:4" x14ac:dyDescent="0.25">
      <c r="A20" t="s">
        <v>189</v>
      </c>
      <c r="D20">
        <v>121.3</v>
      </c>
    </row>
    <row r="21" spans="1:4" x14ac:dyDescent="0.25">
      <c r="A21" t="s">
        <v>190</v>
      </c>
      <c r="C21" t="s">
        <v>322</v>
      </c>
      <c r="D21">
        <v>123.8</v>
      </c>
    </row>
    <row r="22" spans="1:4" x14ac:dyDescent="0.25">
      <c r="A22" t="s">
        <v>191</v>
      </c>
      <c r="B22" t="s">
        <v>316</v>
      </c>
      <c r="D22">
        <v>122.5</v>
      </c>
    </row>
    <row r="23" spans="1:4" x14ac:dyDescent="0.25">
      <c r="A23" t="s">
        <v>192</v>
      </c>
      <c r="D23">
        <v>121.8</v>
      </c>
    </row>
    <row r="24" spans="1:4" x14ac:dyDescent="0.25">
      <c r="A24" t="s">
        <v>193</v>
      </c>
      <c r="D24">
        <v>123.8</v>
      </c>
    </row>
    <row r="25" spans="1:4" x14ac:dyDescent="0.25">
      <c r="A25" t="s">
        <v>194</v>
      </c>
      <c r="B25" t="s">
        <v>317</v>
      </c>
      <c r="D25">
        <v>127.4</v>
      </c>
    </row>
    <row r="26" spans="1:4" x14ac:dyDescent="0.25">
      <c r="A26" t="s">
        <v>195</v>
      </c>
      <c r="D26">
        <v>128.6</v>
      </c>
    </row>
    <row r="27" spans="1:4" x14ac:dyDescent="0.25">
      <c r="A27" t="s">
        <v>196</v>
      </c>
      <c r="C27" t="s">
        <v>324</v>
      </c>
      <c r="D27">
        <v>132.19999999999999</v>
      </c>
    </row>
    <row r="28" spans="1:4" x14ac:dyDescent="0.25">
      <c r="A28" t="s">
        <v>197</v>
      </c>
      <c r="B28" t="s">
        <v>318</v>
      </c>
      <c r="D28">
        <v>130.19999999999999</v>
      </c>
    </row>
    <row r="29" spans="1:4" x14ac:dyDescent="0.25">
      <c r="A29" t="s">
        <v>198</v>
      </c>
      <c r="D29">
        <v>126.9</v>
      </c>
    </row>
    <row r="30" spans="1:4" x14ac:dyDescent="0.25">
      <c r="A30" t="s">
        <v>199</v>
      </c>
      <c r="D30">
        <v>123.7</v>
      </c>
    </row>
    <row r="31" spans="1:4" x14ac:dyDescent="0.25">
      <c r="A31" t="s">
        <v>200</v>
      </c>
      <c r="B31" t="s">
        <v>319</v>
      </c>
      <c r="D31">
        <v>119.5</v>
      </c>
    </row>
    <row r="32" spans="1:4" x14ac:dyDescent="0.25">
      <c r="A32" t="s">
        <v>201</v>
      </c>
      <c r="D32">
        <v>110</v>
      </c>
    </row>
    <row r="33" spans="1:4" x14ac:dyDescent="0.25">
      <c r="A33" t="s">
        <v>202</v>
      </c>
      <c r="C33" t="s">
        <v>326</v>
      </c>
      <c r="D33">
        <v>112.9</v>
      </c>
    </row>
    <row r="34" spans="1:4" x14ac:dyDescent="0.25">
      <c r="A34" t="s">
        <v>203</v>
      </c>
      <c r="B34" t="s">
        <v>320</v>
      </c>
      <c r="D34">
        <v>64.400000000000006</v>
      </c>
    </row>
    <row r="35" spans="1:4" x14ac:dyDescent="0.25">
      <c r="A35" t="s">
        <v>204</v>
      </c>
      <c r="D35">
        <v>96</v>
      </c>
    </row>
    <row r="36" spans="1:4" x14ac:dyDescent="0.25">
      <c r="A36" t="s">
        <v>205</v>
      </c>
      <c r="D36">
        <v>94</v>
      </c>
    </row>
    <row r="37" spans="1:4" x14ac:dyDescent="0.25">
      <c r="A37" t="s">
        <v>206</v>
      </c>
      <c r="B37" t="s">
        <v>321</v>
      </c>
      <c r="D37">
        <v>101.5</v>
      </c>
    </row>
    <row r="38" spans="1:4" x14ac:dyDescent="0.25">
      <c r="A38" t="s">
        <v>207</v>
      </c>
      <c r="D38">
        <v>119.1</v>
      </c>
    </row>
    <row r="39" spans="1:4" x14ac:dyDescent="0.25">
      <c r="A39" t="s">
        <v>208</v>
      </c>
      <c r="C39" t="s">
        <v>328</v>
      </c>
      <c r="D39">
        <v>111.3</v>
      </c>
    </row>
    <row r="40" spans="1:4" x14ac:dyDescent="0.25">
      <c r="A40" t="s">
        <v>209</v>
      </c>
      <c r="B40" t="s">
        <v>322</v>
      </c>
      <c r="D40">
        <v>101.2</v>
      </c>
    </row>
    <row r="41" spans="1:4" x14ac:dyDescent="0.25">
      <c r="A41" t="s">
        <v>210</v>
      </c>
      <c r="D41">
        <v>79.5</v>
      </c>
    </row>
    <row r="42" spans="1:4" x14ac:dyDescent="0.25">
      <c r="A42" t="s">
        <v>211</v>
      </c>
      <c r="D42">
        <v>101.2</v>
      </c>
    </row>
    <row r="43" spans="1:4" x14ac:dyDescent="0.25">
      <c r="A43" t="s">
        <v>212</v>
      </c>
      <c r="B43" t="s">
        <v>323</v>
      </c>
      <c r="D43">
        <v>106.3</v>
      </c>
    </row>
    <row r="44" spans="1:4" x14ac:dyDescent="0.25">
      <c r="A44" t="s">
        <v>213</v>
      </c>
      <c r="D44">
        <v>92.2</v>
      </c>
    </row>
    <row r="45" spans="1:4" x14ac:dyDescent="0.25">
      <c r="A45" t="s">
        <v>214</v>
      </c>
      <c r="C45" t="s">
        <v>330</v>
      </c>
      <c r="D45">
        <v>91.9</v>
      </c>
    </row>
    <row r="46" spans="1:4" x14ac:dyDescent="0.25">
      <c r="A46" t="s">
        <v>215</v>
      </c>
      <c r="B46" t="s">
        <v>324</v>
      </c>
      <c r="D46">
        <v>97.2</v>
      </c>
    </row>
    <row r="47" spans="1:4" x14ac:dyDescent="0.25">
      <c r="A47" t="s">
        <v>216</v>
      </c>
      <c r="D47">
        <v>91</v>
      </c>
    </row>
    <row r="48" spans="1:4" x14ac:dyDescent="0.25">
      <c r="A48" t="s">
        <v>217</v>
      </c>
      <c r="D48">
        <v>91.6</v>
      </c>
    </row>
    <row r="49" spans="1:4" x14ac:dyDescent="0.25">
      <c r="A49" t="s">
        <v>218</v>
      </c>
      <c r="B49" t="s">
        <v>325</v>
      </c>
      <c r="D49">
        <v>94.9</v>
      </c>
    </row>
    <row r="50" spans="1:4" x14ac:dyDescent="0.25">
      <c r="A50" t="s">
        <v>219</v>
      </c>
      <c r="D50">
        <v>93.8</v>
      </c>
    </row>
    <row r="51" spans="1:4" x14ac:dyDescent="0.25">
      <c r="A51" t="s">
        <v>220</v>
      </c>
      <c r="C51" t="s">
        <v>332</v>
      </c>
      <c r="D51">
        <v>95.9</v>
      </c>
    </row>
    <row r="52" spans="1:4" x14ac:dyDescent="0.25">
      <c r="A52" t="s">
        <v>221</v>
      </c>
      <c r="B52" t="s">
        <v>326</v>
      </c>
      <c r="D52">
        <v>88.1</v>
      </c>
    </row>
    <row r="53" spans="1:4" x14ac:dyDescent="0.25">
      <c r="A53" t="s">
        <v>104</v>
      </c>
      <c r="D53">
        <v>94.7</v>
      </c>
    </row>
    <row r="54" spans="1:4" x14ac:dyDescent="0.25">
      <c r="A54" t="s">
        <v>222</v>
      </c>
    </row>
    <row r="55" spans="1:4" x14ac:dyDescent="0.25">
      <c r="A55" t="s">
        <v>223</v>
      </c>
      <c r="B55" t="s">
        <v>327</v>
      </c>
    </row>
    <row r="56" spans="1:4" x14ac:dyDescent="0.25">
      <c r="A56" t="s">
        <v>224</v>
      </c>
    </row>
    <row r="57" spans="1:4" x14ac:dyDescent="0.25">
      <c r="A57" t="s">
        <v>225</v>
      </c>
    </row>
    <row r="58" spans="1:4" x14ac:dyDescent="0.25">
      <c r="A58" t="s">
        <v>226</v>
      </c>
      <c r="B58" t="s">
        <v>328</v>
      </c>
    </row>
    <row r="59" spans="1:4" x14ac:dyDescent="0.25">
      <c r="A59" t="s">
        <v>227</v>
      </c>
    </row>
    <row r="60" spans="1:4" x14ac:dyDescent="0.25">
      <c r="A60" t="s">
        <v>228</v>
      </c>
    </row>
    <row r="61" spans="1:4" x14ac:dyDescent="0.25">
      <c r="A61" t="s">
        <v>229</v>
      </c>
      <c r="B61" t="s">
        <v>329</v>
      </c>
    </row>
    <row r="62" spans="1:4" x14ac:dyDescent="0.25">
      <c r="A62" t="s">
        <v>230</v>
      </c>
    </row>
    <row r="63" spans="1:4" x14ac:dyDescent="0.25">
      <c r="A63" t="s">
        <v>231</v>
      </c>
    </row>
    <row r="64" spans="1:4" x14ac:dyDescent="0.25">
      <c r="A64" t="s">
        <v>232</v>
      </c>
      <c r="B64" t="s">
        <v>330</v>
      </c>
    </row>
    <row r="65" spans="1:2" x14ac:dyDescent="0.25">
      <c r="A65" t="s">
        <v>233</v>
      </c>
    </row>
    <row r="66" spans="1:2" x14ac:dyDescent="0.25">
      <c r="A66" t="s">
        <v>234</v>
      </c>
    </row>
    <row r="67" spans="1:2" x14ac:dyDescent="0.25">
      <c r="A67" t="s">
        <v>235</v>
      </c>
      <c r="B67" t="s">
        <v>331</v>
      </c>
    </row>
    <row r="68" spans="1:2" x14ac:dyDescent="0.25">
      <c r="A68" t="s">
        <v>236</v>
      </c>
    </row>
    <row r="69" spans="1:2" x14ac:dyDescent="0.25">
      <c r="A69" t="s">
        <v>237</v>
      </c>
    </row>
    <row r="70" spans="1:2" x14ac:dyDescent="0.25">
      <c r="A70" t="s">
        <v>238</v>
      </c>
      <c r="B70" t="s">
        <v>332</v>
      </c>
    </row>
    <row r="71" spans="1:2" x14ac:dyDescent="0.25">
      <c r="A71" t="s">
        <v>239</v>
      </c>
    </row>
    <row r="72" spans="1:2" x14ac:dyDescent="0.25">
      <c r="A72" t="s">
        <v>47</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81bdee8-3afb-4c6e-9322-d8f1e01e4bd9" xsi:nil="true"/>
    <lcf76f155ced4ddcb4097134ff3c332f xmlns="2c5fe14e-d741-4d38-99be-43f9bd4ba24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EEB2CED29B8A47B9D820A0590D3BB1" ma:contentTypeVersion="18" ma:contentTypeDescription="Create a new document." ma:contentTypeScope="" ma:versionID="8ab5c67f039297e3180ce46005f44137">
  <xsd:schema xmlns:xsd="http://www.w3.org/2001/XMLSchema" xmlns:xs="http://www.w3.org/2001/XMLSchema" xmlns:p="http://schemas.microsoft.com/office/2006/metadata/properties" xmlns:ns2="2c5fe14e-d741-4d38-99be-43f9bd4ba243" xmlns:ns3="c81bdee8-3afb-4c6e-9322-d8f1e01e4bd9" targetNamespace="http://schemas.microsoft.com/office/2006/metadata/properties" ma:root="true" ma:fieldsID="ec5eae881aed97d1f8fd3510bce73180" ns2:_="" ns3:_="">
    <xsd:import namespace="2c5fe14e-d741-4d38-99be-43f9bd4ba243"/>
    <xsd:import namespace="c81bdee8-3afb-4c6e-9322-d8f1e01e4b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5fe14e-d741-4d38-99be-43f9bd4ba2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ccd6185-6eb9-4b95-86cf-a6a5a3cb0ae3"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bdee8-3afb-4c6e-9322-d8f1e01e4b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155825e-3c72-4f19-9c34-984eb589a059}" ma:internalName="TaxCatchAll" ma:showField="CatchAllData" ma:web="c81bdee8-3afb-4c6e-9322-d8f1e01e4b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FDB50-C9A9-48E1-A6D7-9A1ED9E560EF}">
  <ds:schemaRefs>
    <ds:schemaRef ds:uri="http://schemas.microsoft.com/sharepoint/v3/contenttype/forms"/>
  </ds:schemaRefs>
</ds:datastoreItem>
</file>

<file path=customXml/itemProps2.xml><?xml version="1.0" encoding="utf-8"?>
<ds:datastoreItem xmlns:ds="http://schemas.openxmlformats.org/officeDocument/2006/customXml" ds:itemID="{63C98275-B43B-4521-BC0E-E076D422753C}">
  <ds:schemaRefs>
    <ds:schemaRef ds:uri="http://schemas.microsoft.com/office/2006/metadata/properties"/>
    <ds:schemaRef ds:uri="http://schemas.microsoft.com/office/infopath/2007/PartnerControls"/>
    <ds:schemaRef ds:uri="c81bdee8-3afb-4c6e-9322-d8f1e01e4bd9"/>
    <ds:schemaRef ds:uri="2c5fe14e-d741-4d38-99be-43f9bd4ba243"/>
  </ds:schemaRefs>
</ds:datastoreItem>
</file>

<file path=customXml/itemProps3.xml><?xml version="1.0" encoding="utf-8"?>
<ds:datastoreItem xmlns:ds="http://schemas.openxmlformats.org/officeDocument/2006/customXml" ds:itemID="{DA9C665A-AAAD-473C-933E-1D3432AED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5fe14e-d741-4d38-99be-43f9bd4ba243"/>
    <ds:schemaRef ds:uri="c81bdee8-3afb-4c6e-9322-d8f1e01e4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d2924b-f3c9-4195-83cd-d257565ac732}" enabled="1" method="Standard" siteId="{11ce85b8-47fd-49a6-b7d7-c9c27be489b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3</vt:i4>
      </vt:variant>
    </vt:vector>
  </HeadingPairs>
  <TitlesOfParts>
    <vt:vector size="17" baseType="lpstr">
      <vt:lpstr>Auf einen Blick</vt:lpstr>
      <vt:lpstr>Dashboard</vt:lpstr>
      <vt:lpstr>Branchenvergleich</vt:lpstr>
      <vt:lpstr>Daten_Salden</vt:lpstr>
      <vt:lpstr>Daten_Anteile</vt:lpstr>
      <vt:lpstr>Daten_Risiken</vt:lpstr>
      <vt:lpstr>Daten_Motive</vt:lpstr>
      <vt:lpstr>Daten_Risikoindikator</vt:lpstr>
      <vt:lpstr>Methodik</vt:lpstr>
      <vt:lpstr>Branchen und WZ 2025</vt:lpstr>
      <vt:lpstr>Ansprechpartner</vt:lpstr>
      <vt:lpstr>Listen</vt:lpstr>
      <vt:lpstr>Berechnung</vt:lpstr>
      <vt:lpstr>Berechnung_Tabs</vt:lpstr>
      <vt:lpstr>'Auf einen Blick'!Druckbereich</vt:lpstr>
      <vt:lpstr>Dashboard!Druckbereich</vt:lpstr>
      <vt:lpstr>Branchenvergleich!Drucktitel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DIHK-Konjunkturumfrage Herbst 2026 – Ergebnisse nach Branchen</dc:title>
  <dc:subject/>
  <dc:creator>titze.sebastian@dihk.de</dc:creator>
  <cp:keywords/>
  <dc:description/>
  <cp:lastModifiedBy>Titze, Sebastian</cp:lastModifiedBy>
  <cp:revision/>
  <dcterms:created xsi:type="dcterms:W3CDTF">2026-10-09T20:00:55Z</dcterms:created>
  <dcterms:modified xsi:type="dcterms:W3CDTF">2026-11-04T13:12:00Z</dcterms:modified>
  <cp:category/>
  <cp:contentStatus/>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0x010100CCEEB2CED29B8A47B9D820A0590D3BB1</vt:lpwstr>
  </property>
  <property fmtid="{D5CDD505-2E9C-101B-9397-08002B2CF9AE}" pid="3" name="MediaServiceImageTags">
    <vt:lpwstr/>
  </property>
</Properties>
</file>